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matez\Documents\irb novo\UPRAVNO VIJEĆE UV\2023\2023 02\"/>
    </mc:Choice>
  </mc:AlternateContent>
  <bookViews>
    <workbookView xWindow="0" yWindow="0" windowWidth="28800" windowHeight="14100" tabRatio="819"/>
  </bookViews>
  <sheets>
    <sheet name="OPĆI DIO" sheetId="1" r:id="rId1"/>
    <sheet name="Unos prihoda i primitaka" sheetId="2" state="hidden" r:id="rId2"/>
    <sheet name="Unos rashoda i izdataka" sheetId="3" state="hidden" r:id="rId3"/>
    <sheet name="Unos rashoda P4" sheetId="4" state="hidden" r:id="rId4"/>
    <sheet name="Unos prijenosa" sheetId="5" state="hidden" r:id="rId5"/>
    <sheet name="A.1 PRIHODI" sheetId="6" r:id="rId6"/>
    <sheet name="A.2 RASHODI" sheetId="7" r:id="rId7"/>
    <sheet name="A.3 RASHODI IF" sheetId="8" r:id="rId8"/>
    <sheet name="A.4 RASHODI FUNK" sheetId="9" r:id="rId9"/>
    <sheet name="B. RAČUN FIN" sheetId="10" r:id="rId10"/>
    <sheet name="AKT" sheetId="11" state="hidden" r:id="rId11"/>
    <sheet name="p4" sheetId="12" state="hidden" r:id="rId12"/>
    <sheet name="prihodi" sheetId="13" state="hidden" r:id="rId13"/>
    <sheet name="KORISNICI DP" sheetId="14" state="hidden" r:id="rId14"/>
  </sheets>
  <definedNames>
    <definedName name="_FiltarBaze" localSheetId="6">'A.2 RASHODI'!#REF!</definedName>
    <definedName name="_xlnm._FilterDatabase" localSheetId="10" hidden="1">AKT!$A$3:$H$324</definedName>
    <definedName name="_xlnm._FilterDatabase" localSheetId="13" hidden="1">'KORISNICI DP'!$A$2:$H$615</definedName>
    <definedName name="_xlnm._FilterDatabase" localSheetId="11" hidden="1">'p4'!$A$1:$B$1116</definedName>
    <definedName name="_xlnm._FilterDatabase" localSheetId="1" hidden="1">'Unos prihoda i primitaka'!$A$2:$J$502</definedName>
    <definedName name="_xlnm._FilterDatabase" localSheetId="2" hidden="1">'Unos rashoda i izdataka'!$A$2:$M$506</definedName>
    <definedName name="_xlnm._FilterDatabase" localSheetId="3" hidden="1">'Unos rashoda P4'!$A$2:$P$501</definedName>
    <definedName name="Excel_BuiltIn_Print_Titles_3">'KORISNICI DP'!$A$2:$IL$3</definedName>
    <definedName name="Excel_BuiltIn_Print_Titles_3_1">'KORISNICI DP'!$A$2:$IK$3</definedName>
    <definedName name="_xlnm.Print_Area" localSheetId="6">'A.2 RASHODI'!$A$1:$W$52</definedName>
    <definedName name="_xlnm.Print_Area" localSheetId="7">'A.3 RASHODI IF'!$A$1:$E$31</definedName>
    <definedName name="_xlnm.Print_Area" localSheetId="8">'A.4 RASHODI FUNK'!$A$1:$E$83</definedName>
    <definedName name="_xlnm.Print_Area" localSheetId="9">'B. RAČUN FIN'!$A$1:$W$35</definedName>
    <definedName name="_xlnm.Print_Area" localSheetId="1">'Unos prihoda i primitaka'!$A$1:$J$25</definedName>
    <definedName name="_xlnm.Print_Area" localSheetId="2">'Unos rashoda i izdataka'!$A$1:$L$183</definedName>
    <definedName name="_xlnm.Print_Area" localSheetId="3">'Unos rashoda P4'!$A$1:$P$293</definedName>
    <definedName name="SAPBEXhrIndnt">1</definedName>
    <definedName name="SAPBEXrevision">1</definedName>
    <definedName name="SAPBEXsysID">"PBW"</definedName>
    <definedName name="SAPBEXwbID">"C7P4ZZNWMVNLSDLB24HAO64UB"</definedName>
  </definedNames>
  <calcPr calcId="162913"/>
  <extLst>
    <ext uri="GoogleSheetsCustomDataVersion1">
      <go:sheetsCustomData xmlns:go="http://customooxmlschemas.google.com/" r:id="rId18" roundtripDataSignature="AMtx7mi8QSAee0FRJzzovj9DknZ8nXRZRg=="/>
    </ext>
  </extLst>
</workbook>
</file>

<file path=xl/calcChain.xml><?xml version="1.0" encoding="utf-8"?>
<calcChain xmlns="http://schemas.openxmlformats.org/spreadsheetml/2006/main">
  <c r="I7" i="10" l="1"/>
  <c r="H1091" i="4" l="1"/>
  <c r="O1092" i="4" s="1"/>
  <c r="G230" i="4" l="1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H526" i="2"/>
  <c r="I526" i="2"/>
  <c r="G526" i="2"/>
  <c r="M22" i="2"/>
  <c r="L22" i="2"/>
  <c r="B22" i="2"/>
  <c r="A22" i="2"/>
  <c r="Q151" i="3" l="1"/>
  <c r="P151" i="3"/>
  <c r="O151" i="3"/>
  <c r="I151" i="3"/>
  <c r="R151" i="3" s="1"/>
  <c r="F151" i="3"/>
  <c r="D151" i="3"/>
  <c r="B151" i="3"/>
  <c r="A151" i="3"/>
  <c r="Q150" i="3"/>
  <c r="P150" i="3"/>
  <c r="O150" i="3"/>
  <c r="I150" i="3"/>
  <c r="R150" i="3" s="1"/>
  <c r="F150" i="3"/>
  <c r="D150" i="3"/>
  <c r="B150" i="3"/>
  <c r="A150" i="3"/>
  <c r="Q149" i="3"/>
  <c r="P149" i="3"/>
  <c r="O149" i="3"/>
  <c r="I149" i="3"/>
  <c r="R149" i="3" s="1"/>
  <c r="F149" i="3"/>
  <c r="D149" i="3"/>
  <c r="B149" i="3"/>
  <c r="A149" i="3"/>
  <c r="Q148" i="3"/>
  <c r="P148" i="3"/>
  <c r="O148" i="3"/>
  <c r="I148" i="3"/>
  <c r="R148" i="3" s="1"/>
  <c r="F148" i="3"/>
  <c r="D148" i="3"/>
  <c r="B148" i="3"/>
  <c r="A148" i="3"/>
  <c r="Q147" i="3"/>
  <c r="P147" i="3"/>
  <c r="O147" i="3"/>
  <c r="I147" i="3"/>
  <c r="R147" i="3" s="1"/>
  <c r="F147" i="3"/>
  <c r="D147" i="3"/>
  <c r="B147" i="3"/>
  <c r="A147" i="3"/>
  <c r="I1091" i="4" l="1"/>
  <c r="I1092" i="4" s="1"/>
  <c r="J1091" i="4"/>
  <c r="J1092" i="4" s="1"/>
  <c r="H1092" i="4"/>
  <c r="K513" i="3" l="1"/>
  <c r="K514" i="3" s="1"/>
  <c r="L513" i="3"/>
  <c r="L514" i="3" s="1"/>
  <c r="J513" i="3"/>
  <c r="J514" i="3" l="1"/>
  <c r="M514" i="3"/>
  <c r="D614" i="14"/>
  <c r="D613" i="14"/>
  <c r="D612" i="14"/>
  <c r="D611" i="14"/>
  <c r="D610" i="14"/>
  <c r="D609" i="14"/>
  <c r="D608" i="14"/>
  <c r="D607" i="14"/>
  <c r="D606" i="14"/>
  <c r="D605" i="14"/>
  <c r="D604" i="14"/>
  <c r="D603" i="14"/>
  <c r="D602" i="14"/>
  <c r="D601" i="14"/>
  <c r="D600" i="14"/>
  <c r="D599" i="14"/>
  <c r="D598" i="14"/>
  <c r="D597" i="14"/>
  <c r="D596" i="14"/>
  <c r="D595" i="14"/>
  <c r="D594" i="14"/>
  <c r="D593" i="14"/>
  <c r="D592" i="14"/>
  <c r="D591" i="14"/>
  <c r="D590" i="14"/>
  <c r="D589" i="14"/>
  <c r="D588" i="14"/>
  <c r="D587" i="14"/>
  <c r="D586" i="14"/>
  <c r="D585" i="14"/>
  <c r="D584" i="14"/>
  <c r="D583" i="14"/>
  <c r="D582" i="14"/>
  <c r="D581" i="14"/>
  <c r="D580" i="14"/>
  <c r="D579" i="14"/>
  <c r="D578" i="14"/>
  <c r="D577" i="14"/>
  <c r="D576" i="14"/>
  <c r="D575" i="14"/>
  <c r="D574" i="14"/>
  <c r="D573" i="14"/>
  <c r="D572" i="14"/>
  <c r="D571" i="14"/>
  <c r="D570" i="14"/>
  <c r="D569" i="14"/>
  <c r="D568" i="14"/>
  <c r="D567" i="14"/>
  <c r="D566" i="14"/>
  <c r="D565" i="14"/>
  <c r="D564" i="14"/>
  <c r="D563" i="14"/>
  <c r="D562" i="14"/>
  <c r="D561" i="14"/>
  <c r="D560" i="14"/>
  <c r="D559" i="14"/>
  <c r="D558" i="14"/>
  <c r="D557" i="14"/>
  <c r="D556" i="14"/>
  <c r="D555" i="14"/>
  <c r="D554" i="14"/>
  <c r="D553" i="14"/>
  <c r="D552" i="14"/>
  <c r="D551" i="14"/>
  <c r="D550" i="14"/>
  <c r="D549" i="14"/>
  <c r="D548" i="14"/>
  <c r="D547" i="14"/>
  <c r="D546" i="14"/>
  <c r="D545" i="14"/>
  <c r="D544" i="14"/>
  <c r="D543" i="14"/>
  <c r="D542" i="14"/>
  <c r="D541" i="14"/>
  <c r="D540" i="14"/>
  <c r="D539" i="14"/>
  <c r="D538" i="14"/>
  <c r="D537" i="14"/>
  <c r="D536" i="14"/>
  <c r="D535" i="14"/>
  <c r="D534" i="14"/>
  <c r="D533" i="14"/>
  <c r="D532" i="14"/>
  <c r="D531" i="14"/>
  <c r="D530" i="14"/>
  <c r="D529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D504" i="14"/>
  <c r="D503" i="14"/>
  <c r="D502" i="14"/>
  <c r="D501" i="14"/>
  <c r="D500" i="14"/>
  <c r="D499" i="14"/>
  <c r="D498" i="14"/>
  <c r="D497" i="14"/>
  <c r="D496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D471" i="14"/>
  <c r="D470" i="14"/>
  <c r="D469" i="14"/>
  <c r="D468" i="14"/>
  <c r="D467" i="14"/>
  <c r="D466" i="14"/>
  <c r="D465" i="14"/>
  <c r="D464" i="14"/>
  <c r="D463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D9" i="14"/>
  <c r="D8" i="14"/>
  <c r="D7" i="14"/>
  <c r="D6" i="14"/>
  <c r="A6" i="14"/>
  <c r="A7" i="14" s="1"/>
  <c r="A8" i="14" s="1"/>
  <c r="A9" i="14" s="1"/>
  <c r="D5" i="14"/>
  <c r="A5" i="14"/>
  <c r="D4" i="14"/>
  <c r="W35" i="10"/>
  <c r="V35" i="10"/>
  <c r="U35" i="10"/>
  <c r="S35" i="10"/>
  <c r="Q35" i="10"/>
  <c r="P35" i="10"/>
  <c r="N35" i="10"/>
  <c r="M35" i="10"/>
  <c r="L35" i="10"/>
  <c r="I35" i="10"/>
  <c r="H35" i="10"/>
  <c r="W34" i="10"/>
  <c r="V34" i="10"/>
  <c r="U34" i="10"/>
  <c r="S34" i="10"/>
  <c r="Q34" i="10"/>
  <c r="P34" i="10"/>
  <c r="N34" i="10"/>
  <c r="M34" i="10"/>
  <c r="L34" i="10"/>
  <c r="I34" i="10"/>
  <c r="H34" i="10"/>
  <c r="W24" i="10"/>
  <c r="V24" i="10"/>
  <c r="U24" i="10"/>
  <c r="S24" i="10"/>
  <c r="Q24" i="10"/>
  <c r="P24" i="10"/>
  <c r="N24" i="10"/>
  <c r="M24" i="10"/>
  <c r="L24" i="10"/>
  <c r="I24" i="10"/>
  <c r="H24" i="10"/>
  <c r="W23" i="10"/>
  <c r="V23" i="10"/>
  <c r="U23" i="10"/>
  <c r="S23" i="10"/>
  <c r="Q23" i="10"/>
  <c r="P23" i="10"/>
  <c r="N23" i="10"/>
  <c r="M23" i="10"/>
  <c r="L23" i="10"/>
  <c r="I23" i="10"/>
  <c r="H23" i="10"/>
  <c r="W13" i="10"/>
  <c r="V13" i="10"/>
  <c r="U13" i="10"/>
  <c r="S13" i="10"/>
  <c r="Q13" i="10"/>
  <c r="P13" i="10"/>
  <c r="N13" i="10"/>
  <c r="M13" i="10"/>
  <c r="L13" i="10"/>
  <c r="I13" i="10"/>
  <c r="H13" i="10"/>
  <c r="W12" i="10"/>
  <c r="V12" i="10"/>
  <c r="U12" i="10"/>
  <c r="S12" i="10"/>
  <c r="Q12" i="10"/>
  <c r="P12" i="10"/>
  <c r="N12" i="10"/>
  <c r="M12" i="10"/>
  <c r="L12" i="10"/>
  <c r="I12" i="10"/>
  <c r="H12" i="10"/>
  <c r="W52" i="7"/>
  <c r="V52" i="7"/>
  <c r="U52" i="7"/>
  <c r="S52" i="7"/>
  <c r="Q52" i="7"/>
  <c r="P52" i="7"/>
  <c r="N52" i="7"/>
  <c r="M52" i="7"/>
  <c r="L52" i="7"/>
  <c r="I52" i="7"/>
  <c r="H52" i="7"/>
  <c r="W51" i="7"/>
  <c r="V51" i="7"/>
  <c r="U51" i="7"/>
  <c r="S51" i="7"/>
  <c r="Q51" i="7"/>
  <c r="P51" i="7"/>
  <c r="N51" i="7"/>
  <c r="M51" i="7"/>
  <c r="L51" i="7"/>
  <c r="I51" i="7"/>
  <c r="H51" i="7"/>
  <c r="W50" i="7"/>
  <c r="V50" i="7"/>
  <c r="U50" i="7"/>
  <c r="S50" i="7"/>
  <c r="Q50" i="7"/>
  <c r="P50" i="7"/>
  <c r="N50" i="7"/>
  <c r="M50" i="7"/>
  <c r="L50" i="7"/>
  <c r="I50" i="7"/>
  <c r="H50" i="7"/>
  <c r="W49" i="7"/>
  <c r="V49" i="7"/>
  <c r="U49" i="7"/>
  <c r="S49" i="7"/>
  <c r="Q49" i="7"/>
  <c r="P49" i="7"/>
  <c r="N49" i="7"/>
  <c r="M49" i="7"/>
  <c r="L49" i="7"/>
  <c r="I49" i="7"/>
  <c r="H49" i="7"/>
  <c r="W48" i="7"/>
  <c r="V48" i="7"/>
  <c r="U48" i="7"/>
  <c r="S48" i="7"/>
  <c r="Q48" i="7"/>
  <c r="P48" i="7"/>
  <c r="N48" i="7"/>
  <c r="M48" i="7"/>
  <c r="L48" i="7"/>
  <c r="I48" i="7"/>
  <c r="H48" i="7"/>
  <c r="W46" i="7"/>
  <c r="V46" i="7"/>
  <c r="U46" i="7"/>
  <c r="S46" i="7"/>
  <c r="Q46" i="7"/>
  <c r="P46" i="7"/>
  <c r="N46" i="7"/>
  <c r="M46" i="7"/>
  <c r="L46" i="7"/>
  <c r="I46" i="7"/>
  <c r="H46" i="7"/>
  <c r="W45" i="7"/>
  <c r="V45" i="7"/>
  <c r="U45" i="7"/>
  <c r="S45" i="7"/>
  <c r="Q45" i="7"/>
  <c r="P45" i="7"/>
  <c r="N45" i="7"/>
  <c r="M45" i="7"/>
  <c r="L45" i="7"/>
  <c r="I45" i="7"/>
  <c r="H45" i="7"/>
  <c r="W44" i="7"/>
  <c r="V44" i="7"/>
  <c r="U44" i="7"/>
  <c r="S44" i="7"/>
  <c r="Q44" i="7"/>
  <c r="P44" i="7"/>
  <c r="N44" i="7"/>
  <c r="M44" i="7"/>
  <c r="L44" i="7"/>
  <c r="I44" i="7"/>
  <c r="H44" i="7"/>
  <c r="W43" i="7"/>
  <c r="V43" i="7"/>
  <c r="U43" i="7"/>
  <c r="S43" i="7"/>
  <c r="Q43" i="7"/>
  <c r="P43" i="7"/>
  <c r="N43" i="7"/>
  <c r="M43" i="7"/>
  <c r="L43" i="7"/>
  <c r="I43" i="7"/>
  <c r="H43" i="7"/>
  <c r="W42" i="7"/>
  <c r="V42" i="7"/>
  <c r="U42" i="7"/>
  <c r="S42" i="7"/>
  <c r="Q42" i="7"/>
  <c r="P42" i="7"/>
  <c r="N42" i="7"/>
  <c r="M42" i="7"/>
  <c r="L42" i="7"/>
  <c r="I42" i="7"/>
  <c r="H42" i="7"/>
  <c r="W41" i="7"/>
  <c r="V41" i="7"/>
  <c r="U41" i="7"/>
  <c r="S41" i="7"/>
  <c r="Q41" i="7"/>
  <c r="P41" i="7"/>
  <c r="N41" i="7"/>
  <c r="M41" i="7"/>
  <c r="L41" i="7"/>
  <c r="I41" i="7"/>
  <c r="H41" i="7"/>
  <c r="W40" i="7"/>
  <c r="V40" i="7"/>
  <c r="U40" i="7"/>
  <c r="S40" i="7"/>
  <c r="Q40" i="7"/>
  <c r="P40" i="7"/>
  <c r="N40" i="7"/>
  <c r="M40" i="7"/>
  <c r="L40" i="7"/>
  <c r="I40" i="7"/>
  <c r="H40" i="7"/>
  <c r="W35" i="7"/>
  <c r="V35" i="7"/>
  <c r="U35" i="7"/>
  <c r="S35" i="7"/>
  <c r="Q35" i="7"/>
  <c r="P35" i="7"/>
  <c r="N35" i="7"/>
  <c r="M35" i="7"/>
  <c r="L35" i="7"/>
  <c r="I35" i="7"/>
  <c r="H35" i="7"/>
  <c r="W34" i="7"/>
  <c r="V34" i="7"/>
  <c r="U34" i="7"/>
  <c r="S34" i="7"/>
  <c r="Q34" i="7"/>
  <c r="P34" i="7"/>
  <c r="N34" i="7"/>
  <c r="M34" i="7"/>
  <c r="L34" i="7"/>
  <c r="I34" i="7"/>
  <c r="H34" i="7"/>
  <c r="W33" i="7"/>
  <c r="V33" i="7"/>
  <c r="U33" i="7"/>
  <c r="S33" i="7"/>
  <c r="Q33" i="7"/>
  <c r="P33" i="7"/>
  <c r="N33" i="7"/>
  <c r="M33" i="7"/>
  <c r="L33" i="7"/>
  <c r="I33" i="7"/>
  <c r="H33" i="7"/>
  <c r="W32" i="7"/>
  <c r="V32" i="7"/>
  <c r="U32" i="7"/>
  <c r="S32" i="7"/>
  <c r="Q32" i="7"/>
  <c r="P32" i="7"/>
  <c r="N32" i="7"/>
  <c r="M32" i="7"/>
  <c r="L32" i="7"/>
  <c r="I32" i="7"/>
  <c r="H32" i="7"/>
  <c r="W31" i="7"/>
  <c r="V31" i="7"/>
  <c r="U31" i="7"/>
  <c r="S31" i="7"/>
  <c r="Q31" i="7"/>
  <c r="P31" i="7"/>
  <c r="N31" i="7"/>
  <c r="M31" i="7"/>
  <c r="L31" i="7"/>
  <c r="I31" i="7"/>
  <c r="H31" i="7"/>
  <c r="W29" i="7"/>
  <c r="V29" i="7"/>
  <c r="U29" i="7"/>
  <c r="S29" i="7"/>
  <c r="Q29" i="7"/>
  <c r="P29" i="7"/>
  <c r="N29" i="7"/>
  <c r="M29" i="7"/>
  <c r="L29" i="7"/>
  <c r="I29" i="7"/>
  <c r="H29" i="7"/>
  <c r="W28" i="7"/>
  <c r="V28" i="7"/>
  <c r="U28" i="7"/>
  <c r="S28" i="7"/>
  <c r="Q28" i="7"/>
  <c r="P28" i="7"/>
  <c r="N28" i="7"/>
  <c r="M28" i="7"/>
  <c r="L28" i="7"/>
  <c r="I28" i="7"/>
  <c r="H28" i="7"/>
  <c r="W27" i="7"/>
  <c r="V27" i="7"/>
  <c r="U27" i="7"/>
  <c r="S27" i="7"/>
  <c r="Q27" i="7"/>
  <c r="P27" i="7"/>
  <c r="N27" i="7"/>
  <c r="M27" i="7"/>
  <c r="L27" i="7"/>
  <c r="I27" i="7"/>
  <c r="H27" i="7"/>
  <c r="W26" i="7"/>
  <c r="V26" i="7"/>
  <c r="U26" i="7"/>
  <c r="S26" i="7"/>
  <c r="Q26" i="7"/>
  <c r="P26" i="7"/>
  <c r="N26" i="7"/>
  <c r="M26" i="7"/>
  <c r="L26" i="7"/>
  <c r="I26" i="7"/>
  <c r="H26" i="7"/>
  <c r="W25" i="7"/>
  <c r="V25" i="7"/>
  <c r="U25" i="7"/>
  <c r="S25" i="7"/>
  <c r="Q25" i="7"/>
  <c r="P25" i="7"/>
  <c r="N25" i="7"/>
  <c r="M25" i="7"/>
  <c r="L25" i="7"/>
  <c r="I25" i="7"/>
  <c r="H25" i="7"/>
  <c r="W24" i="7"/>
  <c r="V24" i="7"/>
  <c r="U24" i="7"/>
  <c r="S24" i="7"/>
  <c r="Q24" i="7"/>
  <c r="P24" i="7"/>
  <c r="N24" i="7"/>
  <c r="M24" i="7"/>
  <c r="L24" i="7"/>
  <c r="I24" i="7"/>
  <c r="H24" i="7"/>
  <c r="W23" i="7"/>
  <c r="V23" i="7"/>
  <c r="U23" i="7"/>
  <c r="S23" i="7"/>
  <c r="Q23" i="7"/>
  <c r="P23" i="7"/>
  <c r="N23" i="7"/>
  <c r="M23" i="7"/>
  <c r="L23" i="7"/>
  <c r="I23" i="7"/>
  <c r="H23" i="7"/>
  <c r="W18" i="7"/>
  <c r="V18" i="7"/>
  <c r="U18" i="7"/>
  <c r="S18" i="7"/>
  <c r="Q18" i="7"/>
  <c r="P18" i="7"/>
  <c r="N18" i="7"/>
  <c r="M18" i="7"/>
  <c r="L18" i="7"/>
  <c r="I18" i="7"/>
  <c r="H18" i="7"/>
  <c r="W17" i="7"/>
  <c r="V17" i="7"/>
  <c r="U17" i="7"/>
  <c r="S17" i="7"/>
  <c r="Q17" i="7"/>
  <c r="P17" i="7"/>
  <c r="N17" i="7"/>
  <c r="M17" i="7"/>
  <c r="L17" i="7"/>
  <c r="I17" i="7"/>
  <c r="H17" i="7"/>
  <c r="W16" i="7"/>
  <c r="V16" i="7"/>
  <c r="U16" i="7"/>
  <c r="S16" i="7"/>
  <c r="Q16" i="7"/>
  <c r="P16" i="7"/>
  <c r="N16" i="7"/>
  <c r="M16" i="7"/>
  <c r="L16" i="7"/>
  <c r="I16" i="7"/>
  <c r="H16" i="7"/>
  <c r="W15" i="7"/>
  <c r="V15" i="7"/>
  <c r="U15" i="7"/>
  <c r="S15" i="7"/>
  <c r="Q15" i="7"/>
  <c r="P15" i="7"/>
  <c r="N15" i="7"/>
  <c r="M15" i="7"/>
  <c r="L15" i="7"/>
  <c r="I15" i="7"/>
  <c r="H15" i="7"/>
  <c r="W14" i="7"/>
  <c r="V14" i="7"/>
  <c r="U14" i="7"/>
  <c r="S14" i="7"/>
  <c r="Q14" i="7"/>
  <c r="P14" i="7"/>
  <c r="N14" i="7"/>
  <c r="M14" i="7"/>
  <c r="L14" i="7"/>
  <c r="I14" i="7"/>
  <c r="H14" i="7"/>
  <c r="W12" i="7"/>
  <c r="V12" i="7"/>
  <c r="U12" i="7"/>
  <c r="S12" i="7"/>
  <c r="Q12" i="7"/>
  <c r="P12" i="7"/>
  <c r="N12" i="7"/>
  <c r="M12" i="7"/>
  <c r="L12" i="7"/>
  <c r="I12" i="7"/>
  <c r="H12" i="7"/>
  <c r="W11" i="7"/>
  <c r="V11" i="7"/>
  <c r="U11" i="7"/>
  <c r="S11" i="7"/>
  <c r="Q11" i="7"/>
  <c r="P11" i="7"/>
  <c r="N11" i="7"/>
  <c r="M11" i="7"/>
  <c r="L11" i="7"/>
  <c r="I11" i="7"/>
  <c r="H11" i="7"/>
  <c r="W10" i="7"/>
  <c r="V10" i="7"/>
  <c r="U10" i="7"/>
  <c r="S10" i="7"/>
  <c r="Q10" i="7"/>
  <c r="P10" i="7"/>
  <c r="N10" i="7"/>
  <c r="M10" i="7"/>
  <c r="L10" i="7"/>
  <c r="I10" i="7"/>
  <c r="H10" i="7"/>
  <c r="W9" i="7"/>
  <c r="V9" i="7"/>
  <c r="U9" i="7"/>
  <c r="S9" i="7"/>
  <c r="Q9" i="7"/>
  <c r="P9" i="7"/>
  <c r="N9" i="7"/>
  <c r="M9" i="7"/>
  <c r="L9" i="7"/>
  <c r="I9" i="7"/>
  <c r="H9" i="7"/>
  <c r="W8" i="7"/>
  <c r="V8" i="7"/>
  <c r="U8" i="7"/>
  <c r="S8" i="7"/>
  <c r="Q8" i="7"/>
  <c r="P8" i="7"/>
  <c r="N8" i="7"/>
  <c r="M8" i="7"/>
  <c r="L8" i="7"/>
  <c r="I8" i="7"/>
  <c r="H8" i="7"/>
  <c r="W7" i="7"/>
  <c r="V7" i="7"/>
  <c r="U7" i="7"/>
  <c r="S7" i="7"/>
  <c r="Q7" i="7"/>
  <c r="P7" i="7"/>
  <c r="N7" i="7"/>
  <c r="M7" i="7"/>
  <c r="L7" i="7"/>
  <c r="I7" i="7"/>
  <c r="H7" i="7"/>
  <c r="W6" i="7"/>
  <c r="V6" i="7"/>
  <c r="U6" i="7"/>
  <c r="S6" i="7"/>
  <c r="Q6" i="7"/>
  <c r="P6" i="7"/>
  <c r="N6" i="7"/>
  <c r="M6" i="7"/>
  <c r="L6" i="7"/>
  <c r="I6" i="7"/>
  <c r="H6" i="7"/>
  <c r="D23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15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7" i="5"/>
  <c r="D5" i="5"/>
  <c r="AF1090" i="4"/>
  <c r="AG1090" i="4" s="1"/>
  <c r="AG1089" i="4"/>
  <c r="AF1089" i="4"/>
  <c r="AG1088" i="4"/>
  <c r="AF1088" i="4"/>
  <c r="AF1087" i="4"/>
  <c r="AG1087" i="4" s="1"/>
  <c r="AF1086" i="4"/>
  <c r="AG1086" i="4" s="1"/>
  <c r="AF1085" i="4"/>
  <c r="AG1085" i="4" s="1"/>
  <c r="AF1084" i="4"/>
  <c r="AG1084" i="4" s="1"/>
  <c r="AF1083" i="4"/>
  <c r="AG1083" i="4" s="1"/>
  <c r="AF1082" i="4"/>
  <c r="AG1082" i="4" s="1"/>
  <c r="AF1081" i="4"/>
  <c r="AG1081" i="4" s="1"/>
  <c r="AG1080" i="4"/>
  <c r="AF1080" i="4"/>
  <c r="AF1079" i="4"/>
  <c r="AG1079" i="4" s="1"/>
  <c r="AG1078" i="4"/>
  <c r="AF1078" i="4"/>
  <c r="AG1077" i="4"/>
  <c r="AF1077" i="4"/>
  <c r="AF1076" i="4"/>
  <c r="AG1076" i="4" s="1"/>
  <c r="AF1075" i="4"/>
  <c r="AG1075" i="4" s="1"/>
  <c r="AF1074" i="4"/>
  <c r="AG1074" i="4" s="1"/>
  <c r="AF1073" i="4"/>
  <c r="AG1073" i="4" s="1"/>
  <c r="AF1072" i="4"/>
  <c r="AG1072" i="4" s="1"/>
  <c r="AF1071" i="4"/>
  <c r="AG1071" i="4" s="1"/>
  <c r="AG1070" i="4"/>
  <c r="AF1070" i="4"/>
  <c r="AG1069" i="4"/>
  <c r="AF1069" i="4"/>
  <c r="AG1068" i="4"/>
  <c r="AF1068" i="4"/>
  <c r="AF1067" i="4"/>
  <c r="AG1067" i="4" s="1"/>
  <c r="AF1066" i="4"/>
  <c r="AG1066" i="4" s="1"/>
  <c r="AF1065" i="4"/>
  <c r="AG1065" i="4" s="1"/>
  <c r="AF1064" i="4"/>
  <c r="AG1064" i="4" s="1"/>
  <c r="AF1063" i="4"/>
  <c r="AG1063" i="4" s="1"/>
  <c r="AF1062" i="4"/>
  <c r="AG1062" i="4" s="1"/>
  <c r="AG1061" i="4"/>
  <c r="AF1061" i="4"/>
  <c r="AG1060" i="4"/>
  <c r="AF1060" i="4"/>
  <c r="AF1059" i="4"/>
  <c r="AG1059" i="4" s="1"/>
  <c r="AF1058" i="4"/>
  <c r="AG1058" i="4" s="1"/>
  <c r="AF1057" i="4"/>
  <c r="AG1057" i="4" s="1"/>
  <c r="AF1056" i="4"/>
  <c r="AG1056" i="4" s="1"/>
  <c r="AF1055" i="4"/>
  <c r="AG1055" i="4" s="1"/>
  <c r="AG1054" i="4"/>
  <c r="AF1054" i="4"/>
  <c r="AG1053" i="4"/>
  <c r="AF1053" i="4"/>
  <c r="AG1052" i="4"/>
  <c r="AF1052" i="4"/>
  <c r="AF1051" i="4"/>
  <c r="AG1051" i="4" s="1"/>
  <c r="AF1050" i="4"/>
  <c r="AG1050" i="4" s="1"/>
  <c r="AF1049" i="4"/>
  <c r="AG1049" i="4" s="1"/>
  <c r="AF1048" i="4"/>
  <c r="AG1048" i="4" s="1"/>
  <c r="AF1047" i="4"/>
  <c r="AG1047" i="4" s="1"/>
  <c r="AG1046" i="4"/>
  <c r="AF1046" i="4"/>
  <c r="AG1045" i="4"/>
  <c r="AF1045" i="4"/>
  <c r="AF1044" i="4"/>
  <c r="AG1044" i="4" s="1"/>
  <c r="AF1043" i="4"/>
  <c r="AG1043" i="4" s="1"/>
  <c r="AF1042" i="4"/>
  <c r="AG1042" i="4" s="1"/>
  <c r="AF1041" i="4"/>
  <c r="AG1041" i="4" s="1"/>
  <c r="AF1040" i="4"/>
  <c r="AG1040" i="4" s="1"/>
  <c r="AF1039" i="4"/>
  <c r="AG1039" i="4" s="1"/>
  <c r="AG1038" i="4"/>
  <c r="AF1038" i="4"/>
  <c r="AG1037" i="4"/>
  <c r="AF1037" i="4"/>
  <c r="AG1036" i="4"/>
  <c r="AF1036" i="4"/>
  <c r="AF1035" i="4"/>
  <c r="AG1035" i="4" s="1"/>
  <c r="AG1034" i="4"/>
  <c r="AF1034" i="4"/>
  <c r="AF1033" i="4"/>
  <c r="AG1033" i="4" s="1"/>
  <c r="AF1032" i="4"/>
  <c r="AG1032" i="4" s="1"/>
  <c r="AF1031" i="4"/>
  <c r="AG1031" i="4" s="1"/>
  <c r="AG1030" i="4"/>
  <c r="AF1030" i="4"/>
  <c r="AG1029" i="4"/>
  <c r="AF1029" i="4"/>
  <c r="AG1028" i="4"/>
  <c r="AF1028" i="4"/>
  <c r="AF1027" i="4"/>
  <c r="AG1027" i="4" s="1"/>
  <c r="AF1026" i="4"/>
  <c r="AG1026" i="4" s="1"/>
  <c r="AG1025" i="4"/>
  <c r="AF1025" i="4"/>
  <c r="AF1024" i="4"/>
  <c r="AG1024" i="4" s="1"/>
  <c r="AF1023" i="4"/>
  <c r="AG1023" i="4" s="1"/>
  <c r="AG1022" i="4"/>
  <c r="AF1022" i="4"/>
  <c r="AG1021" i="4"/>
  <c r="AF1021" i="4"/>
  <c r="AG1020" i="4"/>
  <c r="AF1020" i="4"/>
  <c r="AF1019" i="4"/>
  <c r="AG1019" i="4" s="1"/>
  <c r="AF1018" i="4"/>
  <c r="AG1018" i="4" s="1"/>
  <c r="AF1017" i="4"/>
  <c r="AG1017" i="4" s="1"/>
  <c r="AF1016" i="4"/>
  <c r="AG1016" i="4" s="1"/>
  <c r="AF1015" i="4"/>
  <c r="AG1015" i="4" s="1"/>
  <c r="AG1014" i="4"/>
  <c r="AF1014" i="4"/>
  <c r="AG1013" i="4"/>
  <c r="AF1013" i="4"/>
  <c r="AG1012" i="4"/>
  <c r="AF1012" i="4"/>
  <c r="AF1011" i="4"/>
  <c r="AG1011" i="4" s="1"/>
  <c r="AG1010" i="4"/>
  <c r="AF1010" i="4"/>
  <c r="AF1009" i="4"/>
  <c r="AG1009" i="4" s="1"/>
  <c r="AF1008" i="4"/>
  <c r="AG1008" i="4" s="1"/>
  <c r="AF1007" i="4"/>
  <c r="AG1007" i="4" s="1"/>
  <c r="AG1006" i="4"/>
  <c r="AF1006" i="4"/>
  <c r="AG1005" i="4"/>
  <c r="AF1005" i="4"/>
  <c r="AG1004" i="4"/>
  <c r="AF1004" i="4"/>
  <c r="AF1003" i="4"/>
  <c r="AG1003" i="4" s="1"/>
  <c r="AG1002" i="4"/>
  <c r="AF1002" i="4"/>
  <c r="AF1001" i="4"/>
  <c r="AG1001" i="4" s="1"/>
  <c r="AF1000" i="4"/>
  <c r="AG1000" i="4" s="1"/>
  <c r="AF999" i="4"/>
  <c r="AG999" i="4" s="1"/>
  <c r="AF998" i="4"/>
  <c r="AG998" i="4" s="1"/>
  <c r="AG997" i="4"/>
  <c r="AF997" i="4"/>
  <c r="AG996" i="4"/>
  <c r="AF996" i="4"/>
  <c r="AF995" i="4"/>
  <c r="AG995" i="4" s="1"/>
  <c r="AF994" i="4"/>
  <c r="AG994" i="4" s="1"/>
  <c r="AF993" i="4"/>
  <c r="AG993" i="4" s="1"/>
  <c r="AG992" i="4"/>
  <c r="AF992" i="4"/>
  <c r="AF991" i="4"/>
  <c r="AG991" i="4" s="1"/>
  <c r="AG990" i="4"/>
  <c r="AF990" i="4"/>
  <c r="AG989" i="4"/>
  <c r="AF989" i="4"/>
  <c r="AF988" i="4"/>
  <c r="AG988" i="4" s="1"/>
  <c r="AF987" i="4"/>
  <c r="AG987" i="4" s="1"/>
  <c r="AF986" i="4"/>
  <c r="AG986" i="4" s="1"/>
  <c r="AF985" i="4"/>
  <c r="AG985" i="4" s="1"/>
  <c r="AG984" i="4"/>
  <c r="AF984" i="4"/>
  <c r="AF983" i="4"/>
  <c r="AG983" i="4" s="1"/>
  <c r="AG982" i="4"/>
  <c r="AF982" i="4"/>
  <c r="AG981" i="4"/>
  <c r="AF981" i="4"/>
  <c r="AF980" i="4"/>
  <c r="AG980" i="4" s="1"/>
  <c r="AF979" i="4"/>
  <c r="AG979" i="4" s="1"/>
  <c r="AF978" i="4"/>
  <c r="AG978" i="4" s="1"/>
  <c r="AF977" i="4"/>
  <c r="AG977" i="4" s="1"/>
  <c r="AF976" i="4"/>
  <c r="AG976" i="4" s="1"/>
  <c r="AF975" i="4"/>
  <c r="AG975" i="4" s="1"/>
  <c r="AG974" i="4"/>
  <c r="AF974" i="4"/>
  <c r="AG973" i="4"/>
  <c r="AF973" i="4"/>
  <c r="AG972" i="4"/>
  <c r="AF972" i="4"/>
  <c r="AF971" i="4"/>
  <c r="AG971" i="4" s="1"/>
  <c r="AF970" i="4"/>
  <c r="AG970" i="4" s="1"/>
  <c r="AG969" i="4"/>
  <c r="AF969" i="4"/>
  <c r="AF968" i="4"/>
  <c r="AG968" i="4" s="1"/>
  <c r="AF967" i="4"/>
  <c r="AG967" i="4" s="1"/>
  <c r="AG966" i="4"/>
  <c r="AF966" i="4"/>
  <c r="AF965" i="4"/>
  <c r="AG965" i="4" s="1"/>
  <c r="AG964" i="4"/>
  <c r="AF964" i="4"/>
  <c r="AF963" i="4"/>
  <c r="AG963" i="4" s="1"/>
  <c r="AF962" i="4"/>
  <c r="AG962" i="4" s="1"/>
  <c r="AG961" i="4"/>
  <c r="AF961" i="4"/>
  <c r="AF960" i="4"/>
  <c r="AG960" i="4" s="1"/>
  <c r="AF959" i="4"/>
  <c r="AG959" i="4" s="1"/>
  <c r="AG958" i="4"/>
  <c r="AF958" i="4"/>
  <c r="AF957" i="4"/>
  <c r="AG957" i="4" s="1"/>
  <c r="AG956" i="4"/>
  <c r="AF956" i="4"/>
  <c r="AF955" i="4"/>
  <c r="AG955" i="4" s="1"/>
  <c r="AF954" i="4"/>
  <c r="AG954" i="4" s="1"/>
  <c r="AF953" i="4"/>
  <c r="AG953" i="4" s="1"/>
  <c r="AF952" i="4"/>
  <c r="AG952" i="4" s="1"/>
  <c r="AF951" i="4"/>
  <c r="AG951" i="4" s="1"/>
  <c r="AG950" i="4"/>
  <c r="AF950" i="4"/>
  <c r="AG949" i="4"/>
  <c r="AF949" i="4"/>
  <c r="AG948" i="4"/>
  <c r="AF948" i="4"/>
  <c r="AF947" i="4"/>
  <c r="AG947" i="4" s="1"/>
  <c r="AG946" i="4"/>
  <c r="AF946" i="4"/>
  <c r="AF945" i="4"/>
  <c r="AG945" i="4" s="1"/>
  <c r="AF944" i="4"/>
  <c r="AG944" i="4" s="1"/>
  <c r="AF943" i="4"/>
  <c r="AG943" i="4" s="1"/>
  <c r="AG942" i="4"/>
  <c r="AF942" i="4"/>
  <c r="AG941" i="4"/>
  <c r="AF941" i="4"/>
  <c r="AG940" i="4"/>
  <c r="AF940" i="4"/>
  <c r="AF939" i="4"/>
  <c r="AG939" i="4" s="1"/>
  <c r="AG938" i="4"/>
  <c r="AF938" i="4"/>
  <c r="AF937" i="4"/>
  <c r="AG937" i="4" s="1"/>
  <c r="AF936" i="4"/>
  <c r="AG936" i="4" s="1"/>
  <c r="AF935" i="4"/>
  <c r="AG935" i="4" s="1"/>
  <c r="AF934" i="4"/>
  <c r="AG934" i="4" s="1"/>
  <c r="AG933" i="4"/>
  <c r="AF933" i="4"/>
  <c r="AG932" i="4"/>
  <c r="AF932" i="4"/>
  <c r="AF931" i="4"/>
  <c r="AG931" i="4" s="1"/>
  <c r="AF930" i="4"/>
  <c r="AG930" i="4" s="1"/>
  <c r="AF929" i="4"/>
  <c r="AG929" i="4" s="1"/>
  <c r="AF928" i="4"/>
  <c r="AG928" i="4" s="1"/>
  <c r="AF927" i="4"/>
  <c r="AG927" i="4" s="1"/>
  <c r="AF926" i="4"/>
  <c r="AG926" i="4" s="1"/>
  <c r="AG925" i="4"/>
  <c r="AF925" i="4"/>
  <c r="AG924" i="4"/>
  <c r="AF924" i="4"/>
  <c r="AF923" i="4"/>
  <c r="AG923" i="4" s="1"/>
  <c r="AF922" i="4"/>
  <c r="AG922" i="4" s="1"/>
  <c r="AF921" i="4"/>
  <c r="AG921" i="4" s="1"/>
  <c r="AG920" i="4"/>
  <c r="AF920" i="4"/>
  <c r="AF919" i="4"/>
  <c r="AG919" i="4" s="1"/>
  <c r="AG918" i="4"/>
  <c r="AF918" i="4"/>
  <c r="AF917" i="4"/>
  <c r="AG917" i="4" s="1"/>
  <c r="AG916" i="4"/>
  <c r="AF916" i="4"/>
  <c r="AF915" i="4"/>
  <c r="AG915" i="4" s="1"/>
  <c r="AF914" i="4"/>
  <c r="AG914" i="4" s="1"/>
  <c r="AF913" i="4"/>
  <c r="AG913" i="4" s="1"/>
  <c r="AG912" i="4"/>
  <c r="AF912" i="4"/>
  <c r="AF911" i="4"/>
  <c r="AG911" i="4" s="1"/>
  <c r="AF910" i="4"/>
  <c r="AG910" i="4" s="1"/>
  <c r="AF909" i="4"/>
  <c r="AG909" i="4" s="1"/>
  <c r="AG908" i="4"/>
  <c r="AF908" i="4"/>
  <c r="AF907" i="4"/>
  <c r="AG907" i="4" s="1"/>
  <c r="AF906" i="4"/>
  <c r="AG906" i="4" s="1"/>
  <c r="AF905" i="4"/>
  <c r="AG905" i="4" s="1"/>
  <c r="AG904" i="4"/>
  <c r="AF904" i="4"/>
  <c r="AF903" i="4"/>
  <c r="AG903" i="4" s="1"/>
  <c r="AG902" i="4"/>
  <c r="AF902" i="4"/>
  <c r="AF901" i="4"/>
  <c r="AG901" i="4" s="1"/>
  <c r="AG900" i="4"/>
  <c r="AF900" i="4"/>
  <c r="AF899" i="4"/>
  <c r="AG899" i="4" s="1"/>
  <c r="AF898" i="4"/>
  <c r="AG898" i="4" s="1"/>
  <c r="AF897" i="4"/>
  <c r="AG897" i="4" s="1"/>
  <c r="AG896" i="4"/>
  <c r="AF896" i="4"/>
  <c r="AF895" i="4"/>
  <c r="AG895" i="4" s="1"/>
  <c r="AF894" i="4"/>
  <c r="AG894" i="4" s="1"/>
  <c r="AF893" i="4"/>
  <c r="AG893" i="4" s="1"/>
  <c r="AG892" i="4"/>
  <c r="AF892" i="4"/>
  <c r="AF891" i="4"/>
  <c r="AG891" i="4" s="1"/>
  <c r="AF890" i="4"/>
  <c r="AG890" i="4" s="1"/>
  <c r="AF889" i="4"/>
  <c r="AG889" i="4" s="1"/>
  <c r="AG888" i="4"/>
  <c r="AF888" i="4"/>
  <c r="AF887" i="4"/>
  <c r="AG887" i="4" s="1"/>
  <c r="AG886" i="4"/>
  <c r="AF886" i="4"/>
  <c r="AF885" i="4"/>
  <c r="AG885" i="4" s="1"/>
  <c r="AG884" i="4"/>
  <c r="AF884" i="4"/>
  <c r="AF883" i="4"/>
  <c r="AG883" i="4" s="1"/>
  <c r="AF882" i="4"/>
  <c r="AG882" i="4" s="1"/>
  <c r="AF881" i="4"/>
  <c r="AG881" i="4" s="1"/>
  <c r="AG880" i="4"/>
  <c r="AF880" i="4"/>
  <c r="AF879" i="4"/>
  <c r="AG879" i="4" s="1"/>
  <c r="AF878" i="4"/>
  <c r="AG878" i="4" s="1"/>
  <c r="AF877" i="4"/>
  <c r="AG877" i="4" s="1"/>
  <c r="AG876" i="4"/>
  <c r="AF876" i="4"/>
  <c r="AF875" i="4"/>
  <c r="AG875" i="4" s="1"/>
  <c r="AF874" i="4"/>
  <c r="AG874" i="4" s="1"/>
  <c r="AF873" i="4"/>
  <c r="AG873" i="4" s="1"/>
  <c r="AG872" i="4"/>
  <c r="AF872" i="4"/>
  <c r="AF871" i="4"/>
  <c r="AG871" i="4" s="1"/>
  <c r="AG870" i="4"/>
  <c r="AF870" i="4"/>
  <c r="AF869" i="4"/>
  <c r="AG869" i="4" s="1"/>
  <c r="AG868" i="4"/>
  <c r="AF868" i="4"/>
  <c r="AF867" i="4"/>
  <c r="AG867" i="4" s="1"/>
  <c r="AF866" i="4"/>
  <c r="AG866" i="4" s="1"/>
  <c r="AF865" i="4"/>
  <c r="AG865" i="4" s="1"/>
  <c r="AG864" i="4"/>
  <c r="AF864" i="4"/>
  <c r="AF863" i="4"/>
  <c r="AG863" i="4" s="1"/>
  <c r="AF862" i="4"/>
  <c r="AG862" i="4" s="1"/>
  <c r="AF861" i="4"/>
  <c r="AG861" i="4" s="1"/>
  <c r="AG860" i="4"/>
  <c r="AF860" i="4"/>
  <c r="AF859" i="4"/>
  <c r="AG859" i="4" s="1"/>
  <c r="AF858" i="4"/>
  <c r="AG858" i="4" s="1"/>
  <c r="AF857" i="4"/>
  <c r="AG857" i="4" s="1"/>
  <c r="AG856" i="4"/>
  <c r="AF856" i="4"/>
  <c r="AF855" i="4"/>
  <c r="AG855" i="4" s="1"/>
  <c r="AG854" i="4"/>
  <c r="AF854" i="4"/>
  <c r="AF853" i="4"/>
  <c r="AG853" i="4" s="1"/>
  <c r="AG852" i="4"/>
  <c r="AF852" i="4"/>
  <c r="AF851" i="4"/>
  <c r="AG851" i="4" s="1"/>
  <c r="AF850" i="4"/>
  <c r="AG850" i="4" s="1"/>
  <c r="AF849" i="4"/>
  <c r="AG849" i="4" s="1"/>
  <c r="AG848" i="4"/>
  <c r="AF848" i="4"/>
  <c r="AF847" i="4"/>
  <c r="AG847" i="4" s="1"/>
  <c r="AF846" i="4"/>
  <c r="AG846" i="4" s="1"/>
  <c r="AF845" i="4"/>
  <c r="AG845" i="4" s="1"/>
  <c r="AG844" i="4"/>
  <c r="AF844" i="4"/>
  <c r="AF843" i="4"/>
  <c r="AG843" i="4" s="1"/>
  <c r="AF842" i="4"/>
  <c r="AG842" i="4" s="1"/>
  <c r="AF841" i="4"/>
  <c r="AG841" i="4" s="1"/>
  <c r="AG840" i="4"/>
  <c r="AF840" i="4"/>
  <c r="AF839" i="4"/>
  <c r="AG839" i="4" s="1"/>
  <c r="AG838" i="4"/>
  <c r="AF838" i="4"/>
  <c r="AF837" i="4"/>
  <c r="AG837" i="4" s="1"/>
  <c r="AG836" i="4"/>
  <c r="AF836" i="4"/>
  <c r="AF835" i="4"/>
  <c r="AG835" i="4" s="1"/>
  <c r="AF834" i="4"/>
  <c r="AG834" i="4" s="1"/>
  <c r="AF833" i="4"/>
  <c r="AG833" i="4" s="1"/>
  <c r="AG832" i="4"/>
  <c r="AF832" i="4"/>
  <c r="AF831" i="4"/>
  <c r="AG831" i="4" s="1"/>
  <c r="AF830" i="4"/>
  <c r="AG830" i="4" s="1"/>
  <c r="AF829" i="4"/>
  <c r="AG829" i="4" s="1"/>
  <c r="AG828" i="4"/>
  <c r="AF828" i="4"/>
  <c r="AF827" i="4"/>
  <c r="AG827" i="4" s="1"/>
  <c r="AF826" i="4"/>
  <c r="AG826" i="4" s="1"/>
  <c r="AF825" i="4"/>
  <c r="AG825" i="4" s="1"/>
  <c r="AG824" i="4"/>
  <c r="AF824" i="4"/>
  <c r="AF823" i="4"/>
  <c r="AG823" i="4" s="1"/>
  <c r="AG822" i="4"/>
  <c r="AF822" i="4"/>
  <c r="AF821" i="4"/>
  <c r="AG821" i="4" s="1"/>
  <c r="AG820" i="4"/>
  <c r="AF820" i="4"/>
  <c r="AF819" i="4"/>
  <c r="AG819" i="4" s="1"/>
  <c r="AF818" i="4"/>
  <c r="AG818" i="4" s="1"/>
  <c r="AF817" i="4"/>
  <c r="AG817" i="4" s="1"/>
  <c r="AG816" i="4"/>
  <c r="AF816" i="4"/>
  <c r="AF815" i="4"/>
  <c r="AG815" i="4" s="1"/>
  <c r="AF814" i="4"/>
  <c r="AG814" i="4" s="1"/>
  <c r="AF813" i="4"/>
  <c r="AG813" i="4" s="1"/>
  <c r="AG812" i="4"/>
  <c r="AF812" i="4"/>
  <c r="AF811" i="4"/>
  <c r="AG811" i="4" s="1"/>
  <c r="AF810" i="4"/>
  <c r="AG810" i="4" s="1"/>
  <c r="AF809" i="4"/>
  <c r="AG809" i="4" s="1"/>
  <c r="AG808" i="4"/>
  <c r="AF808" i="4"/>
  <c r="AF807" i="4"/>
  <c r="AG807" i="4" s="1"/>
  <c r="AG806" i="4"/>
  <c r="AF806" i="4"/>
  <c r="AF805" i="4"/>
  <c r="AG805" i="4" s="1"/>
  <c r="AG804" i="4"/>
  <c r="AF804" i="4"/>
  <c r="AF803" i="4"/>
  <c r="AG803" i="4" s="1"/>
  <c r="AF802" i="4"/>
  <c r="AG802" i="4" s="1"/>
  <c r="AF801" i="4"/>
  <c r="AG801" i="4" s="1"/>
  <c r="AG800" i="4"/>
  <c r="AF800" i="4"/>
  <c r="AF799" i="4"/>
  <c r="AG799" i="4" s="1"/>
  <c r="AF798" i="4"/>
  <c r="AG798" i="4" s="1"/>
  <c r="AF797" i="4"/>
  <c r="AG797" i="4" s="1"/>
  <c r="AG796" i="4"/>
  <c r="AF796" i="4"/>
  <c r="AF795" i="4"/>
  <c r="AG795" i="4" s="1"/>
  <c r="AF794" i="4"/>
  <c r="AG794" i="4" s="1"/>
  <c r="AF793" i="4"/>
  <c r="AG793" i="4" s="1"/>
  <c r="AG792" i="4"/>
  <c r="AF792" i="4"/>
  <c r="AF791" i="4"/>
  <c r="AG791" i="4" s="1"/>
  <c r="AG790" i="4"/>
  <c r="AF790" i="4"/>
  <c r="AF789" i="4"/>
  <c r="AG789" i="4" s="1"/>
  <c r="AG788" i="4"/>
  <c r="AF788" i="4"/>
  <c r="AF787" i="4"/>
  <c r="AG787" i="4" s="1"/>
  <c r="AF786" i="4"/>
  <c r="AG786" i="4" s="1"/>
  <c r="AF785" i="4"/>
  <c r="AG785" i="4" s="1"/>
  <c r="AG784" i="4"/>
  <c r="AF784" i="4"/>
  <c r="AF783" i="4"/>
  <c r="AG783" i="4" s="1"/>
  <c r="AF782" i="4"/>
  <c r="AG782" i="4" s="1"/>
  <c r="AF781" i="4"/>
  <c r="AG781" i="4" s="1"/>
  <c r="AG780" i="4"/>
  <c r="AF780" i="4"/>
  <c r="AF779" i="4"/>
  <c r="AG779" i="4" s="1"/>
  <c r="AF778" i="4"/>
  <c r="AG778" i="4" s="1"/>
  <c r="AF777" i="4"/>
  <c r="AG777" i="4" s="1"/>
  <c r="AG776" i="4"/>
  <c r="AF776" i="4"/>
  <c r="AF775" i="4"/>
  <c r="AG775" i="4" s="1"/>
  <c r="AG774" i="4"/>
  <c r="AF774" i="4"/>
  <c r="AF773" i="4"/>
  <c r="AG773" i="4" s="1"/>
  <c r="AG772" i="4"/>
  <c r="AF772" i="4"/>
  <c r="AF771" i="4"/>
  <c r="AG771" i="4" s="1"/>
  <c r="AF770" i="4"/>
  <c r="AG770" i="4" s="1"/>
  <c r="AF769" i="4"/>
  <c r="AG769" i="4" s="1"/>
  <c r="AG768" i="4"/>
  <c r="AF768" i="4"/>
  <c r="AF767" i="4"/>
  <c r="AG767" i="4" s="1"/>
  <c r="AF766" i="4"/>
  <c r="AG766" i="4" s="1"/>
  <c r="AF765" i="4"/>
  <c r="AG765" i="4" s="1"/>
  <c r="AG764" i="4"/>
  <c r="AF764" i="4"/>
  <c r="AF763" i="4"/>
  <c r="AG763" i="4" s="1"/>
  <c r="AF762" i="4"/>
  <c r="AG762" i="4" s="1"/>
  <c r="AF761" i="4"/>
  <c r="AG761" i="4" s="1"/>
  <c r="AG760" i="4"/>
  <c r="AF760" i="4"/>
  <c r="AF759" i="4"/>
  <c r="AG759" i="4" s="1"/>
  <c r="AG758" i="4"/>
  <c r="AF758" i="4"/>
  <c r="AF757" i="4"/>
  <c r="AG757" i="4" s="1"/>
  <c r="AG756" i="4"/>
  <c r="AF756" i="4"/>
  <c r="AF755" i="4"/>
  <c r="AG755" i="4" s="1"/>
  <c r="AF754" i="4"/>
  <c r="AG754" i="4" s="1"/>
  <c r="AF753" i="4"/>
  <c r="AG753" i="4" s="1"/>
  <c r="AG752" i="4"/>
  <c r="AF752" i="4"/>
  <c r="AF751" i="4"/>
  <c r="AG751" i="4" s="1"/>
  <c r="AF750" i="4"/>
  <c r="AG750" i="4" s="1"/>
  <c r="AF749" i="4"/>
  <c r="AG749" i="4" s="1"/>
  <c r="AG748" i="4"/>
  <c r="AF748" i="4"/>
  <c r="AF747" i="4"/>
  <c r="AG747" i="4" s="1"/>
  <c r="AF746" i="4"/>
  <c r="AG746" i="4" s="1"/>
  <c r="AF745" i="4"/>
  <c r="AG745" i="4" s="1"/>
  <c r="AG744" i="4"/>
  <c r="AF744" i="4"/>
  <c r="AF743" i="4"/>
  <c r="AG743" i="4" s="1"/>
  <c r="AG742" i="4"/>
  <c r="AF742" i="4"/>
  <c r="AF741" i="4"/>
  <c r="AG741" i="4" s="1"/>
  <c r="AG740" i="4"/>
  <c r="AF740" i="4"/>
  <c r="AF739" i="4"/>
  <c r="AG739" i="4" s="1"/>
  <c r="AF738" i="4"/>
  <c r="AG738" i="4" s="1"/>
  <c r="AF737" i="4"/>
  <c r="AG737" i="4" s="1"/>
  <c r="AG736" i="4"/>
  <c r="AF736" i="4"/>
  <c r="AF735" i="4"/>
  <c r="AG735" i="4" s="1"/>
  <c r="AF734" i="4"/>
  <c r="AG734" i="4" s="1"/>
  <c r="AF733" i="4"/>
  <c r="AG733" i="4" s="1"/>
  <c r="AG732" i="4"/>
  <c r="AF732" i="4"/>
  <c r="AF731" i="4"/>
  <c r="AG731" i="4" s="1"/>
  <c r="AF730" i="4"/>
  <c r="AG730" i="4" s="1"/>
  <c r="AF729" i="4"/>
  <c r="AG729" i="4" s="1"/>
  <c r="AG728" i="4"/>
  <c r="AF728" i="4"/>
  <c r="AF727" i="4"/>
  <c r="AG727" i="4" s="1"/>
  <c r="AG726" i="4"/>
  <c r="AF726" i="4"/>
  <c r="AF725" i="4"/>
  <c r="AG725" i="4" s="1"/>
  <c r="AG724" i="4"/>
  <c r="AF724" i="4"/>
  <c r="AF723" i="4"/>
  <c r="AG723" i="4" s="1"/>
  <c r="AF722" i="4"/>
  <c r="AG722" i="4" s="1"/>
  <c r="AF721" i="4"/>
  <c r="AG721" i="4" s="1"/>
  <c r="AG720" i="4"/>
  <c r="AF720" i="4"/>
  <c r="AF719" i="4"/>
  <c r="AG719" i="4" s="1"/>
  <c r="AF718" i="4"/>
  <c r="AG718" i="4" s="1"/>
  <c r="AF717" i="4"/>
  <c r="AG717" i="4" s="1"/>
  <c r="AG716" i="4"/>
  <c r="AF716" i="4"/>
  <c r="AF715" i="4"/>
  <c r="AG715" i="4" s="1"/>
  <c r="AF714" i="4"/>
  <c r="AG714" i="4" s="1"/>
  <c r="AF713" i="4"/>
  <c r="AG713" i="4" s="1"/>
  <c r="AG712" i="4"/>
  <c r="AF712" i="4"/>
  <c r="AF711" i="4"/>
  <c r="AG711" i="4" s="1"/>
  <c r="AG710" i="4"/>
  <c r="AF710" i="4"/>
  <c r="AF709" i="4"/>
  <c r="AG709" i="4" s="1"/>
  <c r="AG708" i="4"/>
  <c r="AF708" i="4"/>
  <c r="AF707" i="4"/>
  <c r="AG707" i="4" s="1"/>
  <c r="AF706" i="4"/>
  <c r="AG706" i="4" s="1"/>
  <c r="AF705" i="4"/>
  <c r="AG705" i="4" s="1"/>
  <c r="AG704" i="4"/>
  <c r="AF704" i="4"/>
  <c r="AF703" i="4"/>
  <c r="AG703" i="4" s="1"/>
  <c r="AF702" i="4"/>
  <c r="AG702" i="4" s="1"/>
  <c r="AF701" i="4"/>
  <c r="AG701" i="4" s="1"/>
  <c r="AG700" i="4"/>
  <c r="AF700" i="4"/>
  <c r="AF699" i="4"/>
  <c r="AG699" i="4" s="1"/>
  <c r="AF698" i="4"/>
  <c r="AG698" i="4" s="1"/>
  <c r="AF697" i="4"/>
  <c r="AG697" i="4" s="1"/>
  <c r="AG696" i="4"/>
  <c r="AF696" i="4"/>
  <c r="AF695" i="4"/>
  <c r="AG695" i="4" s="1"/>
  <c r="AG694" i="4"/>
  <c r="AF694" i="4"/>
  <c r="AF693" i="4"/>
  <c r="AG693" i="4" s="1"/>
  <c r="AG692" i="4"/>
  <c r="AF692" i="4"/>
  <c r="AF691" i="4"/>
  <c r="AG691" i="4" s="1"/>
  <c r="AF690" i="4"/>
  <c r="AG690" i="4" s="1"/>
  <c r="AF689" i="4"/>
  <c r="AG689" i="4" s="1"/>
  <c r="AG688" i="4"/>
  <c r="AF688" i="4"/>
  <c r="AF687" i="4"/>
  <c r="AG687" i="4" s="1"/>
  <c r="AF686" i="4"/>
  <c r="AG686" i="4" s="1"/>
  <c r="AF685" i="4"/>
  <c r="AG685" i="4" s="1"/>
  <c r="AG684" i="4"/>
  <c r="AF684" i="4"/>
  <c r="AF683" i="4"/>
  <c r="AG683" i="4" s="1"/>
  <c r="AF682" i="4"/>
  <c r="AG682" i="4" s="1"/>
  <c r="AF681" i="4"/>
  <c r="AG681" i="4" s="1"/>
  <c r="AG680" i="4"/>
  <c r="AF680" i="4"/>
  <c r="AF679" i="4"/>
  <c r="AG679" i="4" s="1"/>
  <c r="AG678" i="4"/>
  <c r="AF678" i="4"/>
  <c r="AF677" i="4"/>
  <c r="AG677" i="4" s="1"/>
  <c r="AG676" i="4"/>
  <c r="AF676" i="4"/>
  <c r="AF675" i="4"/>
  <c r="AG675" i="4" s="1"/>
  <c r="AF674" i="4"/>
  <c r="AG674" i="4" s="1"/>
  <c r="AF673" i="4"/>
  <c r="AG673" i="4" s="1"/>
  <c r="AG672" i="4"/>
  <c r="AF672" i="4"/>
  <c r="AF671" i="4"/>
  <c r="AG671" i="4" s="1"/>
  <c r="AF670" i="4"/>
  <c r="AG670" i="4" s="1"/>
  <c r="AF669" i="4"/>
  <c r="AG669" i="4" s="1"/>
  <c r="AG668" i="4"/>
  <c r="AF668" i="4"/>
  <c r="AF667" i="4"/>
  <c r="AG667" i="4" s="1"/>
  <c r="AF666" i="4"/>
  <c r="AG666" i="4" s="1"/>
  <c r="AF665" i="4"/>
  <c r="AG665" i="4" s="1"/>
  <c r="AG664" i="4"/>
  <c r="AF664" i="4"/>
  <c r="AF663" i="4"/>
  <c r="AG663" i="4" s="1"/>
  <c r="AG662" i="4"/>
  <c r="AF662" i="4"/>
  <c r="AF661" i="4"/>
  <c r="AG661" i="4" s="1"/>
  <c r="AG660" i="4"/>
  <c r="AF660" i="4"/>
  <c r="AF659" i="4"/>
  <c r="AG659" i="4" s="1"/>
  <c r="AF658" i="4"/>
  <c r="AG658" i="4" s="1"/>
  <c r="AF657" i="4"/>
  <c r="AG657" i="4" s="1"/>
  <c r="AG656" i="4"/>
  <c r="AF656" i="4"/>
  <c r="AF655" i="4"/>
  <c r="AG655" i="4" s="1"/>
  <c r="AF654" i="4"/>
  <c r="AG654" i="4" s="1"/>
  <c r="AF653" i="4"/>
  <c r="AG653" i="4" s="1"/>
  <c r="AG652" i="4"/>
  <c r="AF652" i="4"/>
  <c r="AF651" i="4"/>
  <c r="AG651" i="4" s="1"/>
  <c r="AF650" i="4"/>
  <c r="AG650" i="4" s="1"/>
  <c r="AF649" i="4"/>
  <c r="AG649" i="4" s="1"/>
  <c r="AG648" i="4"/>
  <c r="AF648" i="4"/>
  <c r="AF647" i="4"/>
  <c r="AG647" i="4" s="1"/>
  <c r="AG646" i="4"/>
  <c r="AF646" i="4"/>
  <c r="AF645" i="4"/>
  <c r="AG645" i="4" s="1"/>
  <c r="AG644" i="4"/>
  <c r="AF644" i="4"/>
  <c r="AF643" i="4"/>
  <c r="AG643" i="4" s="1"/>
  <c r="AF642" i="4"/>
  <c r="AG642" i="4" s="1"/>
  <c r="AF641" i="4"/>
  <c r="AG641" i="4" s="1"/>
  <c r="AG640" i="4"/>
  <c r="AF640" i="4"/>
  <c r="AF639" i="4"/>
  <c r="AG639" i="4" s="1"/>
  <c r="AF638" i="4"/>
  <c r="AG638" i="4" s="1"/>
  <c r="AF637" i="4"/>
  <c r="AG637" i="4" s="1"/>
  <c r="AG636" i="4"/>
  <c r="AF636" i="4"/>
  <c r="AF635" i="4"/>
  <c r="AG635" i="4" s="1"/>
  <c r="AF634" i="4"/>
  <c r="AG634" i="4" s="1"/>
  <c r="AF633" i="4"/>
  <c r="AG633" i="4" s="1"/>
  <c r="AG632" i="4"/>
  <c r="AF632" i="4"/>
  <c r="AF631" i="4"/>
  <c r="AG631" i="4" s="1"/>
  <c r="AG630" i="4"/>
  <c r="AF630" i="4"/>
  <c r="AF629" i="4"/>
  <c r="AG629" i="4" s="1"/>
  <c r="AG628" i="4"/>
  <c r="AF628" i="4"/>
  <c r="AF627" i="4"/>
  <c r="AG627" i="4" s="1"/>
  <c r="AF626" i="4"/>
  <c r="AG626" i="4" s="1"/>
  <c r="AF625" i="4"/>
  <c r="AG625" i="4" s="1"/>
  <c r="AG624" i="4"/>
  <c r="AF624" i="4"/>
  <c r="AF623" i="4"/>
  <c r="AG623" i="4" s="1"/>
  <c r="AF622" i="4"/>
  <c r="AG622" i="4" s="1"/>
  <c r="AF621" i="4"/>
  <c r="AG621" i="4" s="1"/>
  <c r="AG620" i="4"/>
  <c r="AF620" i="4"/>
  <c r="AF619" i="4"/>
  <c r="AG619" i="4" s="1"/>
  <c r="AF618" i="4"/>
  <c r="AG618" i="4" s="1"/>
  <c r="AF617" i="4"/>
  <c r="AG617" i="4" s="1"/>
  <c r="AG616" i="4"/>
  <c r="AF616" i="4"/>
  <c r="AF615" i="4"/>
  <c r="AG615" i="4" s="1"/>
  <c r="AG614" i="4"/>
  <c r="AF614" i="4"/>
  <c r="AF613" i="4"/>
  <c r="AG613" i="4" s="1"/>
  <c r="AG612" i="4"/>
  <c r="AF612" i="4"/>
  <c r="AF611" i="4"/>
  <c r="AG611" i="4" s="1"/>
  <c r="AF610" i="4"/>
  <c r="AG610" i="4" s="1"/>
  <c r="AF609" i="4"/>
  <c r="AG609" i="4" s="1"/>
  <c r="AG608" i="4"/>
  <c r="AF608" i="4"/>
  <c r="AF607" i="4"/>
  <c r="AG607" i="4" s="1"/>
  <c r="AF606" i="4"/>
  <c r="AG606" i="4" s="1"/>
  <c r="AF605" i="4"/>
  <c r="AG605" i="4" s="1"/>
  <c r="AG604" i="4"/>
  <c r="AF604" i="4"/>
  <c r="AF603" i="4"/>
  <c r="AG603" i="4" s="1"/>
  <c r="AF602" i="4"/>
  <c r="AG602" i="4" s="1"/>
  <c r="AF601" i="4"/>
  <c r="AG601" i="4" s="1"/>
  <c r="AG600" i="4"/>
  <c r="AF600" i="4"/>
  <c r="AF599" i="4"/>
  <c r="AG599" i="4" s="1"/>
  <c r="AG598" i="4"/>
  <c r="AF598" i="4"/>
  <c r="AF597" i="4"/>
  <c r="AG597" i="4" s="1"/>
  <c r="AG596" i="4"/>
  <c r="AF596" i="4"/>
  <c r="AF595" i="4"/>
  <c r="AG595" i="4" s="1"/>
  <c r="AF594" i="4"/>
  <c r="AG594" i="4" s="1"/>
  <c r="AF593" i="4"/>
  <c r="AG593" i="4" s="1"/>
  <c r="AG592" i="4"/>
  <c r="AF592" i="4"/>
  <c r="AF591" i="4"/>
  <c r="AG591" i="4" s="1"/>
  <c r="AF590" i="4"/>
  <c r="AG590" i="4" s="1"/>
  <c r="AF589" i="4"/>
  <c r="AG589" i="4" s="1"/>
  <c r="AG588" i="4"/>
  <c r="AF588" i="4"/>
  <c r="AF587" i="4"/>
  <c r="AG587" i="4" s="1"/>
  <c r="AF586" i="4"/>
  <c r="AG586" i="4" s="1"/>
  <c r="AF585" i="4"/>
  <c r="AG585" i="4" s="1"/>
  <c r="AG584" i="4"/>
  <c r="AF584" i="4"/>
  <c r="AF583" i="4"/>
  <c r="AG583" i="4" s="1"/>
  <c r="AG582" i="4"/>
  <c r="AF582" i="4"/>
  <c r="AF581" i="4"/>
  <c r="AG581" i="4" s="1"/>
  <c r="AG580" i="4"/>
  <c r="AF580" i="4"/>
  <c r="AF579" i="4"/>
  <c r="AG579" i="4" s="1"/>
  <c r="AF578" i="4"/>
  <c r="AG578" i="4" s="1"/>
  <c r="AF577" i="4"/>
  <c r="AG577" i="4" s="1"/>
  <c r="AG576" i="4"/>
  <c r="AF576" i="4"/>
  <c r="AF575" i="4"/>
  <c r="AG575" i="4" s="1"/>
  <c r="AF574" i="4"/>
  <c r="AG574" i="4" s="1"/>
  <c r="AF573" i="4"/>
  <c r="AG573" i="4" s="1"/>
  <c r="AG572" i="4"/>
  <c r="AF572" i="4"/>
  <c r="AF571" i="4"/>
  <c r="AG571" i="4" s="1"/>
  <c r="AF570" i="4"/>
  <c r="AG570" i="4" s="1"/>
  <c r="AF569" i="4"/>
  <c r="AG569" i="4" s="1"/>
  <c r="AG568" i="4"/>
  <c r="AF568" i="4"/>
  <c r="AF567" i="4"/>
  <c r="AG567" i="4" s="1"/>
  <c r="AG566" i="4"/>
  <c r="AF566" i="4"/>
  <c r="AF565" i="4"/>
  <c r="AG565" i="4" s="1"/>
  <c r="AG564" i="4"/>
  <c r="AF564" i="4"/>
  <c r="AF563" i="4"/>
  <c r="AG563" i="4" s="1"/>
  <c r="AF562" i="4"/>
  <c r="AG562" i="4" s="1"/>
  <c r="AF561" i="4"/>
  <c r="AG561" i="4" s="1"/>
  <c r="AG560" i="4"/>
  <c r="AF560" i="4"/>
  <c r="AF559" i="4"/>
  <c r="AG559" i="4" s="1"/>
  <c r="AF558" i="4"/>
  <c r="AG558" i="4" s="1"/>
  <c r="AF557" i="4"/>
  <c r="AG557" i="4" s="1"/>
  <c r="AG556" i="4"/>
  <c r="AF556" i="4"/>
  <c r="AF555" i="4"/>
  <c r="AG555" i="4" s="1"/>
  <c r="AF554" i="4"/>
  <c r="AG554" i="4" s="1"/>
  <c r="AF553" i="4"/>
  <c r="AG553" i="4" s="1"/>
  <c r="AG552" i="4"/>
  <c r="AF552" i="4"/>
  <c r="AF551" i="4"/>
  <c r="AG551" i="4" s="1"/>
  <c r="AG550" i="4"/>
  <c r="AF550" i="4"/>
  <c r="AF549" i="4"/>
  <c r="AG549" i="4" s="1"/>
  <c r="AG548" i="4"/>
  <c r="AF548" i="4"/>
  <c r="AF547" i="4"/>
  <c r="AG547" i="4" s="1"/>
  <c r="AF546" i="4"/>
  <c r="AG546" i="4" s="1"/>
  <c r="AF545" i="4"/>
  <c r="AG545" i="4" s="1"/>
  <c r="AG544" i="4"/>
  <c r="AF544" i="4"/>
  <c r="AF543" i="4"/>
  <c r="AG543" i="4" s="1"/>
  <c r="AF542" i="4"/>
  <c r="AG542" i="4" s="1"/>
  <c r="AF541" i="4"/>
  <c r="AG541" i="4" s="1"/>
  <c r="AG540" i="4"/>
  <c r="AF540" i="4"/>
  <c r="AF539" i="4"/>
  <c r="AG539" i="4" s="1"/>
  <c r="AF538" i="4"/>
  <c r="AG538" i="4" s="1"/>
  <c r="AF537" i="4"/>
  <c r="AG537" i="4" s="1"/>
  <c r="AG536" i="4"/>
  <c r="AF536" i="4"/>
  <c r="AF535" i="4"/>
  <c r="AG535" i="4" s="1"/>
  <c r="AG534" i="4"/>
  <c r="AF534" i="4"/>
  <c r="AF533" i="4"/>
  <c r="AG533" i="4" s="1"/>
  <c r="AG532" i="4"/>
  <c r="AF532" i="4"/>
  <c r="AF531" i="4"/>
  <c r="AG531" i="4" s="1"/>
  <c r="AF530" i="4"/>
  <c r="AG530" i="4" s="1"/>
  <c r="AF529" i="4"/>
  <c r="AG529" i="4" s="1"/>
  <c r="AG528" i="4"/>
  <c r="AF528" i="4"/>
  <c r="AF527" i="4"/>
  <c r="AG527" i="4" s="1"/>
  <c r="AF526" i="4"/>
  <c r="AG526" i="4" s="1"/>
  <c r="AF525" i="4"/>
  <c r="AG525" i="4" s="1"/>
  <c r="AG524" i="4"/>
  <c r="AF524" i="4"/>
  <c r="AF523" i="4"/>
  <c r="AG523" i="4" s="1"/>
  <c r="AF522" i="4"/>
  <c r="AG522" i="4" s="1"/>
  <c r="AF521" i="4"/>
  <c r="AG521" i="4" s="1"/>
  <c r="AG520" i="4"/>
  <c r="AF520" i="4"/>
  <c r="AF519" i="4"/>
  <c r="AG519" i="4" s="1"/>
  <c r="AG518" i="4"/>
  <c r="AF518" i="4"/>
  <c r="AF517" i="4"/>
  <c r="AG517" i="4" s="1"/>
  <c r="AG516" i="4"/>
  <c r="AF516" i="4"/>
  <c r="AF515" i="4"/>
  <c r="AG515" i="4" s="1"/>
  <c r="AF514" i="4"/>
  <c r="AG514" i="4" s="1"/>
  <c r="AF513" i="4"/>
  <c r="AG513" i="4" s="1"/>
  <c r="AG512" i="4"/>
  <c r="AF512" i="4"/>
  <c r="AF511" i="4"/>
  <c r="AG511" i="4" s="1"/>
  <c r="AF510" i="4"/>
  <c r="AG510" i="4" s="1"/>
  <c r="AF509" i="4"/>
  <c r="AG509" i="4" s="1"/>
  <c r="AG508" i="4"/>
  <c r="AF508" i="4"/>
  <c r="AF507" i="4"/>
  <c r="AG507" i="4" s="1"/>
  <c r="AF506" i="4"/>
  <c r="AG506" i="4" s="1"/>
  <c r="AF505" i="4"/>
  <c r="AG505" i="4" s="1"/>
  <c r="AG504" i="4"/>
  <c r="AF504" i="4"/>
  <c r="AF503" i="4"/>
  <c r="AG503" i="4" s="1"/>
  <c r="AG502" i="4"/>
  <c r="AF502" i="4"/>
  <c r="AF501" i="4"/>
  <c r="AG501" i="4" s="1"/>
  <c r="S501" i="4"/>
  <c r="R501" i="4"/>
  <c r="G501" i="4"/>
  <c r="T501" i="4" s="1"/>
  <c r="F501" i="4"/>
  <c r="D501" i="4"/>
  <c r="B501" i="4"/>
  <c r="AF500" i="4"/>
  <c r="AG500" i="4" s="1"/>
  <c r="S500" i="4"/>
  <c r="R500" i="4"/>
  <c r="G500" i="4"/>
  <c r="T500" i="4" s="1"/>
  <c r="F500" i="4"/>
  <c r="D500" i="4"/>
  <c r="B500" i="4"/>
  <c r="AF499" i="4"/>
  <c r="AG499" i="4" s="1"/>
  <c r="S499" i="4"/>
  <c r="R499" i="4"/>
  <c r="G499" i="4"/>
  <c r="T499" i="4" s="1"/>
  <c r="F499" i="4"/>
  <c r="D499" i="4"/>
  <c r="B499" i="4"/>
  <c r="AF498" i="4"/>
  <c r="AG498" i="4" s="1"/>
  <c r="S498" i="4"/>
  <c r="R498" i="4"/>
  <c r="G498" i="4"/>
  <c r="T498" i="4" s="1"/>
  <c r="F498" i="4"/>
  <c r="D498" i="4"/>
  <c r="B498" i="4"/>
  <c r="AF497" i="4"/>
  <c r="AG497" i="4" s="1"/>
  <c r="S497" i="4"/>
  <c r="R497" i="4"/>
  <c r="G497" i="4"/>
  <c r="T497" i="4" s="1"/>
  <c r="F497" i="4"/>
  <c r="D497" i="4"/>
  <c r="B497" i="4"/>
  <c r="AF496" i="4"/>
  <c r="AG496" i="4" s="1"/>
  <c r="S496" i="4"/>
  <c r="R496" i="4"/>
  <c r="G496" i="4"/>
  <c r="T496" i="4" s="1"/>
  <c r="F496" i="4"/>
  <c r="D496" i="4"/>
  <c r="B496" i="4"/>
  <c r="AF495" i="4"/>
  <c r="AG495" i="4" s="1"/>
  <c r="S495" i="4"/>
  <c r="R495" i="4"/>
  <c r="G495" i="4"/>
  <c r="T495" i="4" s="1"/>
  <c r="F495" i="4"/>
  <c r="D495" i="4"/>
  <c r="B495" i="4"/>
  <c r="AF494" i="4"/>
  <c r="AG494" i="4" s="1"/>
  <c r="S494" i="4"/>
  <c r="R494" i="4"/>
  <c r="G494" i="4"/>
  <c r="T494" i="4" s="1"/>
  <c r="F494" i="4"/>
  <c r="D494" i="4"/>
  <c r="B494" i="4"/>
  <c r="AF493" i="4"/>
  <c r="AG493" i="4" s="1"/>
  <c r="S493" i="4"/>
  <c r="R493" i="4"/>
  <c r="G493" i="4"/>
  <c r="T493" i="4" s="1"/>
  <c r="F493" i="4"/>
  <c r="D493" i="4"/>
  <c r="B493" i="4"/>
  <c r="AF492" i="4"/>
  <c r="AG492" i="4" s="1"/>
  <c r="S492" i="4"/>
  <c r="R492" i="4"/>
  <c r="G492" i="4"/>
  <c r="T492" i="4" s="1"/>
  <c r="F492" i="4"/>
  <c r="D492" i="4"/>
  <c r="B492" i="4"/>
  <c r="AF491" i="4"/>
  <c r="AG491" i="4" s="1"/>
  <c r="S491" i="4"/>
  <c r="R491" i="4"/>
  <c r="G491" i="4"/>
  <c r="T491" i="4" s="1"/>
  <c r="F491" i="4"/>
  <c r="D491" i="4"/>
  <c r="B491" i="4"/>
  <c r="AF490" i="4"/>
  <c r="AG490" i="4" s="1"/>
  <c r="S490" i="4"/>
  <c r="R490" i="4"/>
  <c r="G490" i="4"/>
  <c r="T490" i="4" s="1"/>
  <c r="F490" i="4"/>
  <c r="D490" i="4"/>
  <c r="B490" i="4"/>
  <c r="AF489" i="4"/>
  <c r="AG489" i="4" s="1"/>
  <c r="S489" i="4"/>
  <c r="R489" i="4"/>
  <c r="G489" i="4"/>
  <c r="T489" i="4" s="1"/>
  <c r="F489" i="4"/>
  <c r="D489" i="4"/>
  <c r="B489" i="4"/>
  <c r="AF488" i="4"/>
  <c r="AG488" i="4" s="1"/>
  <c r="S488" i="4"/>
  <c r="R488" i="4"/>
  <c r="G488" i="4"/>
  <c r="T488" i="4" s="1"/>
  <c r="F488" i="4"/>
  <c r="D488" i="4"/>
  <c r="B488" i="4"/>
  <c r="AF487" i="4"/>
  <c r="AG487" i="4" s="1"/>
  <c r="S487" i="4"/>
  <c r="R487" i="4"/>
  <c r="G487" i="4"/>
  <c r="T487" i="4" s="1"/>
  <c r="F487" i="4"/>
  <c r="D487" i="4"/>
  <c r="B487" i="4"/>
  <c r="AF486" i="4"/>
  <c r="AG486" i="4" s="1"/>
  <c r="S486" i="4"/>
  <c r="R486" i="4"/>
  <c r="G486" i="4"/>
  <c r="T486" i="4" s="1"/>
  <c r="F486" i="4"/>
  <c r="D486" i="4"/>
  <c r="B486" i="4"/>
  <c r="AF485" i="4"/>
  <c r="AG485" i="4" s="1"/>
  <c r="S485" i="4"/>
  <c r="R485" i="4"/>
  <c r="G485" i="4"/>
  <c r="T485" i="4" s="1"/>
  <c r="F485" i="4"/>
  <c r="D485" i="4"/>
  <c r="B485" i="4"/>
  <c r="AF484" i="4"/>
  <c r="AG484" i="4" s="1"/>
  <c r="S484" i="4"/>
  <c r="R484" i="4"/>
  <c r="G484" i="4"/>
  <c r="T484" i="4" s="1"/>
  <c r="F484" i="4"/>
  <c r="D484" i="4"/>
  <c r="B484" i="4"/>
  <c r="AF483" i="4"/>
  <c r="AG483" i="4" s="1"/>
  <c r="S483" i="4"/>
  <c r="R483" i="4"/>
  <c r="G483" i="4"/>
  <c r="T483" i="4" s="1"/>
  <c r="F483" i="4"/>
  <c r="D483" i="4"/>
  <c r="B483" i="4"/>
  <c r="AF482" i="4"/>
  <c r="AG482" i="4" s="1"/>
  <c r="S482" i="4"/>
  <c r="R482" i="4"/>
  <c r="G482" i="4"/>
  <c r="T482" i="4" s="1"/>
  <c r="F482" i="4"/>
  <c r="D482" i="4"/>
  <c r="B482" i="4"/>
  <c r="AF481" i="4"/>
  <c r="AG481" i="4" s="1"/>
  <c r="S481" i="4"/>
  <c r="R481" i="4"/>
  <c r="G481" i="4"/>
  <c r="T481" i="4" s="1"/>
  <c r="F481" i="4"/>
  <c r="D481" i="4"/>
  <c r="B481" i="4"/>
  <c r="AF480" i="4"/>
  <c r="AG480" i="4" s="1"/>
  <c r="S480" i="4"/>
  <c r="R480" i="4"/>
  <c r="G480" i="4"/>
  <c r="T480" i="4" s="1"/>
  <c r="F480" i="4"/>
  <c r="D480" i="4"/>
  <c r="B480" i="4"/>
  <c r="AF479" i="4"/>
  <c r="AG479" i="4" s="1"/>
  <c r="S479" i="4"/>
  <c r="R479" i="4"/>
  <c r="G479" i="4"/>
  <c r="T479" i="4" s="1"/>
  <c r="F479" i="4"/>
  <c r="D479" i="4"/>
  <c r="B479" i="4"/>
  <c r="AF478" i="4"/>
  <c r="AG478" i="4" s="1"/>
  <c r="S478" i="4"/>
  <c r="R478" i="4"/>
  <c r="G478" i="4"/>
  <c r="T478" i="4" s="1"/>
  <c r="F478" i="4"/>
  <c r="D478" i="4"/>
  <c r="B478" i="4"/>
  <c r="AF477" i="4"/>
  <c r="AG477" i="4" s="1"/>
  <c r="S477" i="4"/>
  <c r="R477" i="4"/>
  <c r="G477" i="4"/>
  <c r="T477" i="4" s="1"/>
  <c r="F477" i="4"/>
  <c r="D477" i="4"/>
  <c r="B477" i="4"/>
  <c r="AF476" i="4"/>
  <c r="AG476" i="4" s="1"/>
  <c r="S476" i="4"/>
  <c r="R476" i="4"/>
  <c r="G476" i="4"/>
  <c r="T476" i="4" s="1"/>
  <c r="F476" i="4"/>
  <c r="D476" i="4"/>
  <c r="B476" i="4"/>
  <c r="AF475" i="4"/>
  <c r="AG475" i="4" s="1"/>
  <c r="S475" i="4"/>
  <c r="R475" i="4"/>
  <c r="G475" i="4"/>
  <c r="T475" i="4" s="1"/>
  <c r="F475" i="4"/>
  <c r="D475" i="4"/>
  <c r="B475" i="4"/>
  <c r="AF474" i="4"/>
  <c r="AG474" i="4" s="1"/>
  <c r="S474" i="4"/>
  <c r="R474" i="4"/>
  <c r="G474" i="4"/>
  <c r="T474" i="4" s="1"/>
  <c r="F474" i="4"/>
  <c r="D474" i="4"/>
  <c r="B474" i="4"/>
  <c r="AF473" i="4"/>
  <c r="AG473" i="4" s="1"/>
  <c r="S473" i="4"/>
  <c r="R473" i="4"/>
  <c r="G473" i="4"/>
  <c r="T473" i="4" s="1"/>
  <c r="F473" i="4"/>
  <c r="D473" i="4"/>
  <c r="B473" i="4"/>
  <c r="AF472" i="4"/>
  <c r="AG472" i="4" s="1"/>
  <c r="S472" i="4"/>
  <c r="R472" i="4"/>
  <c r="G472" i="4"/>
  <c r="T472" i="4" s="1"/>
  <c r="F472" i="4"/>
  <c r="D472" i="4"/>
  <c r="B472" i="4"/>
  <c r="AF471" i="4"/>
  <c r="AG471" i="4" s="1"/>
  <c r="S471" i="4"/>
  <c r="R471" i="4"/>
  <c r="G471" i="4"/>
  <c r="T471" i="4" s="1"/>
  <c r="F471" i="4"/>
  <c r="D471" i="4"/>
  <c r="B471" i="4"/>
  <c r="AF470" i="4"/>
  <c r="AG470" i="4" s="1"/>
  <c r="S470" i="4"/>
  <c r="R470" i="4"/>
  <c r="G470" i="4"/>
  <c r="T470" i="4" s="1"/>
  <c r="F470" i="4"/>
  <c r="D470" i="4"/>
  <c r="B470" i="4"/>
  <c r="AF469" i="4"/>
  <c r="AG469" i="4" s="1"/>
  <c r="S469" i="4"/>
  <c r="R469" i="4"/>
  <c r="G469" i="4"/>
  <c r="T469" i="4" s="1"/>
  <c r="F469" i="4"/>
  <c r="D469" i="4"/>
  <c r="B469" i="4"/>
  <c r="AF468" i="4"/>
  <c r="AG468" i="4" s="1"/>
  <c r="S468" i="4"/>
  <c r="R468" i="4"/>
  <c r="G468" i="4"/>
  <c r="T468" i="4" s="1"/>
  <c r="F468" i="4"/>
  <c r="D468" i="4"/>
  <c r="B468" i="4"/>
  <c r="AF467" i="4"/>
  <c r="AG467" i="4" s="1"/>
  <c r="S467" i="4"/>
  <c r="R467" i="4"/>
  <c r="G467" i="4"/>
  <c r="T467" i="4" s="1"/>
  <c r="F467" i="4"/>
  <c r="D467" i="4"/>
  <c r="B467" i="4"/>
  <c r="AF466" i="4"/>
  <c r="AG466" i="4" s="1"/>
  <c r="S466" i="4"/>
  <c r="R466" i="4"/>
  <c r="G466" i="4"/>
  <c r="T466" i="4" s="1"/>
  <c r="F466" i="4"/>
  <c r="D466" i="4"/>
  <c r="B466" i="4"/>
  <c r="AF465" i="4"/>
  <c r="AG465" i="4" s="1"/>
  <c r="S465" i="4"/>
  <c r="R465" i="4"/>
  <c r="G465" i="4"/>
  <c r="T465" i="4" s="1"/>
  <c r="F465" i="4"/>
  <c r="D465" i="4"/>
  <c r="B465" i="4"/>
  <c r="AF464" i="4"/>
  <c r="AG464" i="4" s="1"/>
  <c r="S464" i="4"/>
  <c r="R464" i="4"/>
  <c r="G464" i="4"/>
  <c r="T464" i="4" s="1"/>
  <c r="F464" i="4"/>
  <c r="D464" i="4"/>
  <c r="B464" i="4"/>
  <c r="AF463" i="4"/>
  <c r="AG463" i="4" s="1"/>
  <c r="S463" i="4"/>
  <c r="R463" i="4"/>
  <c r="G463" i="4"/>
  <c r="T463" i="4" s="1"/>
  <c r="F463" i="4"/>
  <c r="D463" i="4"/>
  <c r="B463" i="4"/>
  <c r="AF462" i="4"/>
  <c r="AG462" i="4" s="1"/>
  <c r="S462" i="4"/>
  <c r="R462" i="4"/>
  <c r="G462" i="4"/>
  <c r="T462" i="4" s="1"/>
  <c r="F462" i="4"/>
  <c r="D462" i="4"/>
  <c r="B462" i="4"/>
  <c r="AF461" i="4"/>
  <c r="AG461" i="4" s="1"/>
  <c r="S461" i="4"/>
  <c r="R461" i="4"/>
  <c r="G461" i="4"/>
  <c r="T461" i="4" s="1"/>
  <c r="F461" i="4"/>
  <c r="D461" i="4"/>
  <c r="B461" i="4"/>
  <c r="AF460" i="4"/>
  <c r="AG460" i="4" s="1"/>
  <c r="S460" i="4"/>
  <c r="R460" i="4"/>
  <c r="G460" i="4"/>
  <c r="T460" i="4" s="1"/>
  <c r="F460" i="4"/>
  <c r="D460" i="4"/>
  <c r="B460" i="4"/>
  <c r="AF459" i="4"/>
  <c r="AG459" i="4" s="1"/>
  <c r="S459" i="4"/>
  <c r="R459" i="4"/>
  <c r="G459" i="4"/>
  <c r="T459" i="4" s="1"/>
  <c r="F459" i="4"/>
  <c r="D459" i="4"/>
  <c r="B459" i="4"/>
  <c r="AF458" i="4"/>
  <c r="AG458" i="4" s="1"/>
  <c r="S458" i="4"/>
  <c r="R458" i="4"/>
  <c r="G458" i="4"/>
  <c r="T458" i="4" s="1"/>
  <c r="F458" i="4"/>
  <c r="D458" i="4"/>
  <c r="B458" i="4"/>
  <c r="AF457" i="4"/>
  <c r="AG457" i="4" s="1"/>
  <c r="S457" i="4"/>
  <c r="R457" i="4"/>
  <c r="G457" i="4"/>
  <c r="T457" i="4" s="1"/>
  <c r="F457" i="4"/>
  <c r="D457" i="4"/>
  <c r="B457" i="4"/>
  <c r="AF456" i="4"/>
  <c r="AG456" i="4" s="1"/>
  <c r="S456" i="4"/>
  <c r="R456" i="4"/>
  <c r="G456" i="4"/>
  <c r="T456" i="4" s="1"/>
  <c r="F456" i="4"/>
  <c r="D456" i="4"/>
  <c r="B456" i="4"/>
  <c r="AF455" i="4"/>
  <c r="AG455" i="4" s="1"/>
  <c r="S455" i="4"/>
  <c r="R455" i="4"/>
  <c r="G455" i="4"/>
  <c r="T455" i="4" s="1"/>
  <c r="F455" i="4"/>
  <c r="D455" i="4"/>
  <c r="B455" i="4"/>
  <c r="AF454" i="4"/>
  <c r="AG454" i="4" s="1"/>
  <c r="S454" i="4"/>
  <c r="R454" i="4"/>
  <c r="G454" i="4"/>
  <c r="T454" i="4" s="1"/>
  <c r="F454" i="4"/>
  <c r="D454" i="4"/>
  <c r="B454" i="4"/>
  <c r="AF453" i="4"/>
  <c r="AG453" i="4" s="1"/>
  <c r="S453" i="4"/>
  <c r="R453" i="4"/>
  <c r="G453" i="4"/>
  <c r="T453" i="4" s="1"/>
  <c r="F453" i="4"/>
  <c r="D453" i="4"/>
  <c r="B453" i="4"/>
  <c r="AF452" i="4"/>
  <c r="AG452" i="4" s="1"/>
  <c r="S452" i="4"/>
  <c r="R452" i="4"/>
  <c r="G452" i="4"/>
  <c r="T452" i="4" s="1"/>
  <c r="F452" i="4"/>
  <c r="D452" i="4"/>
  <c r="B452" i="4"/>
  <c r="AF451" i="4"/>
  <c r="AG451" i="4" s="1"/>
  <c r="S451" i="4"/>
  <c r="R451" i="4"/>
  <c r="G451" i="4"/>
  <c r="T451" i="4" s="1"/>
  <c r="F451" i="4"/>
  <c r="D451" i="4"/>
  <c r="B451" i="4"/>
  <c r="AF450" i="4"/>
  <c r="AG450" i="4" s="1"/>
  <c r="S450" i="4"/>
  <c r="R450" i="4"/>
  <c r="G450" i="4"/>
  <c r="T450" i="4" s="1"/>
  <c r="F450" i="4"/>
  <c r="D450" i="4"/>
  <c r="B450" i="4"/>
  <c r="AF449" i="4"/>
  <c r="AG449" i="4" s="1"/>
  <c r="S449" i="4"/>
  <c r="R449" i="4"/>
  <c r="G449" i="4"/>
  <c r="T449" i="4" s="1"/>
  <c r="F449" i="4"/>
  <c r="D449" i="4"/>
  <c r="B449" i="4"/>
  <c r="AF448" i="4"/>
  <c r="AG448" i="4" s="1"/>
  <c r="S448" i="4"/>
  <c r="R448" i="4"/>
  <c r="G448" i="4"/>
  <c r="T448" i="4" s="1"/>
  <c r="F448" i="4"/>
  <c r="D448" i="4"/>
  <c r="B448" i="4"/>
  <c r="AF447" i="4"/>
  <c r="AG447" i="4" s="1"/>
  <c r="S447" i="4"/>
  <c r="R447" i="4"/>
  <c r="G447" i="4"/>
  <c r="T447" i="4" s="1"/>
  <c r="F447" i="4"/>
  <c r="D447" i="4"/>
  <c r="B447" i="4"/>
  <c r="AF446" i="4"/>
  <c r="AG446" i="4" s="1"/>
  <c r="S446" i="4"/>
  <c r="R446" i="4"/>
  <c r="G446" i="4"/>
  <c r="T446" i="4" s="1"/>
  <c r="F446" i="4"/>
  <c r="D446" i="4"/>
  <c r="B446" i="4"/>
  <c r="AF445" i="4"/>
  <c r="AG445" i="4" s="1"/>
  <c r="S445" i="4"/>
  <c r="R445" i="4"/>
  <c r="G445" i="4"/>
  <c r="T445" i="4" s="1"/>
  <c r="F445" i="4"/>
  <c r="D445" i="4"/>
  <c r="B445" i="4"/>
  <c r="AF444" i="4"/>
  <c r="AG444" i="4" s="1"/>
  <c r="S444" i="4"/>
  <c r="R444" i="4"/>
  <c r="G444" i="4"/>
  <c r="T444" i="4" s="1"/>
  <c r="F444" i="4"/>
  <c r="D444" i="4"/>
  <c r="B444" i="4"/>
  <c r="AF443" i="4"/>
  <c r="AG443" i="4" s="1"/>
  <c r="S443" i="4"/>
  <c r="R443" i="4"/>
  <c r="G443" i="4"/>
  <c r="T443" i="4" s="1"/>
  <c r="F443" i="4"/>
  <c r="D443" i="4"/>
  <c r="B443" i="4"/>
  <c r="AF442" i="4"/>
  <c r="AG442" i="4" s="1"/>
  <c r="S442" i="4"/>
  <c r="R442" i="4"/>
  <c r="G442" i="4"/>
  <c r="T442" i="4" s="1"/>
  <c r="F442" i="4"/>
  <c r="D442" i="4"/>
  <c r="B442" i="4"/>
  <c r="AF441" i="4"/>
  <c r="AG441" i="4" s="1"/>
  <c r="S441" i="4"/>
  <c r="R441" i="4"/>
  <c r="G441" i="4"/>
  <c r="T441" i="4" s="1"/>
  <c r="F441" i="4"/>
  <c r="D441" i="4"/>
  <c r="B441" i="4"/>
  <c r="AF440" i="4"/>
  <c r="AG440" i="4" s="1"/>
  <c r="S440" i="4"/>
  <c r="R440" i="4"/>
  <c r="G440" i="4"/>
  <c r="T440" i="4" s="1"/>
  <c r="F440" i="4"/>
  <c r="D440" i="4"/>
  <c r="B440" i="4"/>
  <c r="AF439" i="4"/>
  <c r="AG439" i="4" s="1"/>
  <c r="S439" i="4"/>
  <c r="R439" i="4"/>
  <c r="G439" i="4"/>
  <c r="T439" i="4" s="1"/>
  <c r="F439" i="4"/>
  <c r="D439" i="4"/>
  <c r="B439" i="4"/>
  <c r="AF438" i="4"/>
  <c r="AG438" i="4" s="1"/>
  <c r="S438" i="4"/>
  <c r="R438" i="4"/>
  <c r="G438" i="4"/>
  <c r="T438" i="4" s="1"/>
  <c r="F438" i="4"/>
  <c r="D438" i="4"/>
  <c r="B438" i="4"/>
  <c r="AF437" i="4"/>
  <c r="AG437" i="4" s="1"/>
  <c r="S437" i="4"/>
  <c r="R437" i="4"/>
  <c r="G437" i="4"/>
  <c r="T437" i="4" s="1"/>
  <c r="F437" i="4"/>
  <c r="D437" i="4"/>
  <c r="B437" i="4"/>
  <c r="AF436" i="4"/>
  <c r="AG436" i="4" s="1"/>
  <c r="S436" i="4"/>
  <c r="R436" i="4"/>
  <c r="G436" i="4"/>
  <c r="T436" i="4" s="1"/>
  <c r="F436" i="4"/>
  <c r="D436" i="4"/>
  <c r="B436" i="4"/>
  <c r="AF435" i="4"/>
  <c r="AG435" i="4" s="1"/>
  <c r="S435" i="4"/>
  <c r="R435" i="4"/>
  <c r="G435" i="4"/>
  <c r="T435" i="4" s="1"/>
  <c r="F435" i="4"/>
  <c r="D435" i="4"/>
  <c r="B435" i="4"/>
  <c r="AF434" i="4"/>
  <c r="AG434" i="4" s="1"/>
  <c r="S434" i="4"/>
  <c r="R434" i="4"/>
  <c r="G434" i="4"/>
  <c r="T434" i="4" s="1"/>
  <c r="F434" i="4"/>
  <c r="D434" i="4"/>
  <c r="B434" i="4"/>
  <c r="AF433" i="4"/>
  <c r="AG433" i="4" s="1"/>
  <c r="S433" i="4"/>
  <c r="R433" i="4"/>
  <c r="G433" i="4"/>
  <c r="T433" i="4" s="1"/>
  <c r="F433" i="4"/>
  <c r="D433" i="4"/>
  <c r="B433" i="4"/>
  <c r="AF432" i="4"/>
  <c r="AG432" i="4" s="1"/>
  <c r="S432" i="4"/>
  <c r="R432" i="4"/>
  <c r="G432" i="4"/>
  <c r="T432" i="4" s="1"/>
  <c r="F432" i="4"/>
  <c r="D432" i="4"/>
  <c r="B432" i="4"/>
  <c r="AF431" i="4"/>
  <c r="AG431" i="4" s="1"/>
  <c r="S431" i="4"/>
  <c r="R431" i="4"/>
  <c r="G431" i="4"/>
  <c r="T431" i="4" s="1"/>
  <c r="F431" i="4"/>
  <c r="D431" i="4"/>
  <c r="B431" i="4"/>
  <c r="AF430" i="4"/>
  <c r="AG430" i="4" s="1"/>
  <c r="S430" i="4"/>
  <c r="R430" i="4"/>
  <c r="G430" i="4"/>
  <c r="T430" i="4" s="1"/>
  <c r="F430" i="4"/>
  <c r="D430" i="4"/>
  <c r="B430" i="4"/>
  <c r="AF429" i="4"/>
  <c r="AG429" i="4" s="1"/>
  <c r="S429" i="4"/>
  <c r="R429" i="4"/>
  <c r="G429" i="4"/>
  <c r="T429" i="4" s="1"/>
  <c r="F429" i="4"/>
  <c r="D429" i="4"/>
  <c r="B429" i="4"/>
  <c r="AF428" i="4"/>
  <c r="AG428" i="4" s="1"/>
  <c r="S428" i="4"/>
  <c r="R428" i="4"/>
  <c r="G428" i="4"/>
  <c r="T428" i="4" s="1"/>
  <c r="F428" i="4"/>
  <c r="D428" i="4"/>
  <c r="B428" i="4"/>
  <c r="AF427" i="4"/>
  <c r="AG427" i="4" s="1"/>
  <c r="S427" i="4"/>
  <c r="R427" i="4"/>
  <c r="G427" i="4"/>
  <c r="T427" i="4" s="1"/>
  <c r="F427" i="4"/>
  <c r="D427" i="4"/>
  <c r="B427" i="4"/>
  <c r="AF426" i="4"/>
  <c r="AG426" i="4" s="1"/>
  <c r="S426" i="4"/>
  <c r="R426" i="4"/>
  <c r="G426" i="4"/>
  <c r="T426" i="4" s="1"/>
  <c r="F426" i="4"/>
  <c r="D426" i="4"/>
  <c r="B426" i="4"/>
  <c r="AF425" i="4"/>
  <c r="AG425" i="4" s="1"/>
  <c r="S425" i="4"/>
  <c r="R425" i="4"/>
  <c r="G425" i="4"/>
  <c r="T425" i="4" s="1"/>
  <c r="F425" i="4"/>
  <c r="D425" i="4"/>
  <c r="B425" i="4"/>
  <c r="AF424" i="4"/>
  <c r="AG424" i="4" s="1"/>
  <c r="S424" i="4"/>
  <c r="R424" i="4"/>
  <c r="G424" i="4"/>
  <c r="T424" i="4" s="1"/>
  <c r="F424" i="4"/>
  <c r="D424" i="4"/>
  <c r="B424" i="4"/>
  <c r="AF423" i="4"/>
  <c r="AG423" i="4" s="1"/>
  <c r="S423" i="4"/>
  <c r="R423" i="4"/>
  <c r="G423" i="4"/>
  <c r="T423" i="4" s="1"/>
  <c r="F423" i="4"/>
  <c r="D423" i="4"/>
  <c r="B423" i="4"/>
  <c r="AF422" i="4"/>
  <c r="AG422" i="4" s="1"/>
  <c r="S422" i="4"/>
  <c r="R422" i="4"/>
  <c r="G422" i="4"/>
  <c r="T422" i="4" s="1"/>
  <c r="F422" i="4"/>
  <c r="D422" i="4"/>
  <c r="B422" i="4"/>
  <c r="AF421" i="4"/>
  <c r="AG421" i="4" s="1"/>
  <c r="S421" i="4"/>
  <c r="R421" i="4"/>
  <c r="G421" i="4"/>
  <c r="T421" i="4" s="1"/>
  <c r="F421" i="4"/>
  <c r="D421" i="4"/>
  <c r="B421" i="4"/>
  <c r="AF420" i="4"/>
  <c r="AG420" i="4" s="1"/>
  <c r="S420" i="4"/>
  <c r="R420" i="4"/>
  <c r="G420" i="4"/>
  <c r="T420" i="4" s="1"/>
  <c r="F420" i="4"/>
  <c r="D420" i="4"/>
  <c r="B420" i="4"/>
  <c r="AF419" i="4"/>
  <c r="AG419" i="4" s="1"/>
  <c r="S419" i="4"/>
  <c r="R419" i="4"/>
  <c r="G419" i="4"/>
  <c r="T419" i="4" s="1"/>
  <c r="F419" i="4"/>
  <c r="D419" i="4"/>
  <c r="B419" i="4"/>
  <c r="AF418" i="4"/>
  <c r="AG418" i="4" s="1"/>
  <c r="S418" i="4"/>
  <c r="R418" i="4"/>
  <c r="G418" i="4"/>
  <c r="T418" i="4" s="1"/>
  <c r="F418" i="4"/>
  <c r="D418" i="4"/>
  <c r="B418" i="4"/>
  <c r="AF417" i="4"/>
  <c r="AG417" i="4" s="1"/>
  <c r="S417" i="4"/>
  <c r="R417" i="4"/>
  <c r="G417" i="4"/>
  <c r="T417" i="4" s="1"/>
  <c r="F417" i="4"/>
  <c r="D417" i="4"/>
  <c r="B417" i="4"/>
  <c r="AF416" i="4"/>
  <c r="AG416" i="4" s="1"/>
  <c r="S416" i="4"/>
  <c r="R416" i="4"/>
  <c r="G416" i="4"/>
  <c r="T416" i="4" s="1"/>
  <c r="F416" i="4"/>
  <c r="D416" i="4"/>
  <c r="B416" i="4"/>
  <c r="AF415" i="4"/>
  <c r="AG415" i="4" s="1"/>
  <c r="S415" i="4"/>
  <c r="R415" i="4"/>
  <c r="G415" i="4"/>
  <c r="T415" i="4" s="1"/>
  <c r="F415" i="4"/>
  <c r="D415" i="4"/>
  <c r="B415" i="4"/>
  <c r="AF414" i="4"/>
  <c r="AG414" i="4" s="1"/>
  <c r="S414" i="4"/>
  <c r="R414" i="4"/>
  <c r="G414" i="4"/>
  <c r="T414" i="4" s="1"/>
  <c r="F414" i="4"/>
  <c r="D414" i="4"/>
  <c r="B414" i="4"/>
  <c r="AF413" i="4"/>
  <c r="AG413" i="4" s="1"/>
  <c r="S413" i="4"/>
  <c r="R413" i="4"/>
  <c r="G413" i="4"/>
  <c r="T413" i="4" s="1"/>
  <c r="F413" i="4"/>
  <c r="D413" i="4"/>
  <c r="B413" i="4"/>
  <c r="AF412" i="4"/>
  <c r="AG412" i="4" s="1"/>
  <c r="S412" i="4"/>
  <c r="R412" i="4"/>
  <c r="G412" i="4"/>
  <c r="T412" i="4" s="1"/>
  <c r="F412" i="4"/>
  <c r="D412" i="4"/>
  <c r="B412" i="4"/>
  <c r="AF411" i="4"/>
  <c r="AG411" i="4" s="1"/>
  <c r="S411" i="4"/>
  <c r="R411" i="4"/>
  <c r="G411" i="4"/>
  <c r="T411" i="4" s="1"/>
  <c r="F411" i="4"/>
  <c r="D411" i="4"/>
  <c r="B411" i="4"/>
  <c r="AF410" i="4"/>
  <c r="AG410" i="4" s="1"/>
  <c r="S410" i="4"/>
  <c r="R410" i="4"/>
  <c r="G410" i="4"/>
  <c r="T410" i="4" s="1"/>
  <c r="F410" i="4"/>
  <c r="D410" i="4"/>
  <c r="B410" i="4"/>
  <c r="AF409" i="4"/>
  <c r="AG409" i="4" s="1"/>
  <c r="S409" i="4"/>
  <c r="R409" i="4"/>
  <c r="G409" i="4"/>
  <c r="T409" i="4" s="1"/>
  <c r="F409" i="4"/>
  <c r="D409" i="4"/>
  <c r="B409" i="4"/>
  <c r="AF408" i="4"/>
  <c r="AG408" i="4" s="1"/>
  <c r="S408" i="4"/>
  <c r="R408" i="4"/>
  <c r="G408" i="4"/>
  <c r="T408" i="4" s="1"/>
  <c r="F408" i="4"/>
  <c r="D408" i="4"/>
  <c r="B408" i="4"/>
  <c r="AF407" i="4"/>
  <c r="AG407" i="4" s="1"/>
  <c r="S407" i="4"/>
  <c r="R407" i="4"/>
  <c r="G407" i="4"/>
  <c r="T407" i="4" s="1"/>
  <c r="F407" i="4"/>
  <c r="D407" i="4"/>
  <c r="B407" i="4"/>
  <c r="AF406" i="4"/>
  <c r="AG406" i="4" s="1"/>
  <c r="S406" i="4"/>
  <c r="R406" i="4"/>
  <c r="G406" i="4"/>
  <c r="T406" i="4" s="1"/>
  <c r="F406" i="4"/>
  <c r="D406" i="4"/>
  <c r="B406" i="4"/>
  <c r="AF405" i="4"/>
  <c r="AG405" i="4" s="1"/>
  <c r="S405" i="4"/>
  <c r="R405" i="4"/>
  <c r="G405" i="4"/>
  <c r="T405" i="4" s="1"/>
  <c r="F405" i="4"/>
  <c r="D405" i="4"/>
  <c r="B405" i="4"/>
  <c r="AF404" i="4"/>
  <c r="AG404" i="4" s="1"/>
  <c r="S404" i="4"/>
  <c r="R404" i="4"/>
  <c r="G404" i="4"/>
  <c r="T404" i="4" s="1"/>
  <c r="F404" i="4"/>
  <c r="D404" i="4"/>
  <c r="B404" i="4"/>
  <c r="AF403" i="4"/>
  <c r="AG403" i="4" s="1"/>
  <c r="S403" i="4"/>
  <c r="R403" i="4"/>
  <c r="G403" i="4"/>
  <c r="T403" i="4" s="1"/>
  <c r="F403" i="4"/>
  <c r="D403" i="4"/>
  <c r="B403" i="4"/>
  <c r="AF402" i="4"/>
  <c r="AG402" i="4" s="1"/>
  <c r="S402" i="4"/>
  <c r="R402" i="4"/>
  <c r="G402" i="4"/>
  <c r="T402" i="4" s="1"/>
  <c r="F402" i="4"/>
  <c r="D402" i="4"/>
  <c r="B402" i="4"/>
  <c r="AF401" i="4"/>
  <c r="AG401" i="4" s="1"/>
  <c r="S401" i="4"/>
  <c r="R401" i="4"/>
  <c r="G401" i="4"/>
  <c r="T401" i="4" s="1"/>
  <c r="F401" i="4"/>
  <c r="D401" i="4"/>
  <c r="B401" i="4"/>
  <c r="AF400" i="4"/>
  <c r="AG400" i="4" s="1"/>
  <c r="S400" i="4"/>
  <c r="R400" i="4"/>
  <c r="G400" i="4"/>
  <c r="T400" i="4" s="1"/>
  <c r="F400" i="4"/>
  <c r="D400" i="4"/>
  <c r="B400" i="4"/>
  <c r="AF399" i="4"/>
  <c r="AG399" i="4" s="1"/>
  <c r="S399" i="4"/>
  <c r="R399" i="4"/>
  <c r="G399" i="4"/>
  <c r="T399" i="4" s="1"/>
  <c r="F399" i="4"/>
  <c r="D399" i="4"/>
  <c r="B399" i="4"/>
  <c r="AF398" i="4"/>
  <c r="AG398" i="4" s="1"/>
  <c r="S398" i="4"/>
  <c r="R398" i="4"/>
  <c r="G398" i="4"/>
  <c r="T398" i="4" s="1"/>
  <c r="F398" i="4"/>
  <c r="D398" i="4"/>
  <c r="B398" i="4"/>
  <c r="AF397" i="4"/>
  <c r="AG397" i="4" s="1"/>
  <c r="S397" i="4"/>
  <c r="R397" i="4"/>
  <c r="G397" i="4"/>
  <c r="T397" i="4" s="1"/>
  <c r="F397" i="4"/>
  <c r="D397" i="4"/>
  <c r="B397" i="4"/>
  <c r="AF396" i="4"/>
  <c r="AG396" i="4" s="1"/>
  <c r="S396" i="4"/>
  <c r="R396" i="4"/>
  <c r="G396" i="4"/>
  <c r="T396" i="4" s="1"/>
  <c r="F396" i="4"/>
  <c r="D396" i="4"/>
  <c r="B396" i="4"/>
  <c r="AF395" i="4"/>
  <c r="AG395" i="4" s="1"/>
  <c r="S395" i="4"/>
  <c r="R395" i="4"/>
  <c r="G395" i="4"/>
  <c r="T395" i="4" s="1"/>
  <c r="F395" i="4"/>
  <c r="D395" i="4"/>
  <c r="B395" i="4"/>
  <c r="AF394" i="4"/>
  <c r="AG394" i="4" s="1"/>
  <c r="S394" i="4"/>
  <c r="R394" i="4"/>
  <c r="G394" i="4"/>
  <c r="T394" i="4" s="1"/>
  <c r="F394" i="4"/>
  <c r="D394" i="4"/>
  <c r="B394" i="4"/>
  <c r="AF393" i="4"/>
  <c r="AG393" i="4" s="1"/>
  <c r="S393" i="4"/>
  <c r="R393" i="4"/>
  <c r="G393" i="4"/>
  <c r="T393" i="4" s="1"/>
  <c r="F393" i="4"/>
  <c r="D393" i="4"/>
  <c r="B393" i="4"/>
  <c r="AF392" i="4"/>
  <c r="AG392" i="4" s="1"/>
  <c r="S392" i="4"/>
  <c r="R392" i="4"/>
  <c r="G392" i="4"/>
  <c r="T392" i="4" s="1"/>
  <c r="F392" i="4"/>
  <c r="D392" i="4"/>
  <c r="B392" i="4"/>
  <c r="AF391" i="4"/>
  <c r="AG391" i="4" s="1"/>
  <c r="S391" i="4"/>
  <c r="R391" i="4"/>
  <c r="G391" i="4"/>
  <c r="T391" i="4" s="1"/>
  <c r="F391" i="4"/>
  <c r="D391" i="4"/>
  <c r="B391" i="4"/>
  <c r="AF390" i="4"/>
  <c r="AG390" i="4" s="1"/>
  <c r="S390" i="4"/>
  <c r="R390" i="4"/>
  <c r="G390" i="4"/>
  <c r="T390" i="4" s="1"/>
  <c r="F390" i="4"/>
  <c r="D390" i="4"/>
  <c r="B390" i="4"/>
  <c r="AF389" i="4"/>
  <c r="AG389" i="4" s="1"/>
  <c r="S389" i="4"/>
  <c r="R389" i="4"/>
  <c r="G389" i="4"/>
  <c r="T389" i="4" s="1"/>
  <c r="F389" i="4"/>
  <c r="D389" i="4"/>
  <c r="B389" i="4"/>
  <c r="AF388" i="4"/>
  <c r="AG388" i="4" s="1"/>
  <c r="S388" i="4"/>
  <c r="R388" i="4"/>
  <c r="G388" i="4"/>
  <c r="T388" i="4" s="1"/>
  <c r="F388" i="4"/>
  <c r="D388" i="4"/>
  <c r="B388" i="4"/>
  <c r="AF387" i="4"/>
  <c r="AG387" i="4" s="1"/>
  <c r="S387" i="4"/>
  <c r="R387" i="4"/>
  <c r="G387" i="4"/>
  <c r="T387" i="4" s="1"/>
  <c r="F387" i="4"/>
  <c r="D387" i="4"/>
  <c r="B387" i="4"/>
  <c r="AF386" i="4"/>
  <c r="AG386" i="4" s="1"/>
  <c r="S386" i="4"/>
  <c r="R386" i="4"/>
  <c r="G386" i="4"/>
  <c r="T386" i="4" s="1"/>
  <c r="F386" i="4"/>
  <c r="D386" i="4"/>
  <c r="B386" i="4"/>
  <c r="AF385" i="4"/>
  <c r="AG385" i="4" s="1"/>
  <c r="S385" i="4"/>
  <c r="R385" i="4"/>
  <c r="G385" i="4"/>
  <c r="T385" i="4" s="1"/>
  <c r="F385" i="4"/>
  <c r="D385" i="4"/>
  <c r="B385" i="4"/>
  <c r="AF384" i="4"/>
  <c r="AG384" i="4" s="1"/>
  <c r="S384" i="4"/>
  <c r="R384" i="4"/>
  <c r="G384" i="4"/>
  <c r="T384" i="4" s="1"/>
  <c r="F384" i="4"/>
  <c r="D384" i="4"/>
  <c r="B384" i="4"/>
  <c r="AF383" i="4"/>
  <c r="AG383" i="4" s="1"/>
  <c r="S383" i="4"/>
  <c r="R383" i="4"/>
  <c r="G383" i="4"/>
  <c r="T383" i="4" s="1"/>
  <c r="F383" i="4"/>
  <c r="D383" i="4"/>
  <c r="B383" i="4"/>
  <c r="AF382" i="4"/>
  <c r="AG382" i="4" s="1"/>
  <c r="S382" i="4"/>
  <c r="R382" i="4"/>
  <c r="G382" i="4"/>
  <c r="T382" i="4" s="1"/>
  <c r="F382" i="4"/>
  <c r="D382" i="4"/>
  <c r="B382" i="4"/>
  <c r="AF381" i="4"/>
  <c r="AG381" i="4" s="1"/>
  <c r="S381" i="4"/>
  <c r="R381" i="4"/>
  <c r="G381" i="4"/>
  <c r="T381" i="4" s="1"/>
  <c r="F381" i="4"/>
  <c r="D381" i="4"/>
  <c r="B381" i="4"/>
  <c r="AF380" i="4"/>
  <c r="AG380" i="4" s="1"/>
  <c r="S380" i="4"/>
  <c r="R380" i="4"/>
  <c r="G380" i="4"/>
  <c r="T380" i="4" s="1"/>
  <c r="F380" i="4"/>
  <c r="D380" i="4"/>
  <c r="B380" i="4"/>
  <c r="AF379" i="4"/>
  <c r="AG379" i="4" s="1"/>
  <c r="S379" i="4"/>
  <c r="R379" i="4"/>
  <c r="G379" i="4"/>
  <c r="T379" i="4" s="1"/>
  <c r="F379" i="4"/>
  <c r="D379" i="4"/>
  <c r="B379" i="4"/>
  <c r="AF378" i="4"/>
  <c r="AG378" i="4" s="1"/>
  <c r="S378" i="4"/>
  <c r="R378" i="4"/>
  <c r="G378" i="4"/>
  <c r="T378" i="4" s="1"/>
  <c r="F378" i="4"/>
  <c r="D378" i="4"/>
  <c r="B378" i="4"/>
  <c r="AF377" i="4"/>
  <c r="AG377" i="4" s="1"/>
  <c r="S377" i="4"/>
  <c r="R377" i="4"/>
  <c r="G377" i="4"/>
  <c r="T377" i="4" s="1"/>
  <c r="F377" i="4"/>
  <c r="D377" i="4"/>
  <c r="B377" i="4"/>
  <c r="AF376" i="4"/>
  <c r="AG376" i="4" s="1"/>
  <c r="S376" i="4"/>
  <c r="R376" i="4"/>
  <c r="G376" i="4"/>
  <c r="T376" i="4" s="1"/>
  <c r="F376" i="4"/>
  <c r="D376" i="4"/>
  <c r="B376" i="4"/>
  <c r="AF375" i="4"/>
  <c r="AG375" i="4" s="1"/>
  <c r="S375" i="4"/>
  <c r="R375" i="4"/>
  <c r="G375" i="4"/>
  <c r="T375" i="4" s="1"/>
  <c r="F375" i="4"/>
  <c r="D375" i="4"/>
  <c r="B375" i="4"/>
  <c r="AF374" i="4"/>
  <c r="AG374" i="4" s="1"/>
  <c r="S374" i="4"/>
  <c r="R374" i="4"/>
  <c r="G374" i="4"/>
  <c r="T374" i="4" s="1"/>
  <c r="F374" i="4"/>
  <c r="D374" i="4"/>
  <c r="B374" i="4"/>
  <c r="AF373" i="4"/>
  <c r="AG373" i="4" s="1"/>
  <c r="S373" i="4"/>
  <c r="R373" i="4"/>
  <c r="G373" i="4"/>
  <c r="T373" i="4" s="1"/>
  <c r="F373" i="4"/>
  <c r="D373" i="4"/>
  <c r="B373" i="4"/>
  <c r="AF372" i="4"/>
  <c r="AG372" i="4" s="1"/>
  <c r="S372" i="4"/>
  <c r="R372" i="4"/>
  <c r="G372" i="4"/>
  <c r="T372" i="4" s="1"/>
  <c r="F372" i="4"/>
  <c r="D372" i="4"/>
  <c r="B372" i="4"/>
  <c r="AF371" i="4"/>
  <c r="AG371" i="4" s="1"/>
  <c r="S371" i="4"/>
  <c r="R371" i="4"/>
  <c r="G371" i="4"/>
  <c r="T371" i="4" s="1"/>
  <c r="F371" i="4"/>
  <c r="D371" i="4"/>
  <c r="B371" i="4"/>
  <c r="AF370" i="4"/>
  <c r="AG370" i="4" s="1"/>
  <c r="S370" i="4"/>
  <c r="R370" i="4"/>
  <c r="G370" i="4"/>
  <c r="T370" i="4" s="1"/>
  <c r="F370" i="4"/>
  <c r="D370" i="4"/>
  <c r="B370" i="4"/>
  <c r="AF369" i="4"/>
  <c r="AG369" i="4" s="1"/>
  <c r="S369" i="4"/>
  <c r="R369" i="4"/>
  <c r="G369" i="4"/>
  <c r="T369" i="4" s="1"/>
  <c r="F369" i="4"/>
  <c r="D369" i="4"/>
  <c r="B369" i="4"/>
  <c r="AF368" i="4"/>
  <c r="AG368" i="4" s="1"/>
  <c r="S368" i="4"/>
  <c r="R368" i="4"/>
  <c r="G368" i="4"/>
  <c r="T368" i="4" s="1"/>
  <c r="F368" i="4"/>
  <c r="D368" i="4"/>
  <c r="B368" i="4"/>
  <c r="AF367" i="4"/>
  <c r="AG367" i="4" s="1"/>
  <c r="S367" i="4"/>
  <c r="R367" i="4"/>
  <c r="G367" i="4"/>
  <c r="T367" i="4" s="1"/>
  <c r="F367" i="4"/>
  <c r="D367" i="4"/>
  <c r="B367" i="4"/>
  <c r="AF366" i="4"/>
  <c r="AG366" i="4" s="1"/>
  <c r="S366" i="4"/>
  <c r="R366" i="4"/>
  <c r="G366" i="4"/>
  <c r="T366" i="4" s="1"/>
  <c r="F366" i="4"/>
  <c r="D366" i="4"/>
  <c r="B366" i="4"/>
  <c r="AF365" i="4"/>
  <c r="AG365" i="4" s="1"/>
  <c r="S365" i="4"/>
  <c r="R365" i="4"/>
  <c r="G365" i="4"/>
  <c r="T365" i="4" s="1"/>
  <c r="F365" i="4"/>
  <c r="D365" i="4"/>
  <c r="B365" i="4"/>
  <c r="AF364" i="4"/>
  <c r="AG364" i="4" s="1"/>
  <c r="S364" i="4"/>
  <c r="R364" i="4"/>
  <c r="G364" i="4"/>
  <c r="T364" i="4" s="1"/>
  <c r="F364" i="4"/>
  <c r="D364" i="4"/>
  <c r="B364" i="4"/>
  <c r="AF363" i="4"/>
  <c r="AG363" i="4" s="1"/>
  <c r="S363" i="4"/>
  <c r="R363" i="4"/>
  <c r="G363" i="4"/>
  <c r="T363" i="4" s="1"/>
  <c r="F363" i="4"/>
  <c r="D363" i="4"/>
  <c r="B363" i="4"/>
  <c r="AF362" i="4"/>
  <c r="AG362" i="4" s="1"/>
  <c r="S362" i="4"/>
  <c r="R362" i="4"/>
  <c r="G362" i="4"/>
  <c r="T362" i="4" s="1"/>
  <c r="F362" i="4"/>
  <c r="D362" i="4"/>
  <c r="B362" i="4"/>
  <c r="AF361" i="4"/>
  <c r="AG361" i="4" s="1"/>
  <c r="S361" i="4"/>
  <c r="R361" i="4"/>
  <c r="G361" i="4"/>
  <c r="T361" i="4" s="1"/>
  <c r="F361" i="4"/>
  <c r="D361" i="4"/>
  <c r="B361" i="4"/>
  <c r="AF360" i="4"/>
  <c r="AG360" i="4" s="1"/>
  <c r="S360" i="4"/>
  <c r="R360" i="4"/>
  <c r="G360" i="4"/>
  <c r="T360" i="4" s="1"/>
  <c r="F360" i="4"/>
  <c r="D360" i="4"/>
  <c r="B360" i="4"/>
  <c r="AF359" i="4"/>
  <c r="AG359" i="4" s="1"/>
  <c r="S359" i="4"/>
  <c r="R359" i="4"/>
  <c r="G359" i="4"/>
  <c r="T359" i="4" s="1"/>
  <c r="F359" i="4"/>
  <c r="D359" i="4"/>
  <c r="B359" i="4"/>
  <c r="AF358" i="4"/>
  <c r="AG358" i="4" s="1"/>
  <c r="S358" i="4"/>
  <c r="R358" i="4"/>
  <c r="G358" i="4"/>
  <c r="T358" i="4" s="1"/>
  <c r="F358" i="4"/>
  <c r="D358" i="4"/>
  <c r="B358" i="4"/>
  <c r="AF357" i="4"/>
  <c r="AG357" i="4" s="1"/>
  <c r="S357" i="4"/>
  <c r="R357" i="4"/>
  <c r="G357" i="4"/>
  <c r="T357" i="4" s="1"/>
  <c r="F357" i="4"/>
  <c r="D357" i="4"/>
  <c r="B357" i="4"/>
  <c r="AF356" i="4"/>
  <c r="AG356" i="4" s="1"/>
  <c r="S356" i="4"/>
  <c r="R356" i="4"/>
  <c r="G356" i="4"/>
  <c r="T356" i="4" s="1"/>
  <c r="F356" i="4"/>
  <c r="D356" i="4"/>
  <c r="B356" i="4"/>
  <c r="AF355" i="4"/>
  <c r="AG355" i="4" s="1"/>
  <c r="S355" i="4"/>
  <c r="R355" i="4"/>
  <c r="G355" i="4"/>
  <c r="T355" i="4" s="1"/>
  <c r="F355" i="4"/>
  <c r="D355" i="4"/>
  <c r="B355" i="4"/>
  <c r="AF354" i="4"/>
  <c r="AG354" i="4" s="1"/>
  <c r="S354" i="4"/>
  <c r="R354" i="4"/>
  <c r="G354" i="4"/>
  <c r="T354" i="4" s="1"/>
  <c r="F354" i="4"/>
  <c r="D354" i="4"/>
  <c r="B354" i="4"/>
  <c r="AF353" i="4"/>
  <c r="AG353" i="4" s="1"/>
  <c r="S353" i="4"/>
  <c r="R353" i="4"/>
  <c r="G353" i="4"/>
  <c r="T353" i="4" s="1"/>
  <c r="F353" i="4"/>
  <c r="D353" i="4"/>
  <c r="B353" i="4"/>
  <c r="AF352" i="4"/>
  <c r="AG352" i="4" s="1"/>
  <c r="S352" i="4"/>
  <c r="R352" i="4"/>
  <c r="G352" i="4"/>
  <c r="T352" i="4" s="1"/>
  <c r="F352" i="4"/>
  <c r="D352" i="4"/>
  <c r="B352" i="4"/>
  <c r="AF351" i="4"/>
  <c r="AG351" i="4" s="1"/>
  <c r="S351" i="4"/>
  <c r="R351" i="4"/>
  <c r="G351" i="4"/>
  <c r="T351" i="4" s="1"/>
  <c r="F351" i="4"/>
  <c r="D351" i="4"/>
  <c r="B351" i="4"/>
  <c r="AF350" i="4"/>
  <c r="AG350" i="4" s="1"/>
  <c r="S350" i="4"/>
  <c r="R350" i="4"/>
  <c r="G350" i="4"/>
  <c r="T350" i="4" s="1"/>
  <c r="F350" i="4"/>
  <c r="D350" i="4"/>
  <c r="B350" i="4"/>
  <c r="AF349" i="4"/>
  <c r="AG349" i="4" s="1"/>
  <c r="S349" i="4"/>
  <c r="R349" i="4"/>
  <c r="G349" i="4"/>
  <c r="T349" i="4" s="1"/>
  <c r="F349" i="4"/>
  <c r="D349" i="4"/>
  <c r="B349" i="4"/>
  <c r="AF348" i="4"/>
  <c r="AG348" i="4" s="1"/>
  <c r="S348" i="4"/>
  <c r="R348" i="4"/>
  <c r="G348" i="4"/>
  <c r="T348" i="4" s="1"/>
  <c r="F348" i="4"/>
  <c r="D348" i="4"/>
  <c r="B348" i="4"/>
  <c r="AF347" i="4"/>
  <c r="AG347" i="4" s="1"/>
  <c r="S347" i="4"/>
  <c r="R347" i="4"/>
  <c r="G347" i="4"/>
  <c r="T347" i="4" s="1"/>
  <c r="F347" i="4"/>
  <c r="D347" i="4"/>
  <c r="B347" i="4"/>
  <c r="AF346" i="4"/>
  <c r="AG346" i="4" s="1"/>
  <c r="S346" i="4"/>
  <c r="R346" i="4"/>
  <c r="G346" i="4"/>
  <c r="T346" i="4" s="1"/>
  <c r="F346" i="4"/>
  <c r="D346" i="4"/>
  <c r="B346" i="4"/>
  <c r="AF345" i="4"/>
  <c r="AG345" i="4" s="1"/>
  <c r="S345" i="4"/>
  <c r="R345" i="4"/>
  <c r="G345" i="4"/>
  <c r="T345" i="4" s="1"/>
  <c r="F345" i="4"/>
  <c r="D345" i="4"/>
  <c r="B345" i="4"/>
  <c r="AF344" i="4"/>
  <c r="AG344" i="4" s="1"/>
  <c r="S344" i="4"/>
  <c r="R344" i="4"/>
  <c r="G344" i="4"/>
  <c r="T344" i="4" s="1"/>
  <c r="F344" i="4"/>
  <c r="D344" i="4"/>
  <c r="B344" i="4"/>
  <c r="AF343" i="4"/>
  <c r="AG343" i="4" s="1"/>
  <c r="S343" i="4"/>
  <c r="R343" i="4"/>
  <c r="G343" i="4"/>
  <c r="T343" i="4" s="1"/>
  <c r="F343" i="4"/>
  <c r="D343" i="4"/>
  <c r="B343" i="4"/>
  <c r="AF342" i="4"/>
  <c r="AG342" i="4" s="1"/>
  <c r="S342" i="4"/>
  <c r="R342" i="4"/>
  <c r="G342" i="4"/>
  <c r="T342" i="4" s="1"/>
  <c r="F342" i="4"/>
  <c r="D342" i="4"/>
  <c r="B342" i="4"/>
  <c r="AF341" i="4"/>
  <c r="AG341" i="4" s="1"/>
  <c r="S341" i="4"/>
  <c r="R341" i="4"/>
  <c r="G341" i="4"/>
  <c r="T341" i="4" s="1"/>
  <c r="F341" i="4"/>
  <c r="D341" i="4"/>
  <c r="B341" i="4"/>
  <c r="AF340" i="4"/>
  <c r="AG340" i="4" s="1"/>
  <c r="S340" i="4"/>
  <c r="R340" i="4"/>
  <c r="G340" i="4"/>
  <c r="T340" i="4" s="1"/>
  <c r="F340" i="4"/>
  <c r="D340" i="4"/>
  <c r="B340" i="4"/>
  <c r="AF339" i="4"/>
  <c r="AG339" i="4" s="1"/>
  <c r="S339" i="4"/>
  <c r="R339" i="4"/>
  <c r="G339" i="4"/>
  <c r="T339" i="4" s="1"/>
  <c r="F339" i="4"/>
  <c r="D339" i="4"/>
  <c r="B339" i="4"/>
  <c r="AF338" i="4"/>
  <c r="AG338" i="4" s="1"/>
  <c r="S338" i="4"/>
  <c r="R338" i="4"/>
  <c r="G338" i="4"/>
  <c r="T338" i="4" s="1"/>
  <c r="F338" i="4"/>
  <c r="D338" i="4"/>
  <c r="B338" i="4"/>
  <c r="AF337" i="4"/>
  <c r="AG337" i="4" s="1"/>
  <c r="S337" i="4"/>
  <c r="R337" i="4"/>
  <c r="G337" i="4"/>
  <c r="T337" i="4" s="1"/>
  <c r="F337" i="4"/>
  <c r="D337" i="4"/>
  <c r="B337" i="4"/>
  <c r="AF336" i="4"/>
  <c r="AG336" i="4" s="1"/>
  <c r="S336" i="4"/>
  <c r="R336" i="4"/>
  <c r="G336" i="4"/>
  <c r="T336" i="4" s="1"/>
  <c r="F336" i="4"/>
  <c r="D336" i="4"/>
  <c r="B336" i="4"/>
  <c r="AF335" i="4"/>
  <c r="AG335" i="4" s="1"/>
  <c r="S335" i="4"/>
  <c r="R335" i="4"/>
  <c r="G335" i="4"/>
  <c r="T335" i="4" s="1"/>
  <c r="F335" i="4"/>
  <c r="D335" i="4"/>
  <c r="B335" i="4"/>
  <c r="AF334" i="4"/>
  <c r="AG334" i="4" s="1"/>
  <c r="S334" i="4"/>
  <c r="R334" i="4"/>
  <c r="G334" i="4"/>
  <c r="T334" i="4" s="1"/>
  <c r="F334" i="4"/>
  <c r="D334" i="4"/>
  <c r="B334" i="4"/>
  <c r="AF333" i="4"/>
  <c r="AG333" i="4" s="1"/>
  <c r="S333" i="4"/>
  <c r="R333" i="4"/>
  <c r="G333" i="4"/>
  <c r="T333" i="4" s="1"/>
  <c r="F333" i="4"/>
  <c r="D333" i="4"/>
  <c r="B333" i="4"/>
  <c r="AF332" i="4"/>
  <c r="AG332" i="4" s="1"/>
  <c r="S332" i="4"/>
  <c r="R332" i="4"/>
  <c r="G332" i="4"/>
  <c r="T332" i="4" s="1"/>
  <c r="F332" i="4"/>
  <c r="D332" i="4"/>
  <c r="B332" i="4"/>
  <c r="AF331" i="4"/>
  <c r="AG331" i="4" s="1"/>
  <c r="S331" i="4"/>
  <c r="R331" i="4"/>
  <c r="G331" i="4"/>
  <c r="T331" i="4" s="1"/>
  <c r="F331" i="4"/>
  <c r="D331" i="4"/>
  <c r="B331" i="4"/>
  <c r="AF330" i="4"/>
  <c r="AG330" i="4" s="1"/>
  <c r="S330" i="4"/>
  <c r="R330" i="4"/>
  <c r="G330" i="4"/>
  <c r="T330" i="4" s="1"/>
  <c r="F330" i="4"/>
  <c r="D330" i="4"/>
  <c r="B330" i="4"/>
  <c r="AF329" i="4"/>
  <c r="AG329" i="4" s="1"/>
  <c r="S329" i="4"/>
  <c r="R329" i="4"/>
  <c r="G329" i="4"/>
  <c r="T329" i="4" s="1"/>
  <c r="F329" i="4"/>
  <c r="D329" i="4"/>
  <c r="B329" i="4"/>
  <c r="AF328" i="4"/>
  <c r="AG328" i="4" s="1"/>
  <c r="S328" i="4"/>
  <c r="R328" i="4"/>
  <c r="G328" i="4"/>
  <c r="T328" i="4" s="1"/>
  <c r="F328" i="4"/>
  <c r="D328" i="4"/>
  <c r="B328" i="4"/>
  <c r="AF327" i="4"/>
  <c r="AG327" i="4" s="1"/>
  <c r="S327" i="4"/>
  <c r="R327" i="4"/>
  <c r="G327" i="4"/>
  <c r="T327" i="4" s="1"/>
  <c r="F327" i="4"/>
  <c r="D327" i="4"/>
  <c r="B327" i="4"/>
  <c r="AF326" i="4"/>
  <c r="AG326" i="4" s="1"/>
  <c r="S326" i="4"/>
  <c r="R326" i="4"/>
  <c r="G326" i="4"/>
  <c r="T326" i="4" s="1"/>
  <c r="F326" i="4"/>
  <c r="D326" i="4"/>
  <c r="B326" i="4"/>
  <c r="AF325" i="4"/>
  <c r="AG325" i="4" s="1"/>
  <c r="S325" i="4"/>
  <c r="R325" i="4"/>
  <c r="G325" i="4"/>
  <c r="T325" i="4" s="1"/>
  <c r="F325" i="4"/>
  <c r="D325" i="4"/>
  <c r="B325" i="4"/>
  <c r="AF324" i="4"/>
  <c r="AG324" i="4" s="1"/>
  <c r="S324" i="4"/>
  <c r="R324" i="4"/>
  <c r="G324" i="4"/>
  <c r="T324" i="4" s="1"/>
  <c r="F324" i="4"/>
  <c r="D324" i="4"/>
  <c r="B324" i="4"/>
  <c r="AF323" i="4"/>
  <c r="AG323" i="4" s="1"/>
  <c r="S323" i="4"/>
  <c r="R323" i="4"/>
  <c r="G323" i="4"/>
  <c r="T323" i="4" s="1"/>
  <c r="F323" i="4"/>
  <c r="D323" i="4"/>
  <c r="B323" i="4"/>
  <c r="AF322" i="4"/>
  <c r="AG322" i="4" s="1"/>
  <c r="S322" i="4"/>
  <c r="R322" i="4"/>
  <c r="G322" i="4"/>
  <c r="T322" i="4" s="1"/>
  <c r="F322" i="4"/>
  <c r="D322" i="4"/>
  <c r="B322" i="4"/>
  <c r="AF321" i="4"/>
  <c r="AG321" i="4" s="1"/>
  <c r="S321" i="4"/>
  <c r="R321" i="4"/>
  <c r="G321" i="4"/>
  <c r="T321" i="4" s="1"/>
  <c r="F321" i="4"/>
  <c r="D321" i="4"/>
  <c r="B321" i="4"/>
  <c r="AF320" i="4"/>
  <c r="AG320" i="4" s="1"/>
  <c r="S320" i="4"/>
  <c r="R320" i="4"/>
  <c r="G320" i="4"/>
  <c r="T320" i="4" s="1"/>
  <c r="F320" i="4"/>
  <c r="D320" i="4"/>
  <c r="B320" i="4"/>
  <c r="AF319" i="4"/>
  <c r="AG319" i="4" s="1"/>
  <c r="S319" i="4"/>
  <c r="R319" i="4"/>
  <c r="G319" i="4"/>
  <c r="T319" i="4" s="1"/>
  <c r="F319" i="4"/>
  <c r="D319" i="4"/>
  <c r="B319" i="4"/>
  <c r="AF318" i="4"/>
  <c r="AG318" i="4" s="1"/>
  <c r="S318" i="4"/>
  <c r="R318" i="4"/>
  <c r="G318" i="4"/>
  <c r="T318" i="4" s="1"/>
  <c r="F318" i="4"/>
  <c r="D318" i="4"/>
  <c r="B318" i="4"/>
  <c r="AF317" i="4"/>
  <c r="AG317" i="4" s="1"/>
  <c r="S317" i="4"/>
  <c r="R317" i="4"/>
  <c r="G317" i="4"/>
  <c r="T317" i="4" s="1"/>
  <c r="F317" i="4"/>
  <c r="D317" i="4"/>
  <c r="B317" i="4"/>
  <c r="AF316" i="4"/>
  <c r="AG316" i="4" s="1"/>
  <c r="S316" i="4"/>
  <c r="R316" i="4"/>
  <c r="G316" i="4"/>
  <c r="T316" i="4" s="1"/>
  <c r="F316" i="4"/>
  <c r="D316" i="4"/>
  <c r="B316" i="4"/>
  <c r="AF315" i="4"/>
  <c r="AG315" i="4" s="1"/>
  <c r="S315" i="4"/>
  <c r="R315" i="4"/>
  <c r="G315" i="4"/>
  <c r="T315" i="4" s="1"/>
  <c r="F315" i="4"/>
  <c r="D315" i="4"/>
  <c r="B315" i="4"/>
  <c r="AF314" i="4"/>
  <c r="AG314" i="4" s="1"/>
  <c r="S314" i="4"/>
  <c r="R314" i="4"/>
  <c r="G314" i="4"/>
  <c r="T314" i="4" s="1"/>
  <c r="F314" i="4"/>
  <c r="D314" i="4"/>
  <c r="B314" i="4"/>
  <c r="AF313" i="4"/>
  <c r="AG313" i="4" s="1"/>
  <c r="S313" i="4"/>
  <c r="R313" i="4"/>
  <c r="G313" i="4"/>
  <c r="T313" i="4" s="1"/>
  <c r="F313" i="4"/>
  <c r="D313" i="4"/>
  <c r="B313" i="4"/>
  <c r="AF312" i="4"/>
  <c r="AG312" i="4" s="1"/>
  <c r="S312" i="4"/>
  <c r="R312" i="4"/>
  <c r="G312" i="4"/>
  <c r="T312" i="4" s="1"/>
  <c r="F312" i="4"/>
  <c r="D312" i="4"/>
  <c r="B312" i="4"/>
  <c r="AF311" i="4"/>
  <c r="AG311" i="4" s="1"/>
  <c r="S311" i="4"/>
  <c r="R311" i="4"/>
  <c r="G311" i="4"/>
  <c r="T311" i="4" s="1"/>
  <c r="F311" i="4"/>
  <c r="D311" i="4"/>
  <c r="B311" i="4"/>
  <c r="AF310" i="4"/>
  <c r="AG310" i="4" s="1"/>
  <c r="S310" i="4"/>
  <c r="R310" i="4"/>
  <c r="G310" i="4"/>
  <c r="T310" i="4" s="1"/>
  <c r="F310" i="4"/>
  <c r="D310" i="4"/>
  <c r="B310" i="4"/>
  <c r="AF309" i="4"/>
  <c r="AG309" i="4" s="1"/>
  <c r="S309" i="4"/>
  <c r="R309" i="4"/>
  <c r="G309" i="4"/>
  <c r="T309" i="4" s="1"/>
  <c r="F309" i="4"/>
  <c r="D309" i="4"/>
  <c r="B309" i="4"/>
  <c r="AF308" i="4"/>
  <c r="AG308" i="4" s="1"/>
  <c r="S308" i="4"/>
  <c r="R308" i="4"/>
  <c r="G308" i="4"/>
  <c r="T308" i="4" s="1"/>
  <c r="F308" i="4"/>
  <c r="D308" i="4"/>
  <c r="B308" i="4"/>
  <c r="AF307" i="4"/>
  <c r="AG307" i="4" s="1"/>
  <c r="S307" i="4"/>
  <c r="R307" i="4"/>
  <c r="G307" i="4"/>
  <c r="T307" i="4" s="1"/>
  <c r="F307" i="4"/>
  <c r="D307" i="4"/>
  <c r="B307" i="4"/>
  <c r="AF306" i="4"/>
  <c r="AG306" i="4" s="1"/>
  <c r="S306" i="4"/>
  <c r="R306" i="4"/>
  <c r="G306" i="4"/>
  <c r="T306" i="4" s="1"/>
  <c r="F306" i="4"/>
  <c r="D306" i="4"/>
  <c r="B306" i="4"/>
  <c r="AF305" i="4"/>
  <c r="AG305" i="4" s="1"/>
  <c r="S305" i="4"/>
  <c r="R305" i="4"/>
  <c r="G305" i="4"/>
  <c r="T305" i="4" s="1"/>
  <c r="F305" i="4"/>
  <c r="D305" i="4"/>
  <c r="B305" i="4"/>
  <c r="AF304" i="4"/>
  <c r="AG304" i="4" s="1"/>
  <c r="S304" i="4"/>
  <c r="R304" i="4"/>
  <c r="G304" i="4"/>
  <c r="T304" i="4" s="1"/>
  <c r="F304" i="4"/>
  <c r="D304" i="4"/>
  <c r="B304" i="4"/>
  <c r="AF303" i="4"/>
  <c r="AG303" i="4" s="1"/>
  <c r="S303" i="4"/>
  <c r="R303" i="4"/>
  <c r="G303" i="4"/>
  <c r="T303" i="4" s="1"/>
  <c r="F303" i="4"/>
  <c r="D303" i="4"/>
  <c r="B303" i="4"/>
  <c r="AF302" i="4"/>
  <c r="AG302" i="4" s="1"/>
  <c r="S302" i="4"/>
  <c r="R302" i="4"/>
  <c r="G302" i="4"/>
  <c r="T302" i="4" s="1"/>
  <c r="F302" i="4"/>
  <c r="D302" i="4"/>
  <c r="B302" i="4"/>
  <c r="AF301" i="4"/>
  <c r="AG301" i="4" s="1"/>
  <c r="S301" i="4"/>
  <c r="R301" i="4"/>
  <c r="G301" i="4"/>
  <c r="T301" i="4" s="1"/>
  <c r="F301" i="4"/>
  <c r="D301" i="4"/>
  <c r="B301" i="4"/>
  <c r="AF300" i="4"/>
  <c r="AG300" i="4" s="1"/>
  <c r="S300" i="4"/>
  <c r="R300" i="4"/>
  <c r="G300" i="4"/>
  <c r="T300" i="4" s="1"/>
  <c r="F300" i="4"/>
  <c r="D300" i="4"/>
  <c r="B300" i="4"/>
  <c r="AF299" i="4"/>
  <c r="AG299" i="4" s="1"/>
  <c r="S299" i="4"/>
  <c r="R299" i="4"/>
  <c r="G299" i="4"/>
  <c r="T299" i="4" s="1"/>
  <c r="F299" i="4"/>
  <c r="D299" i="4"/>
  <c r="B299" i="4"/>
  <c r="AF298" i="4"/>
  <c r="AG298" i="4" s="1"/>
  <c r="S298" i="4"/>
  <c r="R298" i="4"/>
  <c r="G298" i="4"/>
  <c r="T298" i="4" s="1"/>
  <c r="F298" i="4"/>
  <c r="D298" i="4"/>
  <c r="B298" i="4"/>
  <c r="AF297" i="4"/>
  <c r="AG297" i="4" s="1"/>
  <c r="S297" i="4"/>
  <c r="R297" i="4"/>
  <c r="G297" i="4"/>
  <c r="T297" i="4" s="1"/>
  <c r="F297" i="4"/>
  <c r="D297" i="4"/>
  <c r="B297" i="4"/>
  <c r="AF296" i="4"/>
  <c r="AG296" i="4" s="1"/>
  <c r="S296" i="4"/>
  <c r="R296" i="4"/>
  <c r="G296" i="4"/>
  <c r="T296" i="4" s="1"/>
  <c r="F296" i="4"/>
  <c r="D296" i="4"/>
  <c r="B296" i="4"/>
  <c r="AF295" i="4"/>
  <c r="AG295" i="4" s="1"/>
  <c r="S295" i="4"/>
  <c r="R295" i="4"/>
  <c r="G295" i="4"/>
  <c r="T295" i="4" s="1"/>
  <c r="F295" i="4"/>
  <c r="D295" i="4"/>
  <c r="B295" i="4"/>
  <c r="AF294" i="4"/>
  <c r="AG294" i="4" s="1"/>
  <c r="S294" i="4"/>
  <c r="R294" i="4"/>
  <c r="G294" i="4"/>
  <c r="T294" i="4" s="1"/>
  <c r="F294" i="4"/>
  <c r="D294" i="4"/>
  <c r="B294" i="4"/>
  <c r="AF293" i="4"/>
  <c r="AG293" i="4" s="1"/>
  <c r="S293" i="4"/>
  <c r="R293" i="4"/>
  <c r="T293" i="4"/>
  <c r="AF292" i="4"/>
  <c r="AG292" i="4" s="1"/>
  <c r="S292" i="4"/>
  <c r="R292" i="4"/>
  <c r="T292" i="4"/>
  <c r="AF291" i="4"/>
  <c r="AG291" i="4" s="1"/>
  <c r="S291" i="4"/>
  <c r="R291" i="4"/>
  <c r="T291" i="4"/>
  <c r="AF290" i="4"/>
  <c r="AG290" i="4" s="1"/>
  <c r="S290" i="4"/>
  <c r="R290" i="4"/>
  <c r="T290" i="4"/>
  <c r="AF289" i="4"/>
  <c r="AG289" i="4" s="1"/>
  <c r="S289" i="4"/>
  <c r="R289" i="4"/>
  <c r="T289" i="4"/>
  <c r="AF288" i="4"/>
  <c r="AG288" i="4" s="1"/>
  <c r="S288" i="4"/>
  <c r="R288" i="4"/>
  <c r="T288" i="4"/>
  <c r="AF287" i="4"/>
  <c r="AG287" i="4" s="1"/>
  <c r="S287" i="4"/>
  <c r="R287" i="4"/>
  <c r="T287" i="4"/>
  <c r="AF286" i="4"/>
  <c r="AG286" i="4" s="1"/>
  <c r="S286" i="4"/>
  <c r="R286" i="4"/>
  <c r="T286" i="4"/>
  <c r="AF285" i="4"/>
  <c r="AG285" i="4" s="1"/>
  <c r="S285" i="4"/>
  <c r="R285" i="4"/>
  <c r="T285" i="4"/>
  <c r="AF284" i="4"/>
  <c r="AG284" i="4" s="1"/>
  <c r="S284" i="4"/>
  <c r="R284" i="4"/>
  <c r="T284" i="4"/>
  <c r="AF283" i="4"/>
  <c r="AG283" i="4" s="1"/>
  <c r="S283" i="4"/>
  <c r="R283" i="4"/>
  <c r="T283" i="4"/>
  <c r="AF282" i="4"/>
  <c r="AG282" i="4" s="1"/>
  <c r="S282" i="4"/>
  <c r="R282" i="4"/>
  <c r="T282" i="4"/>
  <c r="AF281" i="4"/>
  <c r="AG281" i="4" s="1"/>
  <c r="S281" i="4"/>
  <c r="R281" i="4"/>
  <c r="T281" i="4"/>
  <c r="AF280" i="4"/>
  <c r="AG280" i="4" s="1"/>
  <c r="S280" i="4"/>
  <c r="R280" i="4"/>
  <c r="T280" i="4"/>
  <c r="AF279" i="4"/>
  <c r="AG279" i="4" s="1"/>
  <c r="S279" i="4"/>
  <c r="R279" i="4"/>
  <c r="T279" i="4"/>
  <c r="AF278" i="4"/>
  <c r="AG278" i="4" s="1"/>
  <c r="S278" i="4"/>
  <c r="R278" i="4"/>
  <c r="T278" i="4"/>
  <c r="AF277" i="4"/>
  <c r="AG277" i="4" s="1"/>
  <c r="S277" i="4"/>
  <c r="R277" i="4"/>
  <c r="T277" i="4"/>
  <c r="AF276" i="4"/>
  <c r="AG276" i="4" s="1"/>
  <c r="S276" i="4"/>
  <c r="R276" i="4"/>
  <c r="T276" i="4"/>
  <c r="AF275" i="4"/>
  <c r="AG275" i="4" s="1"/>
  <c r="S275" i="4"/>
  <c r="R275" i="4"/>
  <c r="T275" i="4"/>
  <c r="AF274" i="4"/>
  <c r="AG274" i="4" s="1"/>
  <c r="S274" i="4"/>
  <c r="R274" i="4"/>
  <c r="T274" i="4"/>
  <c r="AF273" i="4"/>
  <c r="AG273" i="4" s="1"/>
  <c r="S273" i="4"/>
  <c r="R273" i="4"/>
  <c r="T273" i="4"/>
  <c r="AF272" i="4"/>
  <c r="AG272" i="4" s="1"/>
  <c r="S272" i="4"/>
  <c r="R272" i="4"/>
  <c r="T272" i="4"/>
  <c r="AF271" i="4"/>
  <c r="AG271" i="4" s="1"/>
  <c r="S271" i="4"/>
  <c r="R271" i="4"/>
  <c r="T271" i="4"/>
  <c r="AF270" i="4"/>
  <c r="AG270" i="4" s="1"/>
  <c r="S270" i="4"/>
  <c r="R270" i="4"/>
  <c r="T270" i="4"/>
  <c r="AF269" i="4"/>
  <c r="AG269" i="4" s="1"/>
  <c r="S269" i="4"/>
  <c r="R269" i="4"/>
  <c r="T269" i="4"/>
  <c r="AF268" i="4"/>
  <c r="AG268" i="4" s="1"/>
  <c r="S268" i="4"/>
  <c r="R268" i="4"/>
  <c r="T268" i="4"/>
  <c r="AF267" i="4"/>
  <c r="AG267" i="4" s="1"/>
  <c r="S267" i="4"/>
  <c r="R267" i="4"/>
  <c r="T267" i="4"/>
  <c r="AF266" i="4"/>
  <c r="AG266" i="4" s="1"/>
  <c r="S266" i="4"/>
  <c r="R266" i="4"/>
  <c r="T266" i="4"/>
  <c r="AF265" i="4"/>
  <c r="AG265" i="4" s="1"/>
  <c r="S265" i="4"/>
  <c r="R265" i="4"/>
  <c r="T265" i="4"/>
  <c r="AF264" i="4"/>
  <c r="AG264" i="4" s="1"/>
  <c r="S264" i="4"/>
  <c r="R264" i="4"/>
  <c r="T264" i="4"/>
  <c r="AF263" i="4"/>
  <c r="AG263" i="4" s="1"/>
  <c r="S263" i="4"/>
  <c r="R263" i="4"/>
  <c r="T263" i="4"/>
  <c r="AF262" i="4"/>
  <c r="AG262" i="4" s="1"/>
  <c r="S262" i="4"/>
  <c r="R262" i="4"/>
  <c r="T262" i="4"/>
  <c r="AF261" i="4"/>
  <c r="AG261" i="4" s="1"/>
  <c r="S261" i="4"/>
  <c r="R261" i="4"/>
  <c r="T261" i="4"/>
  <c r="AF260" i="4"/>
  <c r="AG260" i="4" s="1"/>
  <c r="S260" i="4"/>
  <c r="R260" i="4"/>
  <c r="T260" i="4"/>
  <c r="AF259" i="4"/>
  <c r="AG259" i="4" s="1"/>
  <c r="S259" i="4"/>
  <c r="R259" i="4"/>
  <c r="T259" i="4"/>
  <c r="AF258" i="4"/>
  <c r="AG258" i="4" s="1"/>
  <c r="S258" i="4"/>
  <c r="R258" i="4"/>
  <c r="T258" i="4"/>
  <c r="AF257" i="4"/>
  <c r="AG257" i="4" s="1"/>
  <c r="S257" i="4"/>
  <c r="R257" i="4"/>
  <c r="T257" i="4"/>
  <c r="AF256" i="4"/>
  <c r="AG256" i="4" s="1"/>
  <c r="S256" i="4"/>
  <c r="R256" i="4"/>
  <c r="T256" i="4"/>
  <c r="AF255" i="4"/>
  <c r="AG255" i="4" s="1"/>
  <c r="S255" i="4"/>
  <c r="R255" i="4"/>
  <c r="T255" i="4"/>
  <c r="AF254" i="4"/>
  <c r="AG254" i="4" s="1"/>
  <c r="S254" i="4"/>
  <c r="R254" i="4"/>
  <c r="T254" i="4"/>
  <c r="AF253" i="4"/>
  <c r="AG253" i="4" s="1"/>
  <c r="S253" i="4"/>
  <c r="R253" i="4"/>
  <c r="AF252" i="4"/>
  <c r="AG252" i="4" s="1"/>
  <c r="S252" i="4"/>
  <c r="R252" i="4"/>
  <c r="T215" i="4"/>
  <c r="AF251" i="4"/>
  <c r="AG251" i="4" s="1"/>
  <c r="S251" i="4"/>
  <c r="R251" i="4"/>
  <c r="AF250" i="4"/>
  <c r="AG250" i="4" s="1"/>
  <c r="S250" i="4"/>
  <c r="R250" i="4"/>
  <c r="AF249" i="4"/>
  <c r="AG249" i="4" s="1"/>
  <c r="S249" i="4"/>
  <c r="R249" i="4"/>
  <c r="AF248" i="4"/>
  <c r="AG248" i="4" s="1"/>
  <c r="S248" i="4"/>
  <c r="R248" i="4"/>
  <c r="AF247" i="4"/>
  <c r="AG247" i="4" s="1"/>
  <c r="S247" i="4"/>
  <c r="R247" i="4"/>
  <c r="AF246" i="4"/>
  <c r="AG246" i="4" s="1"/>
  <c r="S246" i="4"/>
  <c r="R246" i="4"/>
  <c r="AF245" i="4"/>
  <c r="AG245" i="4" s="1"/>
  <c r="S245" i="4"/>
  <c r="R245" i="4"/>
  <c r="AF244" i="4"/>
  <c r="AG244" i="4" s="1"/>
  <c r="S244" i="4"/>
  <c r="R244" i="4"/>
  <c r="AF243" i="4"/>
  <c r="AG243" i="4" s="1"/>
  <c r="S243" i="4"/>
  <c r="R243" i="4"/>
  <c r="AF242" i="4"/>
  <c r="AG242" i="4" s="1"/>
  <c r="S242" i="4"/>
  <c r="R242" i="4"/>
  <c r="AF241" i="4"/>
  <c r="AG241" i="4" s="1"/>
  <c r="S241" i="4"/>
  <c r="R241" i="4"/>
  <c r="AF240" i="4"/>
  <c r="AG240" i="4" s="1"/>
  <c r="S240" i="4"/>
  <c r="R240" i="4"/>
  <c r="AF239" i="4"/>
  <c r="AG239" i="4" s="1"/>
  <c r="S239" i="4"/>
  <c r="R239" i="4"/>
  <c r="AF238" i="4"/>
  <c r="AG238" i="4" s="1"/>
  <c r="S238" i="4"/>
  <c r="R238" i="4"/>
  <c r="AF237" i="4"/>
  <c r="AG237" i="4" s="1"/>
  <c r="S237" i="4"/>
  <c r="R237" i="4"/>
  <c r="AF236" i="4"/>
  <c r="AG236" i="4" s="1"/>
  <c r="S236" i="4"/>
  <c r="R236" i="4"/>
  <c r="AF235" i="4"/>
  <c r="AG235" i="4" s="1"/>
  <c r="S235" i="4"/>
  <c r="R235" i="4"/>
  <c r="AF234" i="4"/>
  <c r="AG234" i="4" s="1"/>
  <c r="S234" i="4"/>
  <c r="R234" i="4"/>
  <c r="AF233" i="4"/>
  <c r="AG233" i="4" s="1"/>
  <c r="S233" i="4"/>
  <c r="R233" i="4"/>
  <c r="AF232" i="4"/>
  <c r="AG232" i="4" s="1"/>
  <c r="S232" i="4"/>
  <c r="R232" i="4"/>
  <c r="AF231" i="4"/>
  <c r="AG231" i="4" s="1"/>
  <c r="S231" i="4"/>
  <c r="R231" i="4"/>
  <c r="AF230" i="4"/>
  <c r="AG230" i="4" s="1"/>
  <c r="S230" i="4"/>
  <c r="R230" i="4"/>
  <c r="AF229" i="4"/>
  <c r="AG229" i="4" s="1"/>
  <c r="S229" i="4"/>
  <c r="R229" i="4"/>
  <c r="AF228" i="4"/>
  <c r="AG228" i="4" s="1"/>
  <c r="S228" i="4"/>
  <c r="R228" i="4"/>
  <c r="AF227" i="4"/>
  <c r="AG227" i="4" s="1"/>
  <c r="S227" i="4"/>
  <c r="R227" i="4"/>
  <c r="AF226" i="4"/>
  <c r="AG226" i="4" s="1"/>
  <c r="S226" i="4"/>
  <c r="R226" i="4"/>
  <c r="AF225" i="4"/>
  <c r="AG225" i="4" s="1"/>
  <c r="S225" i="4"/>
  <c r="R225" i="4"/>
  <c r="AF224" i="4"/>
  <c r="AG224" i="4" s="1"/>
  <c r="S224" i="4"/>
  <c r="R224" i="4"/>
  <c r="AF223" i="4"/>
  <c r="AG223" i="4" s="1"/>
  <c r="S223" i="4"/>
  <c r="R223" i="4"/>
  <c r="AF222" i="4"/>
  <c r="AG222" i="4" s="1"/>
  <c r="S222" i="4"/>
  <c r="R222" i="4"/>
  <c r="AF221" i="4"/>
  <c r="AG221" i="4" s="1"/>
  <c r="S221" i="4"/>
  <c r="R221" i="4"/>
  <c r="AF220" i="4"/>
  <c r="AG220" i="4" s="1"/>
  <c r="S220" i="4"/>
  <c r="R220" i="4"/>
  <c r="AF219" i="4"/>
  <c r="AG219" i="4" s="1"/>
  <c r="S219" i="4"/>
  <c r="R219" i="4"/>
  <c r="AF218" i="4"/>
  <c r="AG218" i="4" s="1"/>
  <c r="S218" i="4"/>
  <c r="R218" i="4"/>
  <c r="AF217" i="4"/>
  <c r="AG217" i="4" s="1"/>
  <c r="S217" i="4"/>
  <c r="R217" i="4"/>
  <c r="AF216" i="4"/>
  <c r="AG216" i="4" s="1"/>
  <c r="S216" i="4"/>
  <c r="R216" i="4"/>
  <c r="AF215" i="4"/>
  <c r="AG215" i="4" s="1"/>
  <c r="S215" i="4"/>
  <c r="R215" i="4"/>
  <c r="AF214" i="4"/>
  <c r="AG214" i="4" s="1"/>
  <c r="S214" i="4"/>
  <c r="R214" i="4"/>
  <c r="AF213" i="4"/>
  <c r="AG213" i="4" s="1"/>
  <c r="S213" i="4"/>
  <c r="R213" i="4"/>
  <c r="AF212" i="4"/>
  <c r="AG212" i="4" s="1"/>
  <c r="S212" i="4"/>
  <c r="R212" i="4"/>
  <c r="AF211" i="4"/>
  <c r="AG211" i="4" s="1"/>
  <c r="S211" i="4"/>
  <c r="R211" i="4"/>
  <c r="AF210" i="4"/>
  <c r="AG210" i="4" s="1"/>
  <c r="S210" i="4"/>
  <c r="R210" i="4"/>
  <c r="AF209" i="4"/>
  <c r="AG209" i="4" s="1"/>
  <c r="S209" i="4"/>
  <c r="R209" i="4"/>
  <c r="AF208" i="4"/>
  <c r="AG208" i="4" s="1"/>
  <c r="S208" i="4"/>
  <c r="R208" i="4"/>
  <c r="AF207" i="4"/>
  <c r="AG207" i="4" s="1"/>
  <c r="S207" i="4"/>
  <c r="R207" i="4"/>
  <c r="AF206" i="4"/>
  <c r="AG206" i="4" s="1"/>
  <c r="S206" i="4"/>
  <c r="R206" i="4"/>
  <c r="AF205" i="4"/>
  <c r="AG205" i="4" s="1"/>
  <c r="S205" i="4"/>
  <c r="R205" i="4"/>
  <c r="AF204" i="4"/>
  <c r="AG204" i="4" s="1"/>
  <c r="S204" i="4"/>
  <c r="R204" i="4"/>
  <c r="AF203" i="4"/>
  <c r="AG203" i="4" s="1"/>
  <c r="S203" i="4"/>
  <c r="R203" i="4"/>
  <c r="AF202" i="4"/>
  <c r="AG202" i="4" s="1"/>
  <c r="S202" i="4"/>
  <c r="R202" i="4"/>
  <c r="AF201" i="4"/>
  <c r="AG201" i="4" s="1"/>
  <c r="S201" i="4"/>
  <c r="R201" i="4"/>
  <c r="AF200" i="4"/>
  <c r="AG200" i="4" s="1"/>
  <c r="S200" i="4"/>
  <c r="R200" i="4"/>
  <c r="T200" i="4"/>
  <c r="AF199" i="4"/>
  <c r="AG199" i="4" s="1"/>
  <c r="S199" i="4"/>
  <c r="R199" i="4"/>
  <c r="T199" i="4"/>
  <c r="AF198" i="4"/>
  <c r="AG198" i="4" s="1"/>
  <c r="S198" i="4"/>
  <c r="R198" i="4"/>
  <c r="T198" i="4"/>
  <c r="AF197" i="4"/>
  <c r="AG197" i="4" s="1"/>
  <c r="S197" i="4"/>
  <c r="R197" i="4"/>
  <c r="T197" i="4"/>
  <c r="AF196" i="4"/>
  <c r="AG196" i="4" s="1"/>
  <c r="S196" i="4"/>
  <c r="R196" i="4"/>
  <c r="T196" i="4"/>
  <c r="AF195" i="4"/>
  <c r="AG195" i="4" s="1"/>
  <c r="S195" i="4"/>
  <c r="R195" i="4"/>
  <c r="T195" i="4"/>
  <c r="AF194" i="4"/>
  <c r="AG194" i="4" s="1"/>
  <c r="S194" i="4"/>
  <c r="R194" i="4"/>
  <c r="T194" i="4"/>
  <c r="AF193" i="4"/>
  <c r="AG193" i="4" s="1"/>
  <c r="S193" i="4"/>
  <c r="R193" i="4"/>
  <c r="T193" i="4"/>
  <c r="AF192" i="4"/>
  <c r="AG192" i="4" s="1"/>
  <c r="S192" i="4"/>
  <c r="R192" i="4"/>
  <c r="T192" i="4"/>
  <c r="AF191" i="4"/>
  <c r="AG191" i="4" s="1"/>
  <c r="S191" i="4"/>
  <c r="R191" i="4"/>
  <c r="AF190" i="4"/>
  <c r="AG190" i="4" s="1"/>
  <c r="S190" i="4"/>
  <c r="R190" i="4"/>
  <c r="AF189" i="4"/>
  <c r="AG189" i="4" s="1"/>
  <c r="S189" i="4"/>
  <c r="R189" i="4"/>
  <c r="AF188" i="4"/>
  <c r="AG188" i="4" s="1"/>
  <c r="S188" i="4"/>
  <c r="R188" i="4"/>
  <c r="AF187" i="4"/>
  <c r="AG187" i="4" s="1"/>
  <c r="S187" i="4"/>
  <c r="R187" i="4"/>
  <c r="AF186" i="4"/>
  <c r="AG186" i="4" s="1"/>
  <c r="S186" i="4"/>
  <c r="R186" i="4"/>
  <c r="AF185" i="4"/>
  <c r="AG185" i="4" s="1"/>
  <c r="S185" i="4"/>
  <c r="R185" i="4"/>
  <c r="AF184" i="4"/>
  <c r="AG184" i="4" s="1"/>
  <c r="S184" i="4"/>
  <c r="R184" i="4"/>
  <c r="AF183" i="4"/>
  <c r="AG183" i="4" s="1"/>
  <c r="S183" i="4"/>
  <c r="R183" i="4"/>
  <c r="AF182" i="4"/>
  <c r="AG182" i="4" s="1"/>
  <c r="S182" i="4"/>
  <c r="R182" i="4"/>
  <c r="AF181" i="4"/>
  <c r="AG181" i="4" s="1"/>
  <c r="S181" i="4"/>
  <c r="R181" i="4"/>
  <c r="T181" i="4"/>
  <c r="AF180" i="4"/>
  <c r="AG180" i="4" s="1"/>
  <c r="S180" i="4"/>
  <c r="R180" i="4"/>
  <c r="T180" i="4"/>
  <c r="AF179" i="4"/>
  <c r="AG179" i="4" s="1"/>
  <c r="S179" i="4"/>
  <c r="R179" i="4"/>
  <c r="T179" i="4"/>
  <c r="AF178" i="4"/>
  <c r="AG178" i="4" s="1"/>
  <c r="S178" i="4"/>
  <c r="R178" i="4"/>
  <c r="T178" i="4"/>
  <c r="AF177" i="4"/>
  <c r="AG177" i="4" s="1"/>
  <c r="S177" i="4"/>
  <c r="R177" i="4"/>
  <c r="T177" i="4"/>
  <c r="AF176" i="4"/>
  <c r="AG176" i="4" s="1"/>
  <c r="S176" i="4"/>
  <c r="R176" i="4"/>
  <c r="T176" i="4"/>
  <c r="AF175" i="4"/>
  <c r="AG175" i="4" s="1"/>
  <c r="S175" i="4"/>
  <c r="R175" i="4"/>
  <c r="T175" i="4"/>
  <c r="AF174" i="4"/>
  <c r="AG174" i="4" s="1"/>
  <c r="S174" i="4"/>
  <c r="R174" i="4"/>
  <c r="T174" i="4"/>
  <c r="AF173" i="4"/>
  <c r="AG173" i="4" s="1"/>
  <c r="S173" i="4"/>
  <c r="R173" i="4"/>
  <c r="T173" i="4"/>
  <c r="AF172" i="4"/>
  <c r="AG172" i="4" s="1"/>
  <c r="S172" i="4"/>
  <c r="R172" i="4"/>
  <c r="T172" i="4"/>
  <c r="AF171" i="4"/>
  <c r="AG171" i="4" s="1"/>
  <c r="S171" i="4"/>
  <c r="R171" i="4"/>
  <c r="T171" i="4"/>
  <c r="D171" i="4"/>
  <c r="B171" i="4"/>
  <c r="AF170" i="4"/>
  <c r="AG170" i="4" s="1"/>
  <c r="S170" i="4"/>
  <c r="R170" i="4"/>
  <c r="T170" i="4"/>
  <c r="D170" i="4"/>
  <c r="B170" i="4"/>
  <c r="AF169" i="4"/>
  <c r="AG169" i="4" s="1"/>
  <c r="S169" i="4"/>
  <c r="R169" i="4"/>
  <c r="T169" i="4"/>
  <c r="D169" i="4"/>
  <c r="B169" i="4"/>
  <c r="AF168" i="4"/>
  <c r="AG168" i="4" s="1"/>
  <c r="S168" i="4"/>
  <c r="R168" i="4"/>
  <c r="T168" i="4"/>
  <c r="D168" i="4"/>
  <c r="B168" i="4"/>
  <c r="AF167" i="4"/>
  <c r="AG167" i="4" s="1"/>
  <c r="S167" i="4"/>
  <c r="R167" i="4"/>
  <c r="T167" i="4"/>
  <c r="D167" i="4"/>
  <c r="B167" i="4"/>
  <c r="AF166" i="4"/>
  <c r="AG166" i="4" s="1"/>
  <c r="S166" i="4"/>
  <c r="R166" i="4"/>
  <c r="T166" i="4"/>
  <c r="D166" i="4"/>
  <c r="B166" i="4"/>
  <c r="AF165" i="4"/>
  <c r="AG165" i="4" s="1"/>
  <c r="S165" i="4"/>
  <c r="R165" i="4"/>
  <c r="T165" i="4"/>
  <c r="D165" i="4"/>
  <c r="B165" i="4"/>
  <c r="AF164" i="4"/>
  <c r="AG164" i="4" s="1"/>
  <c r="S164" i="4"/>
  <c r="R164" i="4"/>
  <c r="T164" i="4"/>
  <c r="D164" i="4"/>
  <c r="B164" i="4"/>
  <c r="AF163" i="4"/>
  <c r="AG163" i="4" s="1"/>
  <c r="S163" i="4"/>
  <c r="R163" i="4"/>
  <c r="T163" i="4"/>
  <c r="D163" i="4"/>
  <c r="B163" i="4"/>
  <c r="AF162" i="4"/>
  <c r="AG162" i="4" s="1"/>
  <c r="S162" i="4"/>
  <c r="R162" i="4"/>
  <c r="T162" i="4"/>
  <c r="D162" i="4"/>
  <c r="B162" i="4"/>
  <c r="AF161" i="4"/>
  <c r="AG161" i="4" s="1"/>
  <c r="S161" i="4"/>
  <c r="R161" i="4"/>
  <c r="D161" i="4"/>
  <c r="B161" i="4"/>
  <c r="AF160" i="4"/>
  <c r="AG160" i="4" s="1"/>
  <c r="S160" i="4"/>
  <c r="R160" i="4"/>
  <c r="D160" i="4"/>
  <c r="B160" i="4"/>
  <c r="AF159" i="4"/>
  <c r="AG159" i="4" s="1"/>
  <c r="S159" i="4"/>
  <c r="R159" i="4"/>
  <c r="D159" i="4"/>
  <c r="B159" i="4"/>
  <c r="AF158" i="4"/>
  <c r="AG158" i="4" s="1"/>
  <c r="S158" i="4"/>
  <c r="R158" i="4"/>
  <c r="D158" i="4"/>
  <c r="B158" i="4"/>
  <c r="AF157" i="4"/>
  <c r="AG157" i="4" s="1"/>
  <c r="S157" i="4"/>
  <c r="R157" i="4"/>
  <c r="D157" i="4"/>
  <c r="B157" i="4"/>
  <c r="AF156" i="4"/>
  <c r="AG156" i="4" s="1"/>
  <c r="S156" i="4"/>
  <c r="R156" i="4"/>
  <c r="D156" i="4"/>
  <c r="B156" i="4"/>
  <c r="AF155" i="4"/>
  <c r="AG155" i="4" s="1"/>
  <c r="S155" i="4"/>
  <c r="R155" i="4"/>
  <c r="D155" i="4"/>
  <c r="B155" i="4"/>
  <c r="AF154" i="4"/>
  <c r="AG154" i="4" s="1"/>
  <c r="S154" i="4"/>
  <c r="R154" i="4"/>
  <c r="D154" i="4"/>
  <c r="B154" i="4"/>
  <c r="AF153" i="4"/>
  <c r="AG153" i="4" s="1"/>
  <c r="S153" i="4"/>
  <c r="R153" i="4"/>
  <c r="D153" i="4"/>
  <c r="B153" i="4"/>
  <c r="AF152" i="4"/>
  <c r="AG152" i="4" s="1"/>
  <c r="S152" i="4"/>
  <c r="R152" i="4"/>
  <c r="D152" i="4"/>
  <c r="B152" i="4"/>
  <c r="AF151" i="4"/>
  <c r="AG151" i="4" s="1"/>
  <c r="S151" i="4"/>
  <c r="R151" i="4"/>
  <c r="D151" i="4"/>
  <c r="B151" i="4"/>
  <c r="AF150" i="4"/>
  <c r="AG150" i="4" s="1"/>
  <c r="S150" i="4"/>
  <c r="R150" i="4"/>
  <c r="D150" i="4"/>
  <c r="B150" i="4"/>
  <c r="AF149" i="4"/>
  <c r="AG149" i="4" s="1"/>
  <c r="S149" i="4"/>
  <c r="R149" i="4"/>
  <c r="D149" i="4"/>
  <c r="B149" i="4"/>
  <c r="AF148" i="4"/>
  <c r="AG148" i="4" s="1"/>
  <c r="S148" i="4"/>
  <c r="R148" i="4"/>
  <c r="D148" i="4"/>
  <c r="B148" i="4"/>
  <c r="AF147" i="4"/>
  <c r="AG147" i="4" s="1"/>
  <c r="S147" i="4"/>
  <c r="R147" i="4"/>
  <c r="D147" i="4"/>
  <c r="B147" i="4"/>
  <c r="AF146" i="4"/>
  <c r="AG146" i="4" s="1"/>
  <c r="S146" i="4"/>
  <c r="R146" i="4"/>
  <c r="D146" i="4"/>
  <c r="B146" i="4"/>
  <c r="AF145" i="4"/>
  <c r="AG145" i="4" s="1"/>
  <c r="S145" i="4"/>
  <c r="R145" i="4"/>
  <c r="G137" i="4"/>
  <c r="F137" i="4"/>
  <c r="D137" i="4"/>
  <c r="B137" i="4"/>
  <c r="AF144" i="4"/>
  <c r="AG144" i="4" s="1"/>
  <c r="S144" i="4"/>
  <c r="R144" i="4"/>
  <c r="G136" i="4"/>
  <c r="F136" i="4"/>
  <c r="D136" i="4"/>
  <c r="B136" i="4"/>
  <c r="AF143" i="4"/>
  <c r="AG143" i="4" s="1"/>
  <c r="S143" i="4"/>
  <c r="R143" i="4"/>
  <c r="G135" i="4"/>
  <c r="F135" i="4"/>
  <c r="D135" i="4"/>
  <c r="B135" i="4"/>
  <c r="AF142" i="4"/>
  <c r="AG142" i="4" s="1"/>
  <c r="S142" i="4"/>
  <c r="R142" i="4"/>
  <c r="G134" i="4"/>
  <c r="F134" i="4"/>
  <c r="D134" i="4"/>
  <c r="B134" i="4"/>
  <c r="AF141" i="4"/>
  <c r="AG141" i="4" s="1"/>
  <c r="S141" i="4"/>
  <c r="R141" i="4"/>
  <c r="G133" i="4"/>
  <c r="F133" i="4"/>
  <c r="D133" i="4"/>
  <c r="B133" i="4"/>
  <c r="AF140" i="4"/>
  <c r="AG140" i="4" s="1"/>
  <c r="S140" i="4"/>
  <c r="R140" i="4"/>
  <c r="G132" i="4"/>
  <c r="F132" i="4"/>
  <c r="D132" i="4"/>
  <c r="B132" i="4"/>
  <c r="AF139" i="4"/>
  <c r="AG139" i="4" s="1"/>
  <c r="S139" i="4"/>
  <c r="R139" i="4"/>
  <c r="G131" i="4"/>
  <c r="F131" i="4"/>
  <c r="D131" i="4"/>
  <c r="B131" i="4"/>
  <c r="AF138" i="4"/>
  <c r="AG138" i="4" s="1"/>
  <c r="T185" i="4" s="1"/>
  <c r="S138" i="4"/>
  <c r="R138" i="4"/>
  <c r="G130" i="4"/>
  <c r="F130" i="4"/>
  <c r="D130" i="4"/>
  <c r="B130" i="4"/>
  <c r="AF137" i="4"/>
  <c r="AG137" i="4" s="1"/>
  <c r="S137" i="4"/>
  <c r="R137" i="4"/>
  <c r="G145" i="4"/>
  <c r="T137" i="4" s="1"/>
  <c r="F145" i="4"/>
  <c r="D145" i="4"/>
  <c r="B145" i="4"/>
  <c r="AF136" i="4"/>
  <c r="AG136" i="4" s="1"/>
  <c r="S136" i="4"/>
  <c r="R136" i="4"/>
  <c r="G144" i="4"/>
  <c r="T136" i="4" s="1"/>
  <c r="F144" i="4"/>
  <c r="D144" i="4"/>
  <c r="B144" i="4"/>
  <c r="AF135" i="4"/>
  <c r="AG135" i="4" s="1"/>
  <c r="S135" i="4"/>
  <c r="R135" i="4"/>
  <c r="G143" i="4"/>
  <c r="T135" i="4" s="1"/>
  <c r="F143" i="4"/>
  <c r="D143" i="4"/>
  <c r="B143" i="4"/>
  <c r="AF134" i="4"/>
  <c r="AG134" i="4" s="1"/>
  <c r="S134" i="4"/>
  <c r="R134" i="4"/>
  <c r="G142" i="4"/>
  <c r="T134" i="4" s="1"/>
  <c r="F142" i="4"/>
  <c r="D142" i="4"/>
  <c r="B142" i="4"/>
  <c r="AF133" i="4"/>
  <c r="AG133" i="4" s="1"/>
  <c r="S133" i="4"/>
  <c r="R133" i="4"/>
  <c r="G141" i="4"/>
  <c r="T133" i="4" s="1"/>
  <c r="F141" i="4"/>
  <c r="D141" i="4"/>
  <c r="B141" i="4"/>
  <c r="AF132" i="4"/>
  <c r="AG132" i="4" s="1"/>
  <c r="S132" i="4"/>
  <c r="R132" i="4"/>
  <c r="G140" i="4"/>
  <c r="T132" i="4" s="1"/>
  <c r="F140" i="4"/>
  <c r="D140" i="4"/>
  <c r="B140" i="4"/>
  <c r="AF131" i="4"/>
  <c r="AG131" i="4" s="1"/>
  <c r="S131" i="4"/>
  <c r="R131" i="4"/>
  <c r="G139" i="4"/>
  <c r="F139" i="4"/>
  <c r="D139" i="4"/>
  <c r="B139" i="4"/>
  <c r="AF130" i="4"/>
  <c r="AG130" i="4" s="1"/>
  <c r="S130" i="4"/>
  <c r="R130" i="4"/>
  <c r="G138" i="4"/>
  <c r="T130" i="4" s="1"/>
  <c r="F138" i="4"/>
  <c r="D138" i="4"/>
  <c r="B138" i="4"/>
  <c r="AF129" i="4"/>
  <c r="AG129" i="4" s="1"/>
  <c r="AB129" i="4"/>
  <c r="AA129" i="4"/>
  <c r="S129" i="4"/>
  <c r="R129" i="4"/>
  <c r="T129" i="4"/>
  <c r="D129" i="4"/>
  <c r="B129" i="4"/>
  <c r="AF128" i="4"/>
  <c r="AG128" i="4" s="1"/>
  <c r="AB128" i="4"/>
  <c r="AA128" i="4"/>
  <c r="S128" i="4"/>
  <c r="R128" i="4"/>
  <c r="T128" i="4"/>
  <c r="D128" i="4"/>
  <c r="B128" i="4"/>
  <c r="AF127" i="4"/>
  <c r="AG127" i="4" s="1"/>
  <c r="AB127" i="4"/>
  <c r="AA127" i="4"/>
  <c r="S127" i="4"/>
  <c r="R127" i="4"/>
  <c r="T127" i="4"/>
  <c r="D127" i="4"/>
  <c r="B127" i="4"/>
  <c r="AF126" i="4"/>
  <c r="AG126" i="4" s="1"/>
  <c r="AB126" i="4"/>
  <c r="AA126" i="4"/>
  <c r="S126" i="4"/>
  <c r="R126" i="4"/>
  <c r="T126" i="4"/>
  <c r="D126" i="4"/>
  <c r="B126" i="4"/>
  <c r="AF125" i="4"/>
  <c r="AG125" i="4" s="1"/>
  <c r="AB125" i="4"/>
  <c r="AA125" i="4"/>
  <c r="S125" i="4"/>
  <c r="R125" i="4"/>
  <c r="T125" i="4"/>
  <c r="D125" i="4"/>
  <c r="B125" i="4"/>
  <c r="AF124" i="4"/>
  <c r="AG124" i="4" s="1"/>
  <c r="AB124" i="4"/>
  <c r="AA124" i="4"/>
  <c r="S124" i="4"/>
  <c r="R124" i="4"/>
  <c r="T124" i="4"/>
  <c r="D124" i="4"/>
  <c r="B124" i="4"/>
  <c r="AF123" i="4"/>
  <c r="AG123" i="4" s="1"/>
  <c r="AB123" i="4"/>
  <c r="AA123" i="4"/>
  <c r="S123" i="4"/>
  <c r="R123" i="4"/>
  <c r="T123" i="4"/>
  <c r="D123" i="4"/>
  <c r="B123" i="4"/>
  <c r="AF122" i="4"/>
  <c r="AG122" i="4" s="1"/>
  <c r="AB122" i="4"/>
  <c r="AA122" i="4"/>
  <c r="S122" i="4"/>
  <c r="R122" i="4"/>
  <c r="T122" i="4"/>
  <c r="D122" i="4"/>
  <c r="B122" i="4"/>
  <c r="AF121" i="4"/>
  <c r="AG121" i="4" s="1"/>
  <c r="AB121" i="4"/>
  <c r="AA121" i="4"/>
  <c r="S121" i="4"/>
  <c r="R121" i="4"/>
  <c r="T121" i="4"/>
  <c r="D121" i="4"/>
  <c r="B121" i="4"/>
  <c r="AF120" i="4"/>
  <c r="AG120" i="4" s="1"/>
  <c r="AB120" i="4"/>
  <c r="AA120" i="4"/>
  <c r="S120" i="4"/>
  <c r="R120" i="4"/>
  <c r="T120" i="4"/>
  <c r="D120" i="4"/>
  <c r="B120" i="4"/>
  <c r="AF119" i="4"/>
  <c r="AG119" i="4" s="1"/>
  <c r="AB119" i="4"/>
  <c r="AA119" i="4"/>
  <c r="S119" i="4"/>
  <c r="R119" i="4"/>
  <c r="T119" i="4"/>
  <c r="D119" i="4"/>
  <c r="B119" i="4"/>
  <c r="AF118" i="4"/>
  <c r="AG118" i="4" s="1"/>
  <c r="AB118" i="4"/>
  <c r="AA118" i="4"/>
  <c r="S118" i="4"/>
  <c r="R118" i="4"/>
  <c r="T118" i="4"/>
  <c r="D118" i="4"/>
  <c r="B118" i="4"/>
  <c r="AF117" i="4"/>
  <c r="AG117" i="4" s="1"/>
  <c r="AB117" i="4"/>
  <c r="AA117" i="4"/>
  <c r="S117" i="4"/>
  <c r="R117" i="4"/>
  <c r="T117" i="4"/>
  <c r="D117" i="4"/>
  <c r="B117" i="4"/>
  <c r="AF116" i="4"/>
  <c r="AG116" i="4" s="1"/>
  <c r="AB116" i="4"/>
  <c r="AA116" i="4"/>
  <c r="S116" i="4"/>
  <c r="R116" i="4"/>
  <c r="T116" i="4"/>
  <c r="D116" i="4"/>
  <c r="B116" i="4"/>
  <c r="AF115" i="4"/>
  <c r="AG115" i="4" s="1"/>
  <c r="AB115" i="4"/>
  <c r="AA115" i="4"/>
  <c r="S115" i="4"/>
  <c r="R115" i="4"/>
  <c r="T115" i="4"/>
  <c r="D115" i="4"/>
  <c r="B115" i="4"/>
  <c r="AF114" i="4"/>
  <c r="AG114" i="4" s="1"/>
  <c r="AB114" i="4"/>
  <c r="AA114" i="4"/>
  <c r="S114" i="4"/>
  <c r="R114" i="4"/>
  <c r="T114" i="4"/>
  <c r="D114" i="4"/>
  <c r="B114" i="4"/>
  <c r="AF113" i="4"/>
  <c r="AG113" i="4" s="1"/>
  <c r="AB113" i="4"/>
  <c r="AA113" i="4"/>
  <c r="S113" i="4"/>
  <c r="R113" i="4"/>
  <c r="T113" i="4"/>
  <c r="D113" i="4"/>
  <c r="B113" i="4"/>
  <c r="AF112" i="4"/>
  <c r="AG112" i="4" s="1"/>
  <c r="AB112" i="4"/>
  <c r="AA112" i="4"/>
  <c r="S112" i="4"/>
  <c r="R112" i="4"/>
  <c r="T112" i="4"/>
  <c r="D112" i="4"/>
  <c r="B112" i="4"/>
  <c r="AF111" i="4"/>
  <c r="AG111" i="4" s="1"/>
  <c r="AB111" i="4"/>
  <c r="AA111" i="4"/>
  <c r="S111" i="4"/>
  <c r="R111" i="4"/>
  <c r="T111" i="4"/>
  <c r="D111" i="4"/>
  <c r="B111" i="4"/>
  <c r="AF110" i="4"/>
  <c r="AG110" i="4" s="1"/>
  <c r="AB110" i="4"/>
  <c r="AA110" i="4"/>
  <c r="S110" i="4"/>
  <c r="R110" i="4"/>
  <c r="T110" i="4"/>
  <c r="D110" i="4"/>
  <c r="B110" i="4"/>
  <c r="AF109" i="4"/>
  <c r="AG109" i="4" s="1"/>
  <c r="AB109" i="4"/>
  <c r="AA109" i="4"/>
  <c r="S109" i="4"/>
  <c r="R109" i="4"/>
  <c r="T109" i="4"/>
  <c r="D109" i="4"/>
  <c r="B109" i="4"/>
  <c r="AF108" i="4"/>
  <c r="AG108" i="4" s="1"/>
  <c r="AB108" i="4"/>
  <c r="AA108" i="4"/>
  <c r="S108" i="4"/>
  <c r="R108" i="4"/>
  <c r="T108" i="4"/>
  <c r="D108" i="4"/>
  <c r="B108" i="4"/>
  <c r="AF107" i="4"/>
  <c r="AG107" i="4" s="1"/>
  <c r="AB107" i="4"/>
  <c r="AA107" i="4"/>
  <c r="S107" i="4"/>
  <c r="R107" i="4"/>
  <c r="T107" i="4"/>
  <c r="D107" i="4"/>
  <c r="B107" i="4"/>
  <c r="AF106" i="4"/>
  <c r="AG106" i="4" s="1"/>
  <c r="AB106" i="4"/>
  <c r="AA106" i="4"/>
  <c r="S106" i="4"/>
  <c r="R106" i="4"/>
  <c r="T106" i="4"/>
  <c r="D106" i="4"/>
  <c r="B106" i="4"/>
  <c r="AF105" i="4"/>
  <c r="AG105" i="4" s="1"/>
  <c r="AB105" i="4"/>
  <c r="AA105" i="4"/>
  <c r="S105" i="4"/>
  <c r="R105" i="4"/>
  <c r="T105" i="4"/>
  <c r="D105" i="4"/>
  <c r="B105" i="4"/>
  <c r="AF104" i="4"/>
  <c r="AG104" i="4" s="1"/>
  <c r="AB104" i="4"/>
  <c r="AA104" i="4"/>
  <c r="S104" i="4"/>
  <c r="R104" i="4"/>
  <c r="T104" i="4"/>
  <c r="D104" i="4"/>
  <c r="B104" i="4"/>
  <c r="AF103" i="4"/>
  <c r="AG103" i="4" s="1"/>
  <c r="AB103" i="4"/>
  <c r="AA103" i="4"/>
  <c r="S103" i="4"/>
  <c r="R103" i="4"/>
  <c r="T103" i="4"/>
  <c r="D103" i="4"/>
  <c r="B103" i="4"/>
  <c r="AF102" i="4"/>
  <c r="AG102" i="4" s="1"/>
  <c r="AB102" i="4"/>
  <c r="AA102" i="4"/>
  <c r="S102" i="4"/>
  <c r="R102" i="4"/>
  <c r="T102" i="4"/>
  <c r="D102" i="4"/>
  <c r="B102" i="4"/>
  <c r="AF101" i="4"/>
  <c r="AG101" i="4" s="1"/>
  <c r="AB101" i="4"/>
  <c r="AA101" i="4"/>
  <c r="S101" i="4"/>
  <c r="R101" i="4"/>
  <c r="T101" i="4"/>
  <c r="D101" i="4"/>
  <c r="B101" i="4"/>
  <c r="AF100" i="4"/>
  <c r="AG100" i="4" s="1"/>
  <c r="AB100" i="4"/>
  <c r="AA100" i="4"/>
  <c r="S100" i="4"/>
  <c r="R100" i="4"/>
  <c r="T100" i="4"/>
  <c r="D100" i="4"/>
  <c r="B100" i="4"/>
  <c r="AF99" i="4"/>
  <c r="AG99" i="4" s="1"/>
  <c r="AB99" i="4"/>
  <c r="AA99" i="4"/>
  <c r="S99" i="4"/>
  <c r="R99" i="4"/>
  <c r="T99" i="4"/>
  <c r="D99" i="4"/>
  <c r="B99" i="4"/>
  <c r="AF98" i="4"/>
  <c r="AG98" i="4" s="1"/>
  <c r="AB98" i="4"/>
  <c r="AA98" i="4"/>
  <c r="S98" i="4"/>
  <c r="R98" i="4"/>
  <c r="T98" i="4"/>
  <c r="D98" i="4"/>
  <c r="B98" i="4"/>
  <c r="AF97" i="4"/>
  <c r="AG97" i="4" s="1"/>
  <c r="AB97" i="4"/>
  <c r="AA97" i="4"/>
  <c r="S97" i="4"/>
  <c r="R97" i="4"/>
  <c r="T97" i="4"/>
  <c r="D97" i="4"/>
  <c r="B97" i="4"/>
  <c r="AF96" i="4"/>
  <c r="AG96" i="4" s="1"/>
  <c r="AB96" i="4"/>
  <c r="AA96" i="4"/>
  <c r="S96" i="4"/>
  <c r="R96" i="4"/>
  <c r="T96" i="4"/>
  <c r="D96" i="4"/>
  <c r="B96" i="4"/>
  <c r="AF95" i="4"/>
  <c r="AG95" i="4" s="1"/>
  <c r="AB95" i="4"/>
  <c r="AA95" i="4"/>
  <c r="S95" i="4"/>
  <c r="R95" i="4"/>
  <c r="T95" i="4"/>
  <c r="D95" i="4"/>
  <c r="B95" i="4"/>
  <c r="AF94" i="4"/>
  <c r="AG94" i="4" s="1"/>
  <c r="AB94" i="4"/>
  <c r="AA94" i="4"/>
  <c r="S94" i="4"/>
  <c r="R94" i="4"/>
  <c r="T94" i="4"/>
  <c r="D94" i="4"/>
  <c r="B94" i="4"/>
  <c r="AF93" i="4"/>
  <c r="AG93" i="4" s="1"/>
  <c r="AB93" i="4"/>
  <c r="AA93" i="4"/>
  <c r="S93" i="4"/>
  <c r="R93" i="4"/>
  <c r="G93" i="4"/>
  <c r="T93" i="4" s="1"/>
  <c r="F93" i="4"/>
  <c r="D93" i="4"/>
  <c r="B93" i="4"/>
  <c r="AF92" i="4"/>
  <c r="AG92" i="4" s="1"/>
  <c r="AB92" i="4"/>
  <c r="AA92" i="4"/>
  <c r="S92" i="4"/>
  <c r="R92" i="4"/>
  <c r="G92" i="4"/>
  <c r="T92" i="4" s="1"/>
  <c r="F92" i="4"/>
  <c r="D92" i="4"/>
  <c r="B92" i="4"/>
  <c r="AF91" i="4"/>
  <c r="AG91" i="4" s="1"/>
  <c r="AB91" i="4"/>
  <c r="AA91" i="4"/>
  <c r="S91" i="4"/>
  <c r="R91" i="4"/>
  <c r="G91" i="4"/>
  <c r="T91" i="4" s="1"/>
  <c r="F91" i="4"/>
  <c r="D91" i="4"/>
  <c r="B91" i="4"/>
  <c r="AF90" i="4"/>
  <c r="AG90" i="4" s="1"/>
  <c r="AB90" i="4"/>
  <c r="AA90" i="4"/>
  <c r="S90" i="4"/>
  <c r="R90" i="4"/>
  <c r="G90" i="4"/>
  <c r="T90" i="4" s="1"/>
  <c r="F90" i="4"/>
  <c r="D90" i="4"/>
  <c r="B90" i="4"/>
  <c r="AF89" i="4"/>
  <c r="AG89" i="4" s="1"/>
  <c r="AB89" i="4"/>
  <c r="AA89" i="4"/>
  <c r="S89" i="4"/>
  <c r="R89" i="4"/>
  <c r="G89" i="4"/>
  <c r="T89" i="4" s="1"/>
  <c r="F89" i="4"/>
  <c r="D89" i="4"/>
  <c r="B89" i="4"/>
  <c r="AF88" i="4"/>
  <c r="AG88" i="4" s="1"/>
  <c r="AB88" i="4"/>
  <c r="AA88" i="4"/>
  <c r="S88" i="4"/>
  <c r="R88" i="4"/>
  <c r="G88" i="4"/>
  <c r="T88" i="4" s="1"/>
  <c r="F88" i="4"/>
  <c r="D88" i="4"/>
  <c r="B88" i="4"/>
  <c r="AF87" i="4"/>
  <c r="AG87" i="4" s="1"/>
  <c r="AB87" i="4"/>
  <c r="AA87" i="4"/>
  <c r="S87" i="4"/>
  <c r="R87" i="4"/>
  <c r="G87" i="4"/>
  <c r="T87" i="4" s="1"/>
  <c r="F87" i="4"/>
  <c r="D87" i="4"/>
  <c r="B87" i="4"/>
  <c r="AF86" i="4"/>
  <c r="AG86" i="4" s="1"/>
  <c r="AB86" i="4"/>
  <c r="AA86" i="4"/>
  <c r="S86" i="4"/>
  <c r="R86" i="4"/>
  <c r="G86" i="4"/>
  <c r="T86" i="4" s="1"/>
  <c r="F86" i="4"/>
  <c r="D86" i="4"/>
  <c r="B86" i="4"/>
  <c r="AF85" i="4"/>
  <c r="AG85" i="4" s="1"/>
  <c r="AB85" i="4"/>
  <c r="AA85" i="4"/>
  <c r="S85" i="4"/>
  <c r="R85" i="4"/>
  <c r="G85" i="4"/>
  <c r="T85" i="4" s="1"/>
  <c r="F85" i="4"/>
  <c r="D85" i="4"/>
  <c r="B85" i="4"/>
  <c r="AF84" i="4"/>
  <c r="AG84" i="4" s="1"/>
  <c r="AB84" i="4"/>
  <c r="AA84" i="4"/>
  <c r="S84" i="4"/>
  <c r="R84" i="4"/>
  <c r="G84" i="4"/>
  <c r="T84" i="4" s="1"/>
  <c r="F84" i="4"/>
  <c r="D84" i="4"/>
  <c r="B84" i="4"/>
  <c r="AF83" i="4"/>
  <c r="AG83" i="4" s="1"/>
  <c r="AB83" i="4"/>
  <c r="AA83" i="4"/>
  <c r="S83" i="4"/>
  <c r="R83" i="4"/>
  <c r="G83" i="4"/>
  <c r="T83" i="4" s="1"/>
  <c r="F83" i="4"/>
  <c r="D83" i="4"/>
  <c r="B83" i="4"/>
  <c r="AF82" i="4"/>
  <c r="AG82" i="4" s="1"/>
  <c r="AB82" i="4"/>
  <c r="AA82" i="4"/>
  <c r="S82" i="4"/>
  <c r="R82" i="4"/>
  <c r="G82" i="4"/>
  <c r="T82" i="4" s="1"/>
  <c r="F82" i="4"/>
  <c r="D82" i="4"/>
  <c r="B82" i="4"/>
  <c r="AF81" i="4"/>
  <c r="AG81" i="4" s="1"/>
  <c r="AB81" i="4"/>
  <c r="AA81" i="4"/>
  <c r="S81" i="4"/>
  <c r="R81" i="4"/>
  <c r="G81" i="4"/>
  <c r="T81" i="4" s="1"/>
  <c r="F81" i="4"/>
  <c r="D81" i="4"/>
  <c r="B81" i="4"/>
  <c r="AF80" i="4"/>
  <c r="AG80" i="4" s="1"/>
  <c r="AB80" i="4"/>
  <c r="AA80" i="4"/>
  <c r="S80" i="4"/>
  <c r="R80" i="4"/>
  <c r="G80" i="4"/>
  <c r="T80" i="4" s="1"/>
  <c r="F80" i="4"/>
  <c r="D80" i="4"/>
  <c r="B80" i="4"/>
  <c r="AF79" i="4"/>
  <c r="AG79" i="4" s="1"/>
  <c r="AB79" i="4"/>
  <c r="AA79" i="4"/>
  <c r="S79" i="4"/>
  <c r="R79" i="4"/>
  <c r="G79" i="4"/>
  <c r="T79" i="4" s="1"/>
  <c r="F79" i="4"/>
  <c r="D79" i="4"/>
  <c r="B79" i="4"/>
  <c r="AF78" i="4"/>
  <c r="AG78" i="4" s="1"/>
  <c r="AB78" i="4"/>
  <c r="AA78" i="4"/>
  <c r="S78" i="4"/>
  <c r="R78" i="4"/>
  <c r="G78" i="4"/>
  <c r="T78" i="4" s="1"/>
  <c r="F78" i="4"/>
  <c r="D78" i="4"/>
  <c r="B78" i="4"/>
  <c r="AF77" i="4"/>
  <c r="AG77" i="4" s="1"/>
  <c r="AB77" i="4"/>
  <c r="AA77" i="4"/>
  <c r="S77" i="4"/>
  <c r="R77" i="4"/>
  <c r="G77" i="4"/>
  <c r="T77" i="4" s="1"/>
  <c r="F77" i="4"/>
  <c r="D77" i="4"/>
  <c r="B77" i="4"/>
  <c r="AF76" i="4"/>
  <c r="AG76" i="4" s="1"/>
  <c r="AB76" i="4"/>
  <c r="AA76" i="4"/>
  <c r="S76" i="4"/>
  <c r="R76" i="4"/>
  <c r="G76" i="4"/>
  <c r="T76" i="4" s="1"/>
  <c r="F76" i="4"/>
  <c r="D76" i="4"/>
  <c r="B76" i="4"/>
  <c r="AF75" i="4"/>
  <c r="AG75" i="4" s="1"/>
  <c r="AB75" i="4"/>
  <c r="AA75" i="4"/>
  <c r="S75" i="4"/>
  <c r="R75" i="4"/>
  <c r="G75" i="4"/>
  <c r="T75" i="4" s="1"/>
  <c r="F75" i="4"/>
  <c r="D75" i="4"/>
  <c r="B75" i="4"/>
  <c r="AF74" i="4"/>
  <c r="AG74" i="4" s="1"/>
  <c r="AB74" i="4"/>
  <c r="AA74" i="4"/>
  <c r="S74" i="4"/>
  <c r="R74" i="4"/>
  <c r="G74" i="4"/>
  <c r="T74" i="4" s="1"/>
  <c r="F74" i="4"/>
  <c r="D74" i="4"/>
  <c r="B74" i="4"/>
  <c r="AF73" i="4"/>
  <c r="AG73" i="4" s="1"/>
  <c r="AB73" i="4"/>
  <c r="AA73" i="4"/>
  <c r="S73" i="4"/>
  <c r="R73" i="4"/>
  <c r="G73" i="4"/>
  <c r="T73" i="4" s="1"/>
  <c r="F73" i="4"/>
  <c r="D73" i="4"/>
  <c r="B73" i="4"/>
  <c r="AF72" i="4"/>
  <c r="AG72" i="4" s="1"/>
  <c r="AB72" i="4"/>
  <c r="AA72" i="4"/>
  <c r="S72" i="4"/>
  <c r="R72" i="4"/>
  <c r="G72" i="4"/>
  <c r="T72" i="4" s="1"/>
  <c r="F72" i="4"/>
  <c r="D72" i="4"/>
  <c r="B72" i="4"/>
  <c r="AF71" i="4"/>
  <c r="AG71" i="4" s="1"/>
  <c r="AB71" i="4"/>
  <c r="AA71" i="4"/>
  <c r="S71" i="4"/>
  <c r="R71" i="4"/>
  <c r="G71" i="4"/>
  <c r="T71" i="4" s="1"/>
  <c r="F71" i="4"/>
  <c r="D71" i="4"/>
  <c r="B71" i="4"/>
  <c r="AF70" i="4"/>
  <c r="AG70" i="4" s="1"/>
  <c r="AB70" i="4"/>
  <c r="AA70" i="4"/>
  <c r="S70" i="4"/>
  <c r="R70" i="4"/>
  <c r="G70" i="4"/>
  <c r="T70" i="4" s="1"/>
  <c r="F70" i="4"/>
  <c r="D70" i="4"/>
  <c r="B70" i="4"/>
  <c r="AF69" i="4"/>
  <c r="AG69" i="4" s="1"/>
  <c r="AB69" i="4"/>
  <c r="AA69" i="4"/>
  <c r="S69" i="4"/>
  <c r="R69" i="4"/>
  <c r="G69" i="4"/>
  <c r="T69" i="4" s="1"/>
  <c r="F69" i="4"/>
  <c r="D69" i="4"/>
  <c r="B69" i="4"/>
  <c r="AF68" i="4"/>
  <c r="AG68" i="4" s="1"/>
  <c r="AB68" i="4"/>
  <c r="AA68" i="4"/>
  <c r="S68" i="4"/>
  <c r="R68" i="4"/>
  <c r="G68" i="4"/>
  <c r="T68" i="4" s="1"/>
  <c r="F68" i="4"/>
  <c r="D68" i="4"/>
  <c r="B68" i="4"/>
  <c r="AF67" i="4"/>
  <c r="AG67" i="4" s="1"/>
  <c r="AB67" i="4"/>
  <c r="AA67" i="4"/>
  <c r="S67" i="4"/>
  <c r="R67" i="4"/>
  <c r="G67" i="4"/>
  <c r="T67" i="4" s="1"/>
  <c r="F67" i="4"/>
  <c r="D67" i="4"/>
  <c r="B67" i="4"/>
  <c r="AF66" i="4"/>
  <c r="AG66" i="4" s="1"/>
  <c r="AB66" i="4"/>
  <c r="AA66" i="4"/>
  <c r="S66" i="4"/>
  <c r="R66" i="4"/>
  <c r="G66" i="4"/>
  <c r="T66" i="4" s="1"/>
  <c r="F66" i="4"/>
  <c r="D66" i="4"/>
  <c r="B66" i="4"/>
  <c r="AF65" i="4"/>
  <c r="AG65" i="4" s="1"/>
  <c r="AB65" i="4"/>
  <c r="AA65" i="4"/>
  <c r="S65" i="4"/>
  <c r="R65" i="4"/>
  <c r="G65" i="4"/>
  <c r="T65" i="4" s="1"/>
  <c r="F65" i="4"/>
  <c r="D65" i="4"/>
  <c r="B65" i="4"/>
  <c r="AF64" i="4"/>
  <c r="AG64" i="4" s="1"/>
  <c r="AB64" i="4"/>
  <c r="AA64" i="4"/>
  <c r="S64" i="4"/>
  <c r="R64" i="4"/>
  <c r="G64" i="4"/>
  <c r="T64" i="4" s="1"/>
  <c r="F64" i="4"/>
  <c r="D64" i="4"/>
  <c r="B64" i="4"/>
  <c r="AF63" i="4"/>
  <c r="AG63" i="4" s="1"/>
  <c r="AB63" i="4"/>
  <c r="AA63" i="4"/>
  <c r="S63" i="4"/>
  <c r="R63" i="4"/>
  <c r="T63" i="4"/>
  <c r="D63" i="4"/>
  <c r="B63" i="4"/>
  <c r="AF62" i="4"/>
  <c r="AG62" i="4" s="1"/>
  <c r="AB62" i="4"/>
  <c r="AA62" i="4"/>
  <c r="S62" i="4"/>
  <c r="R62" i="4"/>
  <c r="T62" i="4"/>
  <c r="D62" i="4"/>
  <c r="B62" i="4"/>
  <c r="AF61" i="4"/>
  <c r="AG61" i="4" s="1"/>
  <c r="AB61" i="4"/>
  <c r="AA61" i="4"/>
  <c r="S61" i="4"/>
  <c r="R61" i="4"/>
  <c r="T61" i="4"/>
  <c r="D61" i="4"/>
  <c r="B61" i="4"/>
  <c r="AF60" i="4"/>
  <c r="AG60" i="4" s="1"/>
  <c r="AB60" i="4"/>
  <c r="AA60" i="4"/>
  <c r="S60" i="4"/>
  <c r="R60" i="4"/>
  <c r="T60" i="4"/>
  <c r="D60" i="4"/>
  <c r="B60" i="4"/>
  <c r="AF59" i="4"/>
  <c r="AG59" i="4" s="1"/>
  <c r="AB59" i="4"/>
  <c r="AA59" i="4"/>
  <c r="S59" i="4"/>
  <c r="R59" i="4"/>
  <c r="T59" i="4"/>
  <c r="D59" i="4"/>
  <c r="B59" i="4"/>
  <c r="AF58" i="4"/>
  <c r="AG58" i="4" s="1"/>
  <c r="AB58" i="4"/>
  <c r="AA58" i="4"/>
  <c r="S58" i="4"/>
  <c r="R58" i="4"/>
  <c r="T58" i="4"/>
  <c r="D58" i="4"/>
  <c r="B58" i="4"/>
  <c r="AF57" i="4"/>
  <c r="AG57" i="4" s="1"/>
  <c r="AB57" i="4"/>
  <c r="AA57" i="4"/>
  <c r="S57" i="4"/>
  <c r="R57" i="4"/>
  <c r="G57" i="4"/>
  <c r="T57" i="4" s="1"/>
  <c r="F57" i="4"/>
  <c r="D57" i="4"/>
  <c r="B57" i="4"/>
  <c r="AF56" i="4"/>
  <c r="AG56" i="4" s="1"/>
  <c r="AB56" i="4"/>
  <c r="AA56" i="4"/>
  <c r="S56" i="4"/>
  <c r="R56" i="4"/>
  <c r="G56" i="4"/>
  <c r="T56" i="4" s="1"/>
  <c r="F56" i="4"/>
  <c r="D56" i="4"/>
  <c r="B56" i="4"/>
  <c r="AF55" i="4"/>
  <c r="AG55" i="4" s="1"/>
  <c r="AB55" i="4"/>
  <c r="AA55" i="4"/>
  <c r="S55" i="4"/>
  <c r="R55" i="4"/>
  <c r="G55" i="4"/>
  <c r="T55" i="4" s="1"/>
  <c r="F55" i="4"/>
  <c r="D55" i="4"/>
  <c r="B55" i="4"/>
  <c r="AF54" i="4"/>
  <c r="AG54" i="4" s="1"/>
  <c r="AB54" i="4"/>
  <c r="AA54" i="4"/>
  <c r="S54" i="4"/>
  <c r="R54" i="4"/>
  <c r="G54" i="4"/>
  <c r="T54" i="4" s="1"/>
  <c r="F54" i="4"/>
  <c r="D54" i="4"/>
  <c r="B54" i="4"/>
  <c r="AF53" i="4"/>
  <c r="AG53" i="4" s="1"/>
  <c r="AB53" i="4"/>
  <c r="AA53" i="4"/>
  <c r="S53" i="4"/>
  <c r="R53" i="4"/>
  <c r="G53" i="4"/>
  <c r="T53" i="4" s="1"/>
  <c r="F53" i="4"/>
  <c r="D53" i="4"/>
  <c r="B53" i="4"/>
  <c r="AF52" i="4"/>
  <c r="AG52" i="4" s="1"/>
  <c r="AB52" i="4"/>
  <c r="AA52" i="4"/>
  <c r="S52" i="4"/>
  <c r="R52" i="4"/>
  <c r="G52" i="4"/>
  <c r="T52" i="4" s="1"/>
  <c r="F52" i="4"/>
  <c r="D52" i="4"/>
  <c r="B52" i="4"/>
  <c r="AF51" i="4"/>
  <c r="AG51" i="4" s="1"/>
  <c r="AB51" i="4"/>
  <c r="AA51" i="4"/>
  <c r="S51" i="4"/>
  <c r="R51" i="4"/>
  <c r="G51" i="4"/>
  <c r="T51" i="4" s="1"/>
  <c r="F51" i="4"/>
  <c r="D51" i="4"/>
  <c r="B51" i="4"/>
  <c r="AF50" i="4"/>
  <c r="AG50" i="4" s="1"/>
  <c r="AB50" i="4"/>
  <c r="AA50" i="4"/>
  <c r="S50" i="4"/>
  <c r="R50" i="4"/>
  <c r="G50" i="4"/>
  <c r="T50" i="4" s="1"/>
  <c r="F50" i="4"/>
  <c r="D50" i="4"/>
  <c r="B50" i="4"/>
  <c r="AF49" i="4"/>
  <c r="AG49" i="4" s="1"/>
  <c r="AB49" i="4"/>
  <c r="AA49" i="4"/>
  <c r="S49" i="4"/>
  <c r="R49" i="4"/>
  <c r="G49" i="4"/>
  <c r="T49" i="4" s="1"/>
  <c r="F49" i="4"/>
  <c r="D49" i="4"/>
  <c r="B49" i="4"/>
  <c r="AF48" i="4"/>
  <c r="AG48" i="4" s="1"/>
  <c r="AB48" i="4"/>
  <c r="AA48" i="4"/>
  <c r="S48" i="4"/>
  <c r="R48" i="4"/>
  <c r="G48" i="4"/>
  <c r="T48" i="4" s="1"/>
  <c r="F48" i="4"/>
  <c r="D48" i="4"/>
  <c r="B48" i="4"/>
  <c r="AF47" i="4"/>
  <c r="AG47" i="4" s="1"/>
  <c r="AB47" i="4"/>
  <c r="AA47" i="4"/>
  <c r="S47" i="4"/>
  <c r="R47" i="4"/>
  <c r="G47" i="4"/>
  <c r="T47" i="4" s="1"/>
  <c r="F47" i="4"/>
  <c r="D47" i="4"/>
  <c r="B47" i="4"/>
  <c r="AF46" i="4"/>
  <c r="AG46" i="4" s="1"/>
  <c r="AB46" i="4"/>
  <c r="AA46" i="4"/>
  <c r="S46" i="4"/>
  <c r="R46" i="4"/>
  <c r="G46" i="4"/>
  <c r="T46" i="4" s="1"/>
  <c r="F46" i="4"/>
  <c r="D46" i="4"/>
  <c r="B46" i="4"/>
  <c r="AF45" i="4"/>
  <c r="AG45" i="4" s="1"/>
  <c r="AB45" i="4"/>
  <c r="AA45" i="4"/>
  <c r="S45" i="4"/>
  <c r="R45" i="4"/>
  <c r="G45" i="4"/>
  <c r="T45" i="4" s="1"/>
  <c r="F45" i="4"/>
  <c r="D45" i="4"/>
  <c r="B45" i="4"/>
  <c r="AF44" i="4"/>
  <c r="AG44" i="4" s="1"/>
  <c r="AB44" i="4"/>
  <c r="AA44" i="4"/>
  <c r="S44" i="4"/>
  <c r="R44" i="4"/>
  <c r="G44" i="4"/>
  <c r="T44" i="4" s="1"/>
  <c r="F44" i="4"/>
  <c r="D44" i="4"/>
  <c r="B44" i="4"/>
  <c r="AF43" i="4"/>
  <c r="AG43" i="4" s="1"/>
  <c r="AB43" i="4"/>
  <c r="AA43" i="4"/>
  <c r="S43" i="4"/>
  <c r="R43" i="4"/>
  <c r="G43" i="4"/>
  <c r="T43" i="4" s="1"/>
  <c r="F43" i="4"/>
  <c r="D43" i="4"/>
  <c r="B43" i="4"/>
  <c r="AF42" i="4"/>
  <c r="AG42" i="4" s="1"/>
  <c r="AB42" i="4"/>
  <c r="AA42" i="4"/>
  <c r="S42" i="4"/>
  <c r="R42" i="4"/>
  <c r="G42" i="4"/>
  <c r="T42" i="4" s="1"/>
  <c r="F42" i="4"/>
  <c r="D42" i="4"/>
  <c r="B42" i="4"/>
  <c r="AF41" i="4"/>
  <c r="AG41" i="4" s="1"/>
  <c r="AB41" i="4"/>
  <c r="AA41" i="4"/>
  <c r="S41" i="4"/>
  <c r="R41" i="4"/>
  <c r="G41" i="4"/>
  <c r="T41" i="4" s="1"/>
  <c r="F41" i="4"/>
  <c r="D41" i="4"/>
  <c r="B41" i="4"/>
  <c r="AF40" i="4"/>
  <c r="AG40" i="4" s="1"/>
  <c r="AB40" i="4"/>
  <c r="AA40" i="4"/>
  <c r="S40" i="4"/>
  <c r="R40" i="4"/>
  <c r="G40" i="4"/>
  <c r="T40" i="4" s="1"/>
  <c r="F40" i="4"/>
  <c r="D40" i="4"/>
  <c r="B40" i="4"/>
  <c r="AF39" i="4"/>
  <c r="AG39" i="4" s="1"/>
  <c r="AB39" i="4"/>
  <c r="AA39" i="4"/>
  <c r="S39" i="4"/>
  <c r="R39" i="4"/>
  <c r="G39" i="4"/>
  <c r="T39" i="4" s="1"/>
  <c r="F39" i="4"/>
  <c r="D39" i="4"/>
  <c r="B39" i="4"/>
  <c r="AF38" i="4"/>
  <c r="AG38" i="4" s="1"/>
  <c r="AB38" i="4"/>
  <c r="AA38" i="4"/>
  <c r="S38" i="4"/>
  <c r="R38" i="4"/>
  <c r="G38" i="4"/>
  <c r="T38" i="4" s="1"/>
  <c r="F38" i="4"/>
  <c r="D38" i="4"/>
  <c r="B38" i="4"/>
  <c r="AF37" i="4"/>
  <c r="AG37" i="4" s="1"/>
  <c r="AB37" i="4"/>
  <c r="AA37" i="4"/>
  <c r="S37" i="4"/>
  <c r="R37" i="4"/>
  <c r="G37" i="4"/>
  <c r="T37" i="4" s="1"/>
  <c r="F37" i="4"/>
  <c r="D37" i="4"/>
  <c r="B37" i="4"/>
  <c r="AF36" i="4"/>
  <c r="AG36" i="4" s="1"/>
  <c r="AB36" i="4"/>
  <c r="AA36" i="4"/>
  <c r="S36" i="4"/>
  <c r="R36" i="4"/>
  <c r="G36" i="4"/>
  <c r="T36" i="4" s="1"/>
  <c r="F36" i="4"/>
  <c r="D36" i="4"/>
  <c r="B36" i="4"/>
  <c r="AF35" i="4"/>
  <c r="AG35" i="4" s="1"/>
  <c r="AB35" i="4"/>
  <c r="AA35" i="4"/>
  <c r="S35" i="4"/>
  <c r="R35" i="4"/>
  <c r="G35" i="4"/>
  <c r="T35" i="4" s="1"/>
  <c r="F35" i="4"/>
  <c r="D35" i="4"/>
  <c r="B35" i="4"/>
  <c r="AF34" i="4"/>
  <c r="AG34" i="4" s="1"/>
  <c r="AB34" i="4"/>
  <c r="AA34" i="4"/>
  <c r="S34" i="4"/>
  <c r="R34" i="4"/>
  <c r="G34" i="4"/>
  <c r="T34" i="4" s="1"/>
  <c r="F34" i="4"/>
  <c r="D34" i="4"/>
  <c r="B34" i="4"/>
  <c r="AF33" i="4"/>
  <c r="AG33" i="4" s="1"/>
  <c r="AB33" i="4"/>
  <c r="AA33" i="4"/>
  <c r="S33" i="4"/>
  <c r="R33" i="4"/>
  <c r="G33" i="4"/>
  <c r="T33" i="4" s="1"/>
  <c r="F33" i="4"/>
  <c r="D33" i="4"/>
  <c r="B33" i="4"/>
  <c r="AF32" i="4"/>
  <c r="AG32" i="4" s="1"/>
  <c r="AB32" i="4"/>
  <c r="AA32" i="4"/>
  <c r="S32" i="4"/>
  <c r="R32" i="4"/>
  <c r="G32" i="4"/>
  <c r="T32" i="4" s="1"/>
  <c r="F32" i="4"/>
  <c r="D32" i="4"/>
  <c r="B32" i="4"/>
  <c r="AF31" i="4"/>
  <c r="AG31" i="4" s="1"/>
  <c r="AB31" i="4"/>
  <c r="AA31" i="4"/>
  <c r="S31" i="4"/>
  <c r="R31" i="4"/>
  <c r="G31" i="4"/>
  <c r="T31" i="4" s="1"/>
  <c r="F31" i="4"/>
  <c r="D31" i="4"/>
  <c r="B31" i="4"/>
  <c r="AF30" i="4"/>
  <c r="AG30" i="4" s="1"/>
  <c r="AB30" i="4"/>
  <c r="AA30" i="4"/>
  <c r="S30" i="4"/>
  <c r="R30" i="4"/>
  <c r="G30" i="4"/>
  <c r="T30" i="4" s="1"/>
  <c r="F30" i="4"/>
  <c r="D30" i="4"/>
  <c r="B30" i="4"/>
  <c r="AF29" i="4"/>
  <c r="AG29" i="4" s="1"/>
  <c r="AB29" i="4"/>
  <c r="AA29" i="4"/>
  <c r="S29" i="4"/>
  <c r="R29" i="4"/>
  <c r="G29" i="4"/>
  <c r="T29" i="4" s="1"/>
  <c r="F29" i="4"/>
  <c r="D29" i="4"/>
  <c r="B29" i="4"/>
  <c r="AF28" i="4"/>
  <c r="AG28" i="4" s="1"/>
  <c r="AB28" i="4"/>
  <c r="AA28" i="4"/>
  <c r="S28" i="4"/>
  <c r="R28" i="4"/>
  <c r="G28" i="4"/>
  <c r="T28" i="4" s="1"/>
  <c r="F28" i="4"/>
  <c r="D28" i="4"/>
  <c r="B28" i="4"/>
  <c r="AF27" i="4"/>
  <c r="AG27" i="4" s="1"/>
  <c r="AB27" i="4"/>
  <c r="AA27" i="4"/>
  <c r="S27" i="4"/>
  <c r="R27" i="4"/>
  <c r="G27" i="4"/>
  <c r="T27" i="4" s="1"/>
  <c r="F27" i="4"/>
  <c r="D27" i="4"/>
  <c r="B27" i="4"/>
  <c r="AF26" i="4"/>
  <c r="AG26" i="4" s="1"/>
  <c r="AB26" i="4"/>
  <c r="AA26" i="4"/>
  <c r="S26" i="4"/>
  <c r="R26" i="4"/>
  <c r="G26" i="4"/>
  <c r="T26" i="4" s="1"/>
  <c r="F26" i="4"/>
  <c r="D26" i="4"/>
  <c r="B26" i="4"/>
  <c r="AF25" i="4"/>
  <c r="AG25" i="4" s="1"/>
  <c r="AB25" i="4"/>
  <c r="AA25" i="4"/>
  <c r="S25" i="4"/>
  <c r="R25" i="4"/>
  <c r="G25" i="4"/>
  <c r="T25" i="4" s="1"/>
  <c r="F25" i="4"/>
  <c r="D25" i="4"/>
  <c r="B25" i="4"/>
  <c r="AF24" i="4"/>
  <c r="AG24" i="4" s="1"/>
  <c r="AB24" i="4"/>
  <c r="AA24" i="4"/>
  <c r="S24" i="4"/>
  <c r="R24" i="4"/>
  <c r="G24" i="4"/>
  <c r="T24" i="4" s="1"/>
  <c r="F24" i="4"/>
  <c r="D24" i="4"/>
  <c r="B24" i="4"/>
  <c r="AF23" i="4"/>
  <c r="AG23" i="4" s="1"/>
  <c r="AB23" i="4"/>
  <c r="AA23" i="4"/>
  <c r="S23" i="4"/>
  <c r="R23" i="4"/>
  <c r="G23" i="4"/>
  <c r="T23" i="4" s="1"/>
  <c r="F23" i="4"/>
  <c r="D23" i="4"/>
  <c r="B23" i="4"/>
  <c r="AF22" i="4"/>
  <c r="AG22" i="4" s="1"/>
  <c r="AB22" i="4"/>
  <c r="AA22" i="4"/>
  <c r="S22" i="4"/>
  <c r="R22" i="4"/>
  <c r="G22" i="4"/>
  <c r="T22" i="4" s="1"/>
  <c r="F22" i="4"/>
  <c r="D22" i="4"/>
  <c r="B22" i="4"/>
  <c r="AF21" i="4"/>
  <c r="AG21" i="4" s="1"/>
  <c r="AB21" i="4"/>
  <c r="AA21" i="4"/>
  <c r="S21" i="4"/>
  <c r="R21" i="4"/>
  <c r="G21" i="4"/>
  <c r="T21" i="4" s="1"/>
  <c r="F21" i="4"/>
  <c r="D21" i="4"/>
  <c r="B21" i="4"/>
  <c r="AF20" i="4"/>
  <c r="AG20" i="4" s="1"/>
  <c r="AB20" i="4"/>
  <c r="AA20" i="4"/>
  <c r="S20" i="4"/>
  <c r="R20" i="4"/>
  <c r="G20" i="4"/>
  <c r="T20" i="4" s="1"/>
  <c r="F20" i="4"/>
  <c r="D20" i="4"/>
  <c r="B20" i="4"/>
  <c r="AF19" i="4"/>
  <c r="AG19" i="4" s="1"/>
  <c r="AB19" i="4"/>
  <c r="AA19" i="4"/>
  <c r="S19" i="4"/>
  <c r="R19" i="4"/>
  <c r="G19" i="4"/>
  <c r="T19" i="4" s="1"/>
  <c r="F19" i="4"/>
  <c r="D19" i="4"/>
  <c r="B19" i="4"/>
  <c r="AF18" i="4"/>
  <c r="AG18" i="4" s="1"/>
  <c r="AB18" i="4"/>
  <c r="AA18" i="4"/>
  <c r="S18" i="4"/>
  <c r="R18" i="4"/>
  <c r="G18" i="4"/>
  <c r="T18" i="4" s="1"/>
  <c r="F18" i="4"/>
  <c r="D18" i="4"/>
  <c r="B18" i="4"/>
  <c r="AF17" i="4"/>
  <c r="AG17" i="4" s="1"/>
  <c r="AB17" i="4"/>
  <c r="AA17" i="4"/>
  <c r="S17" i="4"/>
  <c r="R17" i="4"/>
  <c r="G17" i="4"/>
  <c r="T17" i="4" s="1"/>
  <c r="F17" i="4"/>
  <c r="D17" i="4"/>
  <c r="B17" i="4"/>
  <c r="AF16" i="4"/>
  <c r="AG16" i="4" s="1"/>
  <c r="AB16" i="4"/>
  <c r="AA16" i="4"/>
  <c r="S16" i="4"/>
  <c r="R16" i="4"/>
  <c r="G16" i="4"/>
  <c r="T16" i="4" s="1"/>
  <c r="F16" i="4"/>
  <c r="D16" i="4"/>
  <c r="B16" i="4"/>
  <c r="AF15" i="4"/>
  <c r="AG15" i="4" s="1"/>
  <c r="AB15" i="4"/>
  <c r="AA15" i="4"/>
  <c r="S15" i="4"/>
  <c r="R15" i="4"/>
  <c r="G15" i="4"/>
  <c r="T15" i="4" s="1"/>
  <c r="F15" i="4"/>
  <c r="D15" i="4"/>
  <c r="B15" i="4"/>
  <c r="AF14" i="4"/>
  <c r="AG14" i="4" s="1"/>
  <c r="AB14" i="4"/>
  <c r="AA14" i="4"/>
  <c r="S14" i="4"/>
  <c r="R14" i="4"/>
  <c r="G14" i="4"/>
  <c r="T14" i="4" s="1"/>
  <c r="F14" i="4"/>
  <c r="D14" i="4"/>
  <c r="B14" i="4"/>
  <c r="AF13" i="4"/>
  <c r="AG13" i="4" s="1"/>
  <c r="AB13" i="4"/>
  <c r="AA13" i="4"/>
  <c r="S13" i="4"/>
  <c r="R13" i="4"/>
  <c r="G13" i="4"/>
  <c r="T13" i="4" s="1"/>
  <c r="F13" i="4"/>
  <c r="D13" i="4"/>
  <c r="B13" i="4"/>
  <c r="AF12" i="4"/>
  <c r="AG12" i="4" s="1"/>
  <c r="AB12" i="4"/>
  <c r="AA12" i="4"/>
  <c r="S12" i="4"/>
  <c r="R12" i="4"/>
  <c r="G12" i="4"/>
  <c r="T12" i="4" s="1"/>
  <c r="F12" i="4"/>
  <c r="D12" i="4"/>
  <c r="B12" i="4"/>
  <c r="AF11" i="4"/>
  <c r="AG11" i="4" s="1"/>
  <c r="AB11" i="4"/>
  <c r="AA11" i="4"/>
  <c r="S11" i="4"/>
  <c r="R11" i="4"/>
  <c r="G11" i="4"/>
  <c r="T11" i="4" s="1"/>
  <c r="F11" i="4"/>
  <c r="D11" i="4"/>
  <c r="B11" i="4"/>
  <c r="AF10" i="4"/>
  <c r="AG10" i="4" s="1"/>
  <c r="AB10" i="4"/>
  <c r="AA10" i="4"/>
  <c r="S10" i="4"/>
  <c r="R10" i="4"/>
  <c r="G10" i="4"/>
  <c r="T10" i="4" s="1"/>
  <c r="F10" i="4"/>
  <c r="D10" i="4"/>
  <c r="B10" i="4"/>
  <c r="AF9" i="4"/>
  <c r="AG9" i="4" s="1"/>
  <c r="AB9" i="4"/>
  <c r="AA9" i="4"/>
  <c r="S9" i="4"/>
  <c r="R9" i="4"/>
  <c r="G9" i="4"/>
  <c r="T9" i="4" s="1"/>
  <c r="F9" i="4"/>
  <c r="D9" i="4"/>
  <c r="B9" i="4"/>
  <c r="AF8" i="4"/>
  <c r="AG8" i="4" s="1"/>
  <c r="AB8" i="4"/>
  <c r="AA8" i="4"/>
  <c r="S8" i="4"/>
  <c r="R8" i="4"/>
  <c r="G8" i="4"/>
  <c r="T8" i="4" s="1"/>
  <c r="F8" i="4"/>
  <c r="D8" i="4"/>
  <c r="B8" i="4"/>
  <c r="AF7" i="4"/>
  <c r="AG7" i="4" s="1"/>
  <c r="AB7" i="4"/>
  <c r="AA7" i="4"/>
  <c r="S7" i="4"/>
  <c r="R7" i="4"/>
  <c r="G7" i="4"/>
  <c r="T7" i="4" s="1"/>
  <c r="F7" i="4"/>
  <c r="D7" i="4"/>
  <c r="B7" i="4"/>
  <c r="AB6" i="4"/>
  <c r="AA6" i="4"/>
  <c r="S6" i="4"/>
  <c r="R6" i="4"/>
  <c r="G6" i="4"/>
  <c r="T6" i="4" s="1"/>
  <c r="F6" i="4"/>
  <c r="D6" i="4"/>
  <c r="B6" i="4"/>
  <c r="AB5" i="4"/>
  <c r="AA5" i="4"/>
  <c r="S5" i="4"/>
  <c r="R5" i="4"/>
  <c r="G5" i="4"/>
  <c r="T5" i="4" s="1"/>
  <c r="F5" i="4"/>
  <c r="D5" i="4"/>
  <c r="B5" i="4"/>
  <c r="S4" i="4"/>
  <c r="R4" i="4"/>
  <c r="G4" i="4"/>
  <c r="T4" i="4" s="1"/>
  <c r="F4" i="4"/>
  <c r="D4" i="4"/>
  <c r="B4" i="4"/>
  <c r="S3" i="4"/>
  <c r="R3" i="4"/>
  <c r="G3" i="4"/>
  <c r="T3" i="4" s="1"/>
  <c r="F3" i="4"/>
  <c r="D3" i="4"/>
  <c r="B3" i="4"/>
  <c r="C1" i="4"/>
  <c r="Q506" i="3"/>
  <c r="P506" i="3"/>
  <c r="O506" i="3"/>
  <c r="I506" i="3"/>
  <c r="R506" i="3" s="1"/>
  <c r="H506" i="3"/>
  <c r="F506" i="3"/>
  <c r="D506" i="3"/>
  <c r="B506" i="3"/>
  <c r="A506" i="3"/>
  <c r="Q505" i="3"/>
  <c r="P505" i="3"/>
  <c r="O505" i="3"/>
  <c r="I505" i="3"/>
  <c r="R505" i="3" s="1"/>
  <c r="H505" i="3"/>
  <c r="F505" i="3"/>
  <c r="D505" i="3"/>
  <c r="B505" i="3"/>
  <c r="A505" i="3"/>
  <c r="Q504" i="3"/>
  <c r="P504" i="3"/>
  <c r="O504" i="3"/>
  <c r="I504" i="3"/>
  <c r="R504" i="3" s="1"/>
  <c r="H504" i="3"/>
  <c r="F504" i="3"/>
  <c r="D504" i="3"/>
  <c r="B504" i="3"/>
  <c r="A504" i="3"/>
  <c r="Q503" i="3"/>
  <c r="P503" i="3"/>
  <c r="O503" i="3"/>
  <c r="I503" i="3"/>
  <c r="R503" i="3" s="1"/>
  <c r="H503" i="3"/>
  <c r="F503" i="3"/>
  <c r="D503" i="3"/>
  <c r="B503" i="3"/>
  <c r="A503" i="3"/>
  <c r="Q502" i="3"/>
  <c r="P502" i="3"/>
  <c r="O502" i="3"/>
  <c r="I502" i="3"/>
  <c r="R502" i="3" s="1"/>
  <c r="H502" i="3"/>
  <c r="F502" i="3"/>
  <c r="D502" i="3"/>
  <c r="B502" i="3"/>
  <c r="A502" i="3"/>
  <c r="Q501" i="3"/>
  <c r="P501" i="3"/>
  <c r="O501" i="3"/>
  <c r="I501" i="3"/>
  <c r="R501" i="3" s="1"/>
  <c r="H501" i="3"/>
  <c r="F501" i="3"/>
  <c r="D501" i="3"/>
  <c r="B501" i="3"/>
  <c r="A501" i="3"/>
  <c r="Q500" i="3"/>
  <c r="P500" i="3"/>
  <c r="O500" i="3"/>
  <c r="I500" i="3"/>
  <c r="R500" i="3" s="1"/>
  <c r="H500" i="3"/>
  <c r="F500" i="3"/>
  <c r="D500" i="3"/>
  <c r="B500" i="3"/>
  <c r="A500" i="3"/>
  <c r="Q499" i="3"/>
  <c r="P499" i="3"/>
  <c r="O499" i="3"/>
  <c r="I499" i="3"/>
  <c r="R499" i="3" s="1"/>
  <c r="H499" i="3"/>
  <c r="F499" i="3"/>
  <c r="D499" i="3"/>
  <c r="B499" i="3"/>
  <c r="A499" i="3"/>
  <c r="Q498" i="3"/>
  <c r="P498" i="3"/>
  <c r="O498" i="3"/>
  <c r="I498" i="3"/>
  <c r="R498" i="3" s="1"/>
  <c r="H498" i="3"/>
  <c r="F498" i="3"/>
  <c r="D498" i="3"/>
  <c r="B498" i="3"/>
  <c r="A498" i="3"/>
  <c r="Q497" i="3"/>
  <c r="P497" i="3"/>
  <c r="O497" i="3"/>
  <c r="I497" i="3"/>
  <c r="R497" i="3" s="1"/>
  <c r="H497" i="3"/>
  <c r="F497" i="3"/>
  <c r="D497" i="3"/>
  <c r="B497" i="3"/>
  <c r="A497" i="3"/>
  <c r="Q496" i="3"/>
  <c r="P496" i="3"/>
  <c r="O496" i="3"/>
  <c r="I496" i="3"/>
  <c r="R496" i="3" s="1"/>
  <c r="H496" i="3"/>
  <c r="F496" i="3"/>
  <c r="D496" i="3"/>
  <c r="B496" i="3"/>
  <c r="A496" i="3"/>
  <c r="Q495" i="3"/>
  <c r="P495" i="3"/>
  <c r="O495" i="3"/>
  <c r="I495" i="3"/>
  <c r="R495" i="3" s="1"/>
  <c r="H495" i="3"/>
  <c r="F495" i="3"/>
  <c r="D495" i="3"/>
  <c r="B495" i="3"/>
  <c r="A495" i="3"/>
  <c r="Q494" i="3"/>
  <c r="P494" i="3"/>
  <c r="O494" i="3"/>
  <c r="I494" i="3"/>
  <c r="R494" i="3" s="1"/>
  <c r="H494" i="3"/>
  <c r="F494" i="3"/>
  <c r="D494" i="3"/>
  <c r="B494" i="3"/>
  <c r="A494" i="3"/>
  <c r="Q493" i="3"/>
  <c r="P493" i="3"/>
  <c r="O493" i="3"/>
  <c r="I493" i="3"/>
  <c r="R493" i="3" s="1"/>
  <c r="H493" i="3"/>
  <c r="F493" i="3"/>
  <c r="D493" i="3"/>
  <c r="B493" i="3"/>
  <c r="A493" i="3"/>
  <c r="Q492" i="3"/>
  <c r="P492" i="3"/>
  <c r="O492" i="3"/>
  <c r="I492" i="3"/>
  <c r="R492" i="3" s="1"/>
  <c r="H492" i="3"/>
  <c r="F492" i="3"/>
  <c r="D492" i="3"/>
  <c r="B492" i="3"/>
  <c r="A492" i="3"/>
  <c r="Q491" i="3"/>
  <c r="P491" i="3"/>
  <c r="O491" i="3"/>
  <c r="I491" i="3"/>
  <c r="R491" i="3" s="1"/>
  <c r="H491" i="3"/>
  <c r="F491" i="3"/>
  <c r="D491" i="3"/>
  <c r="B491" i="3"/>
  <c r="A491" i="3"/>
  <c r="Q490" i="3"/>
  <c r="P490" i="3"/>
  <c r="O490" i="3"/>
  <c r="I490" i="3"/>
  <c r="R490" i="3" s="1"/>
  <c r="H490" i="3"/>
  <c r="F490" i="3"/>
  <c r="D490" i="3"/>
  <c r="B490" i="3"/>
  <c r="A490" i="3"/>
  <c r="Q489" i="3"/>
  <c r="P489" i="3"/>
  <c r="O489" i="3"/>
  <c r="I489" i="3"/>
  <c r="R489" i="3" s="1"/>
  <c r="H489" i="3"/>
  <c r="F489" i="3"/>
  <c r="D489" i="3"/>
  <c r="B489" i="3"/>
  <c r="A489" i="3"/>
  <c r="Q488" i="3"/>
  <c r="P488" i="3"/>
  <c r="O488" i="3"/>
  <c r="I488" i="3"/>
  <c r="R488" i="3" s="1"/>
  <c r="H488" i="3"/>
  <c r="F488" i="3"/>
  <c r="D488" i="3"/>
  <c r="B488" i="3"/>
  <c r="A488" i="3"/>
  <c r="Q487" i="3"/>
  <c r="P487" i="3"/>
  <c r="O487" i="3"/>
  <c r="I487" i="3"/>
  <c r="R487" i="3" s="1"/>
  <c r="H487" i="3"/>
  <c r="F487" i="3"/>
  <c r="D487" i="3"/>
  <c r="B487" i="3"/>
  <c r="A487" i="3"/>
  <c r="Q486" i="3"/>
  <c r="P486" i="3"/>
  <c r="O486" i="3"/>
  <c r="I486" i="3"/>
  <c r="R486" i="3" s="1"/>
  <c r="H486" i="3"/>
  <c r="F486" i="3"/>
  <c r="D486" i="3"/>
  <c r="B486" i="3"/>
  <c r="A486" i="3"/>
  <c r="Q485" i="3"/>
  <c r="P485" i="3"/>
  <c r="O485" i="3"/>
  <c r="I485" i="3"/>
  <c r="R485" i="3" s="1"/>
  <c r="H485" i="3"/>
  <c r="F485" i="3"/>
  <c r="D485" i="3"/>
  <c r="B485" i="3"/>
  <c r="A485" i="3"/>
  <c r="Q484" i="3"/>
  <c r="P484" i="3"/>
  <c r="O484" i="3"/>
  <c r="I484" i="3"/>
  <c r="R484" i="3" s="1"/>
  <c r="H484" i="3"/>
  <c r="F484" i="3"/>
  <c r="D484" i="3"/>
  <c r="B484" i="3"/>
  <c r="A484" i="3"/>
  <c r="Q483" i="3"/>
  <c r="P483" i="3"/>
  <c r="O483" i="3"/>
  <c r="I483" i="3"/>
  <c r="R483" i="3" s="1"/>
  <c r="H483" i="3"/>
  <c r="F483" i="3"/>
  <c r="D483" i="3"/>
  <c r="B483" i="3"/>
  <c r="A483" i="3"/>
  <c r="Q482" i="3"/>
  <c r="P482" i="3"/>
  <c r="O482" i="3"/>
  <c r="I482" i="3"/>
  <c r="R482" i="3" s="1"/>
  <c r="H482" i="3"/>
  <c r="F482" i="3"/>
  <c r="D482" i="3"/>
  <c r="B482" i="3"/>
  <c r="A482" i="3"/>
  <c r="Q481" i="3"/>
  <c r="P481" i="3"/>
  <c r="O481" i="3"/>
  <c r="I481" i="3"/>
  <c r="R481" i="3" s="1"/>
  <c r="H481" i="3"/>
  <c r="F481" i="3"/>
  <c r="D481" i="3"/>
  <c r="B481" i="3"/>
  <c r="A481" i="3"/>
  <c r="Q480" i="3"/>
  <c r="P480" i="3"/>
  <c r="O480" i="3"/>
  <c r="I480" i="3"/>
  <c r="R480" i="3" s="1"/>
  <c r="H480" i="3"/>
  <c r="F480" i="3"/>
  <c r="D480" i="3"/>
  <c r="B480" i="3"/>
  <c r="A480" i="3"/>
  <c r="Q479" i="3"/>
  <c r="P479" i="3"/>
  <c r="O479" i="3"/>
  <c r="I479" i="3"/>
  <c r="R479" i="3" s="1"/>
  <c r="H479" i="3"/>
  <c r="F479" i="3"/>
  <c r="D479" i="3"/>
  <c r="B479" i="3"/>
  <c r="A479" i="3"/>
  <c r="Q478" i="3"/>
  <c r="P478" i="3"/>
  <c r="O478" i="3"/>
  <c r="I478" i="3"/>
  <c r="R478" i="3" s="1"/>
  <c r="H478" i="3"/>
  <c r="F478" i="3"/>
  <c r="D478" i="3"/>
  <c r="B478" i="3"/>
  <c r="A478" i="3"/>
  <c r="Q477" i="3"/>
  <c r="P477" i="3"/>
  <c r="O477" i="3"/>
  <c r="I477" i="3"/>
  <c r="R477" i="3" s="1"/>
  <c r="H477" i="3"/>
  <c r="F477" i="3"/>
  <c r="D477" i="3"/>
  <c r="B477" i="3"/>
  <c r="A477" i="3"/>
  <c r="Q476" i="3"/>
  <c r="P476" i="3"/>
  <c r="O476" i="3"/>
  <c r="I476" i="3"/>
  <c r="R476" i="3" s="1"/>
  <c r="H476" i="3"/>
  <c r="F476" i="3"/>
  <c r="D476" i="3"/>
  <c r="B476" i="3"/>
  <c r="A476" i="3"/>
  <c r="Q475" i="3"/>
  <c r="P475" i="3"/>
  <c r="O475" i="3"/>
  <c r="I475" i="3"/>
  <c r="R475" i="3" s="1"/>
  <c r="H475" i="3"/>
  <c r="F475" i="3"/>
  <c r="D475" i="3"/>
  <c r="B475" i="3"/>
  <c r="A475" i="3"/>
  <c r="Q474" i="3"/>
  <c r="P474" i="3"/>
  <c r="O474" i="3"/>
  <c r="I474" i="3"/>
  <c r="R474" i="3" s="1"/>
  <c r="H474" i="3"/>
  <c r="F474" i="3"/>
  <c r="D474" i="3"/>
  <c r="B474" i="3"/>
  <c r="A474" i="3"/>
  <c r="Q473" i="3"/>
  <c r="P473" i="3"/>
  <c r="O473" i="3"/>
  <c r="I473" i="3"/>
  <c r="R473" i="3" s="1"/>
  <c r="H473" i="3"/>
  <c r="F473" i="3"/>
  <c r="D473" i="3"/>
  <c r="B473" i="3"/>
  <c r="A473" i="3"/>
  <c r="Q472" i="3"/>
  <c r="P472" i="3"/>
  <c r="O472" i="3"/>
  <c r="I472" i="3"/>
  <c r="R472" i="3" s="1"/>
  <c r="H472" i="3"/>
  <c r="F472" i="3"/>
  <c r="D472" i="3"/>
  <c r="B472" i="3"/>
  <c r="A472" i="3"/>
  <c r="Q471" i="3"/>
  <c r="P471" i="3"/>
  <c r="O471" i="3"/>
  <c r="I471" i="3"/>
  <c r="R471" i="3" s="1"/>
  <c r="H471" i="3"/>
  <c r="F471" i="3"/>
  <c r="D471" i="3"/>
  <c r="B471" i="3"/>
  <c r="A471" i="3"/>
  <c r="Q470" i="3"/>
  <c r="P470" i="3"/>
  <c r="O470" i="3"/>
  <c r="I470" i="3"/>
  <c r="R470" i="3" s="1"/>
  <c r="H470" i="3"/>
  <c r="F470" i="3"/>
  <c r="D470" i="3"/>
  <c r="B470" i="3"/>
  <c r="A470" i="3"/>
  <c r="Q469" i="3"/>
  <c r="P469" i="3"/>
  <c r="O469" i="3"/>
  <c r="I469" i="3"/>
  <c r="R469" i="3" s="1"/>
  <c r="H469" i="3"/>
  <c r="F469" i="3"/>
  <c r="D469" i="3"/>
  <c r="B469" i="3"/>
  <c r="A469" i="3"/>
  <c r="Q468" i="3"/>
  <c r="P468" i="3"/>
  <c r="O468" i="3"/>
  <c r="I468" i="3"/>
  <c r="R468" i="3" s="1"/>
  <c r="H468" i="3"/>
  <c r="F468" i="3"/>
  <c r="D468" i="3"/>
  <c r="B468" i="3"/>
  <c r="A468" i="3"/>
  <c r="Q467" i="3"/>
  <c r="P467" i="3"/>
  <c r="O467" i="3"/>
  <c r="I467" i="3"/>
  <c r="R467" i="3" s="1"/>
  <c r="H467" i="3"/>
  <c r="F467" i="3"/>
  <c r="D467" i="3"/>
  <c r="B467" i="3"/>
  <c r="A467" i="3"/>
  <c r="Q466" i="3"/>
  <c r="P466" i="3"/>
  <c r="O466" i="3"/>
  <c r="I466" i="3"/>
  <c r="R466" i="3" s="1"/>
  <c r="H466" i="3"/>
  <c r="F466" i="3"/>
  <c r="D466" i="3"/>
  <c r="B466" i="3"/>
  <c r="A466" i="3"/>
  <c r="Q465" i="3"/>
  <c r="P465" i="3"/>
  <c r="O465" i="3"/>
  <c r="I465" i="3"/>
  <c r="R465" i="3" s="1"/>
  <c r="H465" i="3"/>
  <c r="F465" i="3"/>
  <c r="D465" i="3"/>
  <c r="B465" i="3"/>
  <c r="A465" i="3"/>
  <c r="Q464" i="3"/>
  <c r="P464" i="3"/>
  <c r="O464" i="3"/>
  <c r="I464" i="3"/>
  <c r="R464" i="3" s="1"/>
  <c r="H464" i="3"/>
  <c r="F464" i="3"/>
  <c r="D464" i="3"/>
  <c r="B464" i="3"/>
  <c r="A464" i="3"/>
  <c r="Q463" i="3"/>
  <c r="P463" i="3"/>
  <c r="O463" i="3"/>
  <c r="I463" i="3"/>
  <c r="R463" i="3" s="1"/>
  <c r="H463" i="3"/>
  <c r="F463" i="3"/>
  <c r="D463" i="3"/>
  <c r="B463" i="3"/>
  <c r="A463" i="3"/>
  <c r="Q462" i="3"/>
  <c r="P462" i="3"/>
  <c r="O462" i="3"/>
  <c r="I462" i="3"/>
  <c r="R462" i="3" s="1"/>
  <c r="H462" i="3"/>
  <c r="F462" i="3"/>
  <c r="D462" i="3"/>
  <c r="B462" i="3"/>
  <c r="A462" i="3"/>
  <c r="Q461" i="3"/>
  <c r="P461" i="3"/>
  <c r="O461" i="3"/>
  <c r="I461" i="3"/>
  <c r="R461" i="3" s="1"/>
  <c r="H461" i="3"/>
  <c r="F461" i="3"/>
  <c r="D461" i="3"/>
  <c r="B461" i="3"/>
  <c r="A461" i="3"/>
  <c r="Q460" i="3"/>
  <c r="P460" i="3"/>
  <c r="O460" i="3"/>
  <c r="I460" i="3"/>
  <c r="R460" i="3" s="1"/>
  <c r="H460" i="3"/>
  <c r="F460" i="3"/>
  <c r="D460" i="3"/>
  <c r="B460" i="3"/>
  <c r="A460" i="3"/>
  <c r="Q459" i="3"/>
  <c r="P459" i="3"/>
  <c r="O459" i="3"/>
  <c r="I459" i="3"/>
  <c r="R459" i="3" s="1"/>
  <c r="H459" i="3"/>
  <c r="F459" i="3"/>
  <c r="D459" i="3"/>
  <c r="B459" i="3"/>
  <c r="A459" i="3"/>
  <c r="Q458" i="3"/>
  <c r="P458" i="3"/>
  <c r="O458" i="3"/>
  <c r="I458" i="3"/>
  <c r="R458" i="3" s="1"/>
  <c r="H458" i="3"/>
  <c r="F458" i="3"/>
  <c r="D458" i="3"/>
  <c r="B458" i="3"/>
  <c r="A458" i="3"/>
  <c r="Q457" i="3"/>
  <c r="P457" i="3"/>
  <c r="O457" i="3"/>
  <c r="I457" i="3"/>
  <c r="R457" i="3" s="1"/>
  <c r="H457" i="3"/>
  <c r="F457" i="3"/>
  <c r="D457" i="3"/>
  <c r="B457" i="3"/>
  <c r="A457" i="3"/>
  <c r="Q456" i="3"/>
  <c r="P456" i="3"/>
  <c r="O456" i="3"/>
  <c r="I456" i="3"/>
  <c r="R456" i="3" s="1"/>
  <c r="H456" i="3"/>
  <c r="F456" i="3"/>
  <c r="D456" i="3"/>
  <c r="B456" i="3"/>
  <c r="A456" i="3"/>
  <c r="Q455" i="3"/>
  <c r="P455" i="3"/>
  <c r="O455" i="3"/>
  <c r="I455" i="3"/>
  <c r="R455" i="3" s="1"/>
  <c r="H455" i="3"/>
  <c r="F455" i="3"/>
  <c r="D455" i="3"/>
  <c r="B455" i="3"/>
  <c r="A455" i="3"/>
  <c r="Q454" i="3"/>
  <c r="P454" i="3"/>
  <c r="O454" i="3"/>
  <c r="I454" i="3"/>
  <c r="R454" i="3" s="1"/>
  <c r="H454" i="3"/>
  <c r="F454" i="3"/>
  <c r="D454" i="3"/>
  <c r="B454" i="3"/>
  <c r="A454" i="3"/>
  <c r="Q453" i="3"/>
  <c r="P453" i="3"/>
  <c r="O453" i="3"/>
  <c r="I453" i="3"/>
  <c r="R453" i="3" s="1"/>
  <c r="H453" i="3"/>
  <c r="F453" i="3"/>
  <c r="D453" i="3"/>
  <c r="B453" i="3"/>
  <c r="A453" i="3"/>
  <c r="Q452" i="3"/>
  <c r="P452" i="3"/>
  <c r="O452" i="3"/>
  <c r="I452" i="3"/>
  <c r="R452" i="3" s="1"/>
  <c r="H452" i="3"/>
  <c r="F452" i="3"/>
  <c r="D452" i="3"/>
  <c r="B452" i="3"/>
  <c r="A452" i="3"/>
  <c r="Q451" i="3"/>
  <c r="P451" i="3"/>
  <c r="O451" i="3"/>
  <c r="I451" i="3"/>
  <c r="R451" i="3" s="1"/>
  <c r="H451" i="3"/>
  <c r="F451" i="3"/>
  <c r="D451" i="3"/>
  <c r="B451" i="3"/>
  <c r="A451" i="3"/>
  <c r="Q450" i="3"/>
  <c r="P450" i="3"/>
  <c r="O450" i="3"/>
  <c r="I450" i="3"/>
  <c r="R450" i="3" s="1"/>
  <c r="H450" i="3"/>
  <c r="F450" i="3"/>
  <c r="D450" i="3"/>
  <c r="B450" i="3"/>
  <c r="A450" i="3"/>
  <c r="Q449" i="3"/>
  <c r="P449" i="3"/>
  <c r="O449" i="3"/>
  <c r="I449" i="3"/>
  <c r="R449" i="3" s="1"/>
  <c r="H449" i="3"/>
  <c r="F449" i="3"/>
  <c r="D449" i="3"/>
  <c r="B449" i="3"/>
  <c r="A449" i="3"/>
  <c r="Q448" i="3"/>
  <c r="P448" i="3"/>
  <c r="O448" i="3"/>
  <c r="I448" i="3"/>
  <c r="R448" i="3" s="1"/>
  <c r="H448" i="3"/>
  <c r="F448" i="3"/>
  <c r="D448" i="3"/>
  <c r="B448" i="3"/>
  <c r="A448" i="3"/>
  <c r="Q447" i="3"/>
  <c r="P447" i="3"/>
  <c r="O447" i="3"/>
  <c r="I447" i="3"/>
  <c r="R447" i="3" s="1"/>
  <c r="H447" i="3"/>
  <c r="F447" i="3"/>
  <c r="D447" i="3"/>
  <c r="B447" i="3"/>
  <c r="A447" i="3"/>
  <c r="Q446" i="3"/>
  <c r="P446" i="3"/>
  <c r="O446" i="3"/>
  <c r="I446" i="3"/>
  <c r="R446" i="3" s="1"/>
  <c r="H446" i="3"/>
  <c r="F446" i="3"/>
  <c r="D446" i="3"/>
  <c r="B446" i="3"/>
  <c r="A446" i="3"/>
  <c r="Q445" i="3"/>
  <c r="P445" i="3"/>
  <c r="O445" i="3"/>
  <c r="I445" i="3"/>
  <c r="R445" i="3" s="1"/>
  <c r="H445" i="3"/>
  <c r="F445" i="3"/>
  <c r="D445" i="3"/>
  <c r="B445" i="3"/>
  <c r="A445" i="3"/>
  <c r="Q444" i="3"/>
  <c r="P444" i="3"/>
  <c r="O444" i="3"/>
  <c r="I444" i="3"/>
  <c r="R444" i="3" s="1"/>
  <c r="H444" i="3"/>
  <c r="F444" i="3"/>
  <c r="D444" i="3"/>
  <c r="B444" i="3"/>
  <c r="A444" i="3"/>
  <c r="Q443" i="3"/>
  <c r="P443" i="3"/>
  <c r="O443" i="3"/>
  <c r="I443" i="3"/>
  <c r="R443" i="3" s="1"/>
  <c r="H443" i="3"/>
  <c r="F443" i="3"/>
  <c r="D443" i="3"/>
  <c r="B443" i="3"/>
  <c r="A443" i="3"/>
  <c r="Q442" i="3"/>
  <c r="P442" i="3"/>
  <c r="O442" i="3"/>
  <c r="I442" i="3"/>
  <c r="R442" i="3" s="1"/>
  <c r="H442" i="3"/>
  <c r="F442" i="3"/>
  <c r="D442" i="3"/>
  <c r="B442" i="3"/>
  <c r="A442" i="3"/>
  <c r="Q441" i="3"/>
  <c r="P441" i="3"/>
  <c r="O441" i="3"/>
  <c r="I441" i="3"/>
  <c r="R441" i="3" s="1"/>
  <c r="H441" i="3"/>
  <c r="F441" i="3"/>
  <c r="D441" i="3"/>
  <c r="B441" i="3"/>
  <c r="A441" i="3"/>
  <c r="Q440" i="3"/>
  <c r="P440" i="3"/>
  <c r="O440" i="3"/>
  <c r="I440" i="3"/>
  <c r="R440" i="3" s="1"/>
  <c r="H440" i="3"/>
  <c r="F440" i="3"/>
  <c r="D440" i="3"/>
  <c r="B440" i="3"/>
  <c r="A440" i="3"/>
  <c r="Q439" i="3"/>
  <c r="P439" i="3"/>
  <c r="O439" i="3"/>
  <c r="I439" i="3"/>
  <c r="R439" i="3" s="1"/>
  <c r="H439" i="3"/>
  <c r="F439" i="3"/>
  <c r="D439" i="3"/>
  <c r="B439" i="3"/>
  <c r="A439" i="3"/>
  <c r="Q438" i="3"/>
  <c r="P438" i="3"/>
  <c r="O438" i="3"/>
  <c r="I438" i="3"/>
  <c r="R438" i="3" s="1"/>
  <c r="H438" i="3"/>
  <c r="F438" i="3"/>
  <c r="D438" i="3"/>
  <c r="B438" i="3"/>
  <c r="A438" i="3"/>
  <c r="Q437" i="3"/>
  <c r="P437" i="3"/>
  <c r="O437" i="3"/>
  <c r="I437" i="3"/>
  <c r="R437" i="3" s="1"/>
  <c r="H437" i="3"/>
  <c r="F437" i="3"/>
  <c r="D437" i="3"/>
  <c r="B437" i="3"/>
  <c r="A437" i="3"/>
  <c r="Q436" i="3"/>
  <c r="P436" i="3"/>
  <c r="O436" i="3"/>
  <c r="I436" i="3"/>
  <c r="R436" i="3" s="1"/>
  <c r="H436" i="3"/>
  <c r="F436" i="3"/>
  <c r="D436" i="3"/>
  <c r="B436" i="3"/>
  <c r="A436" i="3"/>
  <c r="Q435" i="3"/>
  <c r="P435" i="3"/>
  <c r="O435" i="3"/>
  <c r="I435" i="3"/>
  <c r="R435" i="3" s="1"/>
  <c r="H435" i="3"/>
  <c r="F435" i="3"/>
  <c r="D435" i="3"/>
  <c r="B435" i="3"/>
  <c r="A435" i="3"/>
  <c r="Q434" i="3"/>
  <c r="P434" i="3"/>
  <c r="O434" i="3"/>
  <c r="I434" i="3"/>
  <c r="R434" i="3" s="1"/>
  <c r="H434" i="3"/>
  <c r="F434" i="3"/>
  <c r="D434" i="3"/>
  <c r="B434" i="3"/>
  <c r="A434" i="3"/>
  <c r="Q433" i="3"/>
  <c r="P433" i="3"/>
  <c r="O433" i="3"/>
  <c r="I433" i="3"/>
  <c r="R433" i="3" s="1"/>
  <c r="H433" i="3"/>
  <c r="F433" i="3"/>
  <c r="D433" i="3"/>
  <c r="B433" i="3"/>
  <c r="A433" i="3"/>
  <c r="Q432" i="3"/>
  <c r="P432" i="3"/>
  <c r="O432" i="3"/>
  <c r="I432" i="3"/>
  <c r="R432" i="3" s="1"/>
  <c r="H432" i="3"/>
  <c r="F432" i="3"/>
  <c r="D432" i="3"/>
  <c r="B432" i="3"/>
  <c r="A432" i="3"/>
  <c r="Q431" i="3"/>
  <c r="P431" i="3"/>
  <c r="O431" i="3"/>
  <c r="I431" i="3"/>
  <c r="R431" i="3" s="1"/>
  <c r="H431" i="3"/>
  <c r="F431" i="3"/>
  <c r="D431" i="3"/>
  <c r="B431" i="3"/>
  <c r="A431" i="3"/>
  <c r="Q430" i="3"/>
  <c r="P430" i="3"/>
  <c r="O430" i="3"/>
  <c r="I430" i="3"/>
  <c r="R430" i="3" s="1"/>
  <c r="H430" i="3"/>
  <c r="F430" i="3"/>
  <c r="D430" i="3"/>
  <c r="B430" i="3"/>
  <c r="A430" i="3"/>
  <c r="Q429" i="3"/>
  <c r="P429" i="3"/>
  <c r="O429" i="3"/>
  <c r="I429" i="3"/>
  <c r="R429" i="3" s="1"/>
  <c r="H429" i="3"/>
  <c r="F429" i="3"/>
  <c r="D429" i="3"/>
  <c r="B429" i="3"/>
  <c r="A429" i="3"/>
  <c r="Q428" i="3"/>
  <c r="P428" i="3"/>
  <c r="O428" i="3"/>
  <c r="I428" i="3"/>
  <c r="R428" i="3" s="1"/>
  <c r="H428" i="3"/>
  <c r="F428" i="3"/>
  <c r="D428" i="3"/>
  <c r="B428" i="3"/>
  <c r="A428" i="3"/>
  <c r="Q427" i="3"/>
  <c r="P427" i="3"/>
  <c r="O427" i="3"/>
  <c r="I427" i="3"/>
  <c r="R427" i="3" s="1"/>
  <c r="H427" i="3"/>
  <c r="F427" i="3"/>
  <c r="D427" i="3"/>
  <c r="B427" i="3"/>
  <c r="A427" i="3"/>
  <c r="Q426" i="3"/>
  <c r="P426" i="3"/>
  <c r="O426" i="3"/>
  <c r="I426" i="3"/>
  <c r="R426" i="3" s="1"/>
  <c r="H426" i="3"/>
  <c r="F426" i="3"/>
  <c r="D426" i="3"/>
  <c r="B426" i="3"/>
  <c r="A426" i="3"/>
  <c r="Q425" i="3"/>
  <c r="P425" i="3"/>
  <c r="O425" i="3"/>
  <c r="I425" i="3"/>
  <c r="R425" i="3" s="1"/>
  <c r="H425" i="3"/>
  <c r="F425" i="3"/>
  <c r="D425" i="3"/>
  <c r="B425" i="3"/>
  <c r="A425" i="3"/>
  <c r="Q424" i="3"/>
  <c r="P424" i="3"/>
  <c r="O424" i="3"/>
  <c r="I424" i="3"/>
  <c r="R424" i="3" s="1"/>
  <c r="H424" i="3"/>
  <c r="F424" i="3"/>
  <c r="D424" i="3"/>
  <c r="B424" i="3"/>
  <c r="A424" i="3"/>
  <c r="Q423" i="3"/>
  <c r="P423" i="3"/>
  <c r="O423" i="3"/>
  <c r="I423" i="3"/>
  <c r="R423" i="3" s="1"/>
  <c r="H423" i="3"/>
  <c r="F423" i="3"/>
  <c r="D423" i="3"/>
  <c r="B423" i="3"/>
  <c r="A423" i="3"/>
  <c r="Q422" i="3"/>
  <c r="P422" i="3"/>
  <c r="O422" i="3"/>
  <c r="I422" i="3"/>
  <c r="R422" i="3" s="1"/>
  <c r="H422" i="3"/>
  <c r="F422" i="3"/>
  <c r="D422" i="3"/>
  <c r="B422" i="3"/>
  <c r="A422" i="3"/>
  <c r="Q421" i="3"/>
  <c r="P421" i="3"/>
  <c r="O421" i="3"/>
  <c r="I421" i="3"/>
  <c r="R421" i="3" s="1"/>
  <c r="H421" i="3"/>
  <c r="F421" i="3"/>
  <c r="D421" i="3"/>
  <c r="B421" i="3"/>
  <c r="A421" i="3"/>
  <c r="Q420" i="3"/>
  <c r="P420" i="3"/>
  <c r="O420" i="3"/>
  <c r="I420" i="3"/>
  <c r="R420" i="3" s="1"/>
  <c r="H420" i="3"/>
  <c r="F420" i="3"/>
  <c r="D420" i="3"/>
  <c r="B420" i="3"/>
  <c r="A420" i="3"/>
  <c r="Q419" i="3"/>
  <c r="P419" i="3"/>
  <c r="O419" i="3"/>
  <c r="I419" i="3"/>
  <c r="R419" i="3" s="1"/>
  <c r="H419" i="3"/>
  <c r="F419" i="3"/>
  <c r="D419" i="3"/>
  <c r="B419" i="3"/>
  <c r="A419" i="3"/>
  <c r="Q418" i="3"/>
  <c r="P418" i="3"/>
  <c r="O418" i="3"/>
  <c r="I418" i="3"/>
  <c r="R418" i="3" s="1"/>
  <c r="H418" i="3"/>
  <c r="F418" i="3"/>
  <c r="D418" i="3"/>
  <c r="B418" i="3"/>
  <c r="A418" i="3"/>
  <c r="Q417" i="3"/>
  <c r="P417" i="3"/>
  <c r="O417" i="3"/>
  <c r="I417" i="3"/>
  <c r="R417" i="3" s="1"/>
  <c r="H417" i="3"/>
  <c r="F417" i="3"/>
  <c r="D417" i="3"/>
  <c r="B417" i="3"/>
  <c r="A417" i="3"/>
  <c r="Q416" i="3"/>
  <c r="P416" i="3"/>
  <c r="O416" i="3"/>
  <c r="I416" i="3"/>
  <c r="R416" i="3" s="1"/>
  <c r="H416" i="3"/>
  <c r="F416" i="3"/>
  <c r="D416" i="3"/>
  <c r="B416" i="3"/>
  <c r="A416" i="3"/>
  <c r="Q415" i="3"/>
  <c r="P415" i="3"/>
  <c r="O415" i="3"/>
  <c r="I415" i="3"/>
  <c r="R415" i="3" s="1"/>
  <c r="H415" i="3"/>
  <c r="F415" i="3"/>
  <c r="D415" i="3"/>
  <c r="B415" i="3"/>
  <c r="A415" i="3"/>
  <c r="Q414" i="3"/>
  <c r="P414" i="3"/>
  <c r="O414" i="3"/>
  <c r="I414" i="3"/>
  <c r="R414" i="3" s="1"/>
  <c r="H414" i="3"/>
  <c r="F414" i="3"/>
  <c r="D414" i="3"/>
  <c r="B414" i="3"/>
  <c r="A414" i="3"/>
  <c r="Q413" i="3"/>
  <c r="P413" i="3"/>
  <c r="O413" i="3"/>
  <c r="I413" i="3"/>
  <c r="R413" i="3" s="1"/>
  <c r="H413" i="3"/>
  <c r="F413" i="3"/>
  <c r="D413" i="3"/>
  <c r="B413" i="3"/>
  <c r="A413" i="3"/>
  <c r="Q412" i="3"/>
  <c r="P412" i="3"/>
  <c r="O412" i="3"/>
  <c r="I412" i="3"/>
  <c r="R412" i="3" s="1"/>
  <c r="H412" i="3"/>
  <c r="F412" i="3"/>
  <c r="D412" i="3"/>
  <c r="B412" i="3"/>
  <c r="A412" i="3"/>
  <c r="Q411" i="3"/>
  <c r="P411" i="3"/>
  <c r="O411" i="3"/>
  <c r="I411" i="3"/>
  <c r="R411" i="3" s="1"/>
  <c r="H411" i="3"/>
  <c r="F411" i="3"/>
  <c r="D411" i="3"/>
  <c r="B411" i="3"/>
  <c r="A411" i="3"/>
  <c r="Q410" i="3"/>
  <c r="P410" i="3"/>
  <c r="O410" i="3"/>
  <c r="I410" i="3"/>
  <c r="R410" i="3" s="1"/>
  <c r="H410" i="3"/>
  <c r="F410" i="3"/>
  <c r="D410" i="3"/>
  <c r="B410" i="3"/>
  <c r="A410" i="3"/>
  <c r="Q409" i="3"/>
  <c r="P409" i="3"/>
  <c r="O409" i="3"/>
  <c r="I409" i="3"/>
  <c r="R409" i="3" s="1"/>
  <c r="H409" i="3"/>
  <c r="F409" i="3"/>
  <c r="D409" i="3"/>
  <c r="B409" i="3"/>
  <c r="A409" i="3"/>
  <c r="Q408" i="3"/>
  <c r="P408" i="3"/>
  <c r="O408" i="3"/>
  <c r="I408" i="3"/>
  <c r="R408" i="3" s="1"/>
  <c r="H408" i="3"/>
  <c r="F408" i="3"/>
  <c r="D408" i="3"/>
  <c r="B408" i="3"/>
  <c r="A408" i="3"/>
  <c r="Q407" i="3"/>
  <c r="P407" i="3"/>
  <c r="O407" i="3"/>
  <c r="I407" i="3"/>
  <c r="R407" i="3" s="1"/>
  <c r="H407" i="3"/>
  <c r="F407" i="3"/>
  <c r="D407" i="3"/>
  <c r="B407" i="3"/>
  <c r="A407" i="3"/>
  <c r="Q406" i="3"/>
  <c r="P406" i="3"/>
  <c r="O406" i="3"/>
  <c r="I406" i="3"/>
  <c r="R406" i="3" s="1"/>
  <c r="H406" i="3"/>
  <c r="F406" i="3"/>
  <c r="D406" i="3"/>
  <c r="B406" i="3"/>
  <c r="A406" i="3"/>
  <c r="Q405" i="3"/>
  <c r="P405" i="3"/>
  <c r="O405" i="3"/>
  <c r="I405" i="3"/>
  <c r="R405" i="3" s="1"/>
  <c r="H405" i="3"/>
  <c r="F405" i="3"/>
  <c r="D405" i="3"/>
  <c r="B405" i="3"/>
  <c r="A405" i="3"/>
  <c r="Q404" i="3"/>
  <c r="P404" i="3"/>
  <c r="O404" i="3"/>
  <c r="I404" i="3"/>
  <c r="R404" i="3" s="1"/>
  <c r="H404" i="3"/>
  <c r="F404" i="3"/>
  <c r="D404" i="3"/>
  <c r="B404" i="3"/>
  <c r="A404" i="3"/>
  <c r="Q403" i="3"/>
  <c r="P403" i="3"/>
  <c r="O403" i="3"/>
  <c r="I403" i="3"/>
  <c r="R403" i="3" s="1"/>
  <c r="H403" i="3"/>
  <c r="F403" i="3"/>
  <c r="D403" i="3"/>
  <c r="B403" i="3"/>
  <c r="A403" i="3"/>
  <c r="Q402" i="3"/>
  <c r="P402" i="3"/>
  <c r="O402" i="3"/>
  <c r="I402" i="3"/>
  <c r="R402" i="3" s="1"/>
  <c r="H402" i="3"/>
  <c r="F402" i="3"/>
  <c r="D402" i="3"/>
  <c r="B402" i="3"/>
  <c r="A402" i="3"/>
  <c r="Q401" i="3"/>
  <c r="P401" i="3"/>
  <c r="O401" i="3"/>
  <c r="I401" i="3"/>
  <c r="R401" i="3" s="1"/>
  <c r="H401" i="3"/>
  <c r="F401" i="3"/>
  <c r="D401" i="3"/>
  <c r="B401" i="3"/>
  <c r="A401" i="3"/>
  <c r="Q400" i="3"/>
  <c r="P400" i="3"/>
  <c r="O400" i="3"/>
  <c r="I400" i="3"/>
  <c r="R400" i="3" s="1"/>
  <c r="H400" i="3"/>
  <c r="F400" i="3"/>
  <c r="D400" i="3"/>
  <c r="B400" i="3"/>
  <c r="A400" i="3"/>
  <c r="Q399" i="3"/>
  <c r="P399" i="3"/>
  <c r="O399" i="3"/>
  <c r="I399" i="3"/>
  <c r="R399" i="3" s="1"/>
  <c r="H399" i="3"/>
  <c r="F399" i="3"/>
  <c r="D399" i="3"/>
  <c r="B399" i="3"/>
  <c r="A399" i="3"/>
  <c r="Q398" i="3"/>
  <c r="P398" i="3"/>
  <c r="O398" i="3"/>
  <c r="I398" i="3"/>
  <c r="R398" i="3" s="1"/>
  <c r="H398" i="3"/>
  <c r="F398" i="3"/>
  <c r="D398" i="3"/>
  <c r="B398" i="3"/>
  <c r="A398" i="3"/>
  <c r="Q397" i="3"/>
  <c r="P397" i="3"/>
  <c r="O397" i="3"/>
  <c r="I397" i="3"/>
  <c r="R397" i="3" s="1"/>
  <c r="H397" i="3"/>
  <c r="F397" i="3"/>
  <c r="D397" i="3"/>
  <c r="B397" i="3"/>
  <c r="A397" i="3"/>
  <c r="Q396" i="3"/>
  <c r="P396" i="3"/>
  <c r="O396" i="3"/>
  <c r="I396" i="3"/>
  <c r="R396" i="3" s="1"/>
  <c r="H396" i="3"/>
  <c r="F396" i="3"/>
  <c r="D396" i="3"/>
  <c r="B396" i="3"/>
  <c r="A396" i="3"/>
  <c r="Q395" i="3"/>
  <c r="P395" i="3"/>
  <c r="O395" i="3"/>
  <c r="I395" i="3"/>
  <c r="R395" i="3" s="1"/>
  <c r="H395" i="3"/>
  <c r="F395" i="3"/>
  <c r="D395" i="3"/>
  <c r="B395" i="3"/>
  <c r="A395" i="3"/>
  <c r="Q394" i="3"/>
  <c r="P394" i="3"/>
  <c r="O394" i="3"/>
  <c r="I394" i="3"/>
  <c r="R394" i="3" s="1"/>
  <c r="H394" i="3"/>
  <c r="F394" i="3"/>
  <c r="D394" i="3"/>
  <c r="B394" i="3"/>
  <c r="A394" i="3"/>
  <c r="Q393" i="3"/>
  <c r="P393" i="3"/>
  <c r="O393" i="3"/>
  <c r="I393" i="3"/>
  <c r="R393" i="3" s="1"/>
  <c r="H393" i="3"/>
  <c r="F393" i="3"/>
  <c r="D393" i="3"/>
  <c r="B393" i="3"/>
  <c r="A393" i="3"/>
  <c r="Q392" i="3"/>
  <c r="P392" i="3"/>
  <c r="O392" i="3"/>
  <c r="I392" i="3"/>
  <c r="R392" i="3" s="1"/>
  <c r="H392" i="3"/>
  <c r="F392" i="3"/>
  <c r="D392" i="3"/>
  <c r="B392" i="3"/>
  <c r="A392" i="3"/>
  <c r="Q391" i="3"/>
  <c r="P391" i="3"/>
  <c r="O391" i="3"/>
  <c r="I391" i="3"/>
  <c r="R391" i="3" s="1"/>
  <c r="H391" i="3"/>
  <c r="F391" i="3"/>
  <c r="D391" i="3"/>
  <c r="B391" i="3"/>
  <c r="A391" i="3"/>
  <c r="Q390" i="3"/>
  <c r="P390" i="3"/>
  <c r="O390" i="3"/>
  <c r="I390" i="3"/>
  <c r="R390" i="3" s="1"/>
  <c r="H390" i="3"/>
  <c r="F390" i="3"/>
  <c r="D390" i="3"/>
  <c r="B390" i="3"/>
  <c r="A390" i="3"/>
  <c r="Q389" i="3"/>
  <c r="P389" i="3"/>
  <c r="O389" i="3"/>
  <c r="I389" i="3"/>
  <c r="R389" i="3" s="1"/>
  <c r="H389" i="3"/>
  <c r="F389" i="3"/>
  <c r="D389" i="3"/>
  <c r="B389" i="3"/>
  <c r="A389" i="3"/>
  <c r="Q388" i="3"/>
  <c r="P388" i="3"/>
  <c r="O388" i="3"/>
  <c r="I388" i="3"/>
  <c r="R388" i="3" s="1"/>
  <c r="H388" i="3"/>
  <c r="F388" i="3"/>
  <c r="D388" i="3"/>
  <c r="B388" i="3"/>
  <c r="A388" i="3"/>
  <c r="Q387" i="3"/>
  <c r="P387" i="3"/>
  <c r="O387" i="3"/>
  <c r="I387" i="3"/>
  <c r="R387" i="3" s="1"/>
  <c r="H387" i="3"/>
  <c r="F387" i="3"/>
  <c r="D387" i="3"/>
  <c r="B387" i="3"/>
  <c r="A387" i="3"/>
  <c r="Q386" i="3"/>
  <c r="P386" i="3"/>
  <c r="O386" i="3"/>
  <c r="I386" i="3"/>
  <c r="R386" i="3" s="1"/>
  <c r="H386" i="3"/>
  <c r="F386" i="3"/>
  <c r="D386" i="3"/>
  <c r="B386" i="3"/>
  <c r="A386" i="3"/>
  <c r="Q385" i="3"/>
  <c r="P385" i="3"/>
  <c r="O385" i="3"/>
  <c r="I385" i="3"/>
  <c r="R385" i="3" s="1"/>
  <c r="H385" i="3"/>
  <c r="F385" i="3"/>
  <c r="D385" i="3"/>
  <c r="B385" i="3"/>
  <c r="A385" i="3"/>
  <c r="Q384" i="3"/>
  <c r="P384" i="3"/>
  <c r="O384" i="3"/>
  <c r="I384" i="3"/>
  <c r="R384" i="3" s="1"/>
  <c r="H384" i="3"/>
  <c r="F384" i="3"/>
  <c r="D384" i="3"/>
  <c r="B384" i="3"/>
  <c r="A384" i="3"/>
  <c r="Q383" i="3"/>
  <c r="P383" i="3"/>
  <c r="O383" i="3"/>
  <c r="I383" i="3"/>
  <c r="R383" i="3" s="1"/>
  <c r="H383" i="3"/>
  <c r="F383" i="3"/>
  <c r="D383" i="3"/>
  <c r="B383" i="3"/>
  <c r="A383" i="3"/>
  <c r="Q382" i="3"/>
  <c r="P382" i="3"/>
  <c r="O382" i="3"/>
  <c r="I382" i="3"/>
  <c r="R382" i="3" s="1"/>
  <c r="H382" i="3"/>
  <c r="F382" i="3"/>
  <c r="D382" i="3"/>
  <c r="B382" i="3"/>
  <c r="A382" i="3"/>
  <c r="Q381" i="3"/>
  <c r="P381" i="3"/>
  <c r="O381" i="3"/>
  <c r="I381" i="3"/>
  <c r="R381" i="3" s="1"/>
  <c r="H381" i="3"/>
  <c r="F381" i="3"/>
  <c r="D381" i="3"/>
  <c r="B381" i="3"/>
  <c r="A381" i="3"/>
  <c r="Q380" i="3"/>
  <c r="P380" i="3"/>
  <c r="O380" i="3"/>
  <c r="I380" i="3"/>
  <c r="R380" i="3" s="1"/>
  <c r="H380" i="3"/>
  <c r="F380" i="3"/>
  <c r="D380" i="3"/>
  <c r="B380" i="3"/>
  <c r="A380" i="3"/>
  <c r="Q379" i="3"/>
  <c r="P379" i="3"/>
  <c r="O379" i="3"/>
  <c r="I379" i="3"/>
  <c r="R379" i="3" s="1"/>
  <c r="H379" i="3"/>
  <c r="F379" i="3"/>
  <c r="D379" i="3"/>
  <c r="B379" i="3"/>
  <c r="A379" i="3"/>
  <c r="Q378" i="3"/>
  <c r="P378" i="3"/>
  <c r="O378" i="3"/>
  <c r="I378" i="3"/>
  <c r="R378" i="3" s="1"/>
  <c r="H378" i="3"/>
  <c r="F378" i="3"/>
  <c r="D378" i="3"/>
  <c r="B378" i="3"/>
  <c r="A378" i="3"/>
  <c r="Q377" i="3"/>
  <c r="P377" i="3"/>
  <c r="O377" i="3"/>
  <c r="I377" i="3"/>
  <c r="R377" i="3" s="1"/>
  <c r="H377" i="3"/>
  <c r="F377" i="3"/>
  <c r="D377" i="3"/>
  <c r="B377" i="3"/>
  <c r="A377" i="3"/>
  <c r="Q376" i="3"/>
  <c r="P376" i="3"/>
  <c r="O376" i="3"/>
  <c r="I376" i="3"/>
  <c r="R376" i="3" s="1"/>
  <c r="H376" i="3"/>
  <c r="F376" i="3"/>
  <c r="D376" i="3"/>
  <c r="B376" i="3"/>
  <c r="A376" i="3"/>
  <c r="Q375" i="3"/>
  <c r="P375" i="3"/>
  <c r="O375" i="3"/>
  <c r="I375" i="3"/>
  <c r="R375" i="3" s="1"/>
  <c r="H375" i="3"/>
  <c r="F375" i="3"/>
  <c r="D375" i="3"/>
  <c r="B375" i="3"/>
  <c r="A375" i="3"/>
  <c r="Q374" i="3"/>
  <c r="P374" i="3"/>
  <c r="O374" i="3"/>
  <c r="I374" i="3"/>
  <c r="R374" i="3" s="1"/>
  <c r="H374" i="3"/>
  <c r="F374" i="3"/>
  <c r="D374" i="3"/>
  <c r="B374" i="3"/>
  <c r="A374" i="3"/>
  <c r="Q373" i="3"/>
  <c r="P373" i="3"/>
  <c r="O373" i="3"/>
  <c r="I373" i="3"/>
  <c r="R373" i="3" s="1"/>
  <c r="H373" i="3"/>
  <c r="F373" i="3"/>
  <c r="D373" i="3"/>
  <c r="B373" i="3"/>
  <c r="A373" i="3"/>
  <c r="Q372" i="3"/>
  <c r="P372" i="3"/>
  <c r="O372" i="3"/>
  <c r="I372" i="3"/>
  <c r="R372" i="3" s="1"/>
  <c r="H372" i="3"/>
  <c r="F372" i="3"/>
  <c r="D372" i="3"/>
  <c r="B372" i="3"/>
  <c r="A372" i="3"/>
  <c r="Q371" i="3"/>
  <c r="P371" i="3"/>
  <c r="O371" i="3"/>
  <c r="I371" i="3"/>
  <c r="R371" i="3" s="1"/>
  <c r="H371" i="3"/>
  <c r="F371" i="3"/>
  <c r="D371" i="3"/>
  <c r="B371" i="3"/>
  <c r="A371" i="3"/>
  <c r="Q370" i="3"/>
  <c r="P370" i="3"/>
  <c r="O370" i="3"/>
  <c r="I370" i="3"/>
  <c r="R370" i="3" s="1"/>
  <c r="H370" i="3"/>
  <c r="F370" i="3"/>
  <c r="D370" i="3"/>
  <c r="B370" i="3"/>
  <c r="A370" i="3"/>
  <c r="Q369" i="3"/>
  <c r="P369" i="3"/>
  <c r="O369" i="3"/>
  <c r="I369" i="3"/>
  <c r="R369" i="3" s="1"/>
  <c r="H369" i="3"/>
  <c r="F369" i="3"/>
  <c r="D369" i="3"/>
  <c r="B369" i="3"/>
  <c r="A369" i="3"/>
  <c r="Q368" i="3"/>
  <c r="P368" i="3"/>
  <c r="O368" i="3"/>
  <c r="I368" i="3"/>
  <c r="R368" i="3" s="1"/>
  <c r="H368" i="3"/>
  <c r="F368" i="3"/>
  <c r="D368" i="3"/>
  <c r="B368" i="3"/>
  <c r="A368" i="3"/>
  <c r="Q367" i="3"/>
  <c r="P367" i="3"/>
  <c r="O367" i="3"/>
  <c r="I367" i="3"/>
  <c r="R367" i="3" s="1"/>
  <c r="H367" i="3"/>
  <c r="F367" i="3"/>
  <c r="D367" i="3"/>
  <c r="B367" i="3"/>
  <c r="A367" i="3"/>
  <c r="Q366" i="3"/>
  <c r="P366" i="3"/>
  <c r="O366" i="3"/>
  <c r="I366" i="3"/>
  <c r="R366" i="3" s="1"/>
  <c r="H366" i="3"/>
  <c r="F366" i="3"/>
  <c r="D366" i="3"/>
  <c r="B366" i="3"/>
  <c r="A366" i="3"/>
  <c r="Q365" i="3"/>
  <c r="P365" i="3"/>
  <c r="O365" i="3"/>
  <c r="I365" i="3"/>
  <c r="R365" i="3" s="1"/>
  <c r="H365" i="3"/>
  <c r="F365" i="3"/>
  <c r="D365" i="3"/>
  <c r="B365" i="3"/>
  <c r="A365" i="3"/>
  <c r="Q364" i="3"/>
  <c r="P364" i="3"/>
  <c r="O364" i="3"/>
  <c r="I364" i="3"/>
  <c r="R364" i="3" s="1"/>
  <c r="H364" i="3"/>
  <c r="F364" i="3"/>
  <c r="D364" i="3"/>
  <c r="B364" i="3"/>
  <c r="A364" i="3"/>
  <c r="Q363" i="3"/>
  <c r="P363" i="3"/>
  <c r="O363" i="3"/>
  <c r="I363" i="3"/>
  <c r="R363" i="3" s="1"/>
  <c r="H363" i="3"/>
  <c r="F363" i="3"/>
  <c r="D363" i="3"/>
  <c r="B363" i="3"/>
  <c r="A363" i="3"/>
  <c r="Q362" i="3"/>
  <c r="P362" i="3"/>
  <c r="O362" i="3"/>
  <c r="I362" i="3"/>
  <c r="R362" i="3" s="1"/>
  <c r="H362" i="3"/>
  <c r="F362" i="3"/>
  <c r="D362" i="3"/>
  <c r="B362" i="3"/>
  <c r="A362" i="3"/>
  <c r="Q361" i="3"/>
  <c r="P361" i="3"/>
  <c r="O361" i="3"/>
  <c r="I361" i="3"/>
  <c r="R361" i="3" s="1"/>
  <c r="H361" i="3"/>
  <c r="F361" i="3"/>
  <c r="D361" i="3"/>
  <c r="B361" i="3"/>
  <c r="A361" i="3"/>
  <c r="Q360" i="3"/>
  <c r="P360" i="3"/>
  <c r="O360" i="3"/>
  <c r="I360" i="3"/>
  <c r="R360" i="3" s="1"/>
  <c r="H360" i="3"/>
  <c r="F360" i="3"/>
  <c r="D360" i="3"/>
  <c r="B360" i="3"/>
  <c r="A360" i="3"/>
  <c r="Q359" i="3"/>
  <c r="P359" i="3"/>
  <c r="O359" i="3"/>
  <c r="I359" i="3"/>
  <c r="R359" i="3" s="1"/>
  <c r="H359" i="3"/>
  <c r="F359" i="3"/>
  <c r="D359" i="3"/>
  <c r="B359" i="3"/>
  <c r="A359" i="3"/>
  <c r="Q358" i="3"/>
  <c r="P358" i="3"/>
  <c r="O358" i="3"/>
  <c r="I358" i="3"/>
  <c r="R358" i="3" s="1"/>
  <c r="H358" i="3"/>
  <c r="F358" i="3"/>
  <c r="D358" i="3"/>
  <c r="B358" i="3"/>
  <c r="A358" i="3"/>
  <c r="Q357" i="3"/>
  <c r="P357" i="3"/>
  <c r="O357" i="3"/>
  <c r="I357" i="3"/>
  <c r="R357" i="3" s="1"/>
  <c r="H357" i="3"/>
  <c r="F357" i="3"/>
  <c r="D357" i="3"/>
  <c r="B357" i="3"/>
  <c r="A357" i="3"/>
  <c r="Q356" i="3"/>
  <c r="P356" i="3"/>
  <c r="O356" i="3"/>
  <c r="I356" i="3"/>
  <c r="R356" i="3" s="1"/>
  <c r="H356" i="3"/>
  <c r="F356" i="3"/>
  <c r="D356" i="3"/>
  <c r="B356" i="3"/>
  <c r="A356" i="3"/>
  <c r="Q355" i="3"/>
  <c r="P355" i="3"/>
  <c r="O355" i="3"/>
  <c r="I355" i="3"/>
  <c r="R355" i="3" s="1"/>
  <c r="H355" i="3"/>
  <c r="F355" i="3"/>
  <c r="D355" i="3"/>
  <c r="B355" i="3"/>
  <c r="A355" i="3"/>
  <c r="Q354" i="3"/>
  <c r="P354" i="3"/>
  <c r="O354" i="3"/>
  <c r="I354" i="3"/>
  <c r="R354" i="3" s="1"/>
  <c r="H354" i="3"/>
  <c r="F354" i="3"/>
  <c r="D354" i="3"/>
  <c r="B354" i="3"/>
  <c r="A354" i="3"/>
  <c r="Q353" i="3"/>
  <c r="P353" i="3"/>
  <c r="O353" i="3"/>
  <c r="I353" i="3"/>
  <c r="R353" i="3" s="1"/>
  <c r="H353" i="3"/>
  <c r="F353" i="3"/>
  <c r="D353" i="3"/>
  <c r="B353" i="3"/>
  <c r="A353" i="3"/>
  <c r="Q352" i="3"/>
  <c r="P352" i="3"/>
  <c r="O352" i="3"/>
  <c r="I352" i="3"/>
  <c r="R352" i="3" s="1"/>
  <c r="H352" i="3"/>
  <c r="F352" i="3"/>
  <c r="D352" i="3"/>
  <c r="B352" i="3"/>
  <c r="A352" i="3"/>
  <c r="Q351" i="3"/>
  <c r="P351" i="3"/>
  <c r="O351" i="3"/>
  <c r="I351" i="3"/>
  <c r="R351" i="3" s="1"/>
  <c r="H351" i="3"/>
  <c r="F351" i="3"/>
  <c r="D351" i="3"/>
  <c r="B351" i="3"/>
  <c r="A351" i="3"/>
  <c r="Q350" i="3"/>
  <c r="P350" i="3"/>
  <c r="O350" i="3"/>
  <c r="I350" i="3"/>
  <c r="R350" i="3" s="1"/>
  <c r="H350" i="3"/>
  <c r="F350" i="3"/>
  <c r="D350" i="3"/>
  <c r="B350" i="3"/>
  <c r="A350" i="3"/>
  <c r="Q349" i="3"/>
  <c r="P349" i="3"/>
  <c r="O349" i="3"/>
  <c r="I349" i="3"/>
  <c r="R349" i="3" s="1"/>
  <c r="H349" i="3"/>
  <c r="F349" i="3"/>
  <c r="D349" i="3"/>
  <c r="B349" i="3"/>
  <c r="A349" i="3"/>
  <c r="Q348" i="3"/>
  <c r="P348" i="3"/>
  <c r="O348" i="3"/>
  <c r="I348" i="3"/>
  <c r="R348" i="3" s="1"/>
  <c r="H348" i="3"/>
  <c r="F348" i="3"/>
  <c r="D348" i="3"/>
  <c r="B348" i="3"/>
  <c r="A348" i="3"/>
  <c r="Q347" i="3"/>
  <c r="P347" i="3"/>
  <c r="O347" i="3"/>
  <c r="I347" i="3"/>
  <c r="R347" i="3" s="1"/>
  <c r="H347" i="3"/>
  <c r="F347" i="3"/>
  <c r="D347" i="3"/>
  <c r="B347" i="3"/>
  <c r="A347" i="3"/>
  <c r="Q346" i="3"/>
  <c r="P346" i="3"/>
  <c r="O346" i="3"/>
  <c r="I346" i="3"/>
  <c r="R346" i="3" s="1"/>
  <c r="H346" i="3"/>
  <c r="F346" i="3"/>
  <c r="D346" i="3"/>
  <c r="B346" i="3"/>
  <c r="A346" i="3"/>
  <c r="Q345" i="3"/>
  <c r="P345" i="3"/>
  <c r="O345" i="3"/>
  <c r="I345" i="3"/>
  <c r="R345" i="3" s="1"/>
  <c r="H345" i="3"/>
  <c r="F345" i="3"/>
  <c r="D345" i="3"/>
  <c r="B345" i="3"/>
  <c r="A345" i="3"/>
  <c r="Q344" i="3"/>
  <c r="P344" i="3"/>
  <c r="O344" i="3"/>
  <c r="I344" i="3"/>
  <c r="R344" i="3" s="1"/>
  <c r="H344" i="3"/>
  <c r="F344" i="3"/>
  <c r="D344" i="3"/>
  <c r="B344" i="3"/>
  <c r="A344" i="3"/>
  <c r="Q343" i="3"/>
  <c r="P343" i="3"/>
  <c r="O343" i="3"/>
  <c r="I343" i="3"/>
  <c r="R343" i="3" s="1"/>
  <c r="H343" i="3"/>
  <c r="F343" i="3"/>
  <c r="D343" i="3"/>
  <c r="B343" i="3"/>
  <c r="A343" i="3"/>
  <c r="Q342" i="3"/>
  <c r="P342" i="3"/>
  <c r="O342" i="3"/>
  <c r="I342" i="3"/>
  <c r="R342" i="3" s="1"/>
  <c r="H342" i="3"/>
  <c r="F342" i="3"/>
  <c r="D342" i="3"/>
  <c r="B342" i="3"/>
  <c r="A342" i="3"/>
  <c r="Q341" i="3"/>
  <c r="P341" i="3"/>
  <c r="O341" i="3"/>
  <c r="I341" i="3"/>
  <c r="R341" i="3" s="1"/>
  <c r="H341" i="3"/>
  <c r="F341" i="3"/>
  <c r="D341" i="3"/>
  <c r="B341" i="3"/>
  <c r="A341" i="3"/>
  <c r="Q340" i="3"/>
  <c r="P340" i="3"/>
  <c r="O340" i="3"/>
  <c r="I340" i="3"/>
  <c r="R340" i="3" s="1"/>
  <c r="H340" i="3"/>
  <c r="F340" i="3"/>
  <c r="D340" i="3"/>
  <c r="B340" i="3"/>
  <c r="A340" i="3"/>
  <c r="Q339" i="3"/>
  <c r="P339" i="3"/>
  <c r="O339" i="3"/>
  <c r="I339" i="3"/>
  <c r="R339" i="3" s="1"/>
  <c r="H339" i="3"/>
  <c r="F339" i="3"/>
  <c r="D339" i="3"/>
  <c r="B339" i="3"/>
  <c r="A339" i="3"/>
  <c r="Q338" i="3"/>
  <c r="P338" i="3"/>
  <c r="O338" i="3"/>
  <c r="I338" i="3"/>
  <c r="R338" i="3" s="1"/>
  <c r="H338" i="3"/>
  <c r="F338" i="3"/>
  <c r="D338" i="3"/>
  <c r="B338" i="3"/>
  <c r="A338" i="3"/>
  <c r="Q337" i="3"/>
  <c r="P337" i="3"/>
  <c r="O337" i="3"/>
  <c r="I337" i="3"/>
  <c r="R337" i="3" s="1"/>
  <c r="H337" i="3"/>
  <c r="F337" i="3"/>
  <c r="D337" i="3"/>
  <c r="B337" i="3"/>
  <c r="A337" i="3"/>
  <c r="Q336" i="3"/>
  <c r="P336" i="3"/>
  <c r="O336" i="3"/>
  <c r="I336" i="3"/>
  <c r="R336" i="3" s="1"/>
  <c r="H336" i="3"/>
  <c r="F336" i="3"/>
  <c r="D336" i="3"/>
  <c r="B336" i="3"/>
  <c r="A336" i="3"/>
  <c r="Q335" i="3"/>
  <c r="P335" i="3"/>
  <c r="O335" i="3"/>
  <c r="I335" i="3"/>
  <c r="R335" i="3" s="1"/>
  <c r="H335" i="3"/>
  <c r="F335" i="3"/>
  <c r="D335" i="3"/>
  <c r="B335" i="3"/>
  <c r="A335" i="3"/>
  <c r="Q334" i="3"/>
  <c r="P334" i="3"/>
  <c r="O334" i="3"/>
  <c r="I334" i="3"/>
  <c r="R334" i="3" s="1"/>
  <c r="H334" i="3"/>
  <c r="F334" i="3"/>
  <c r="D334" i="3"/>
  <c r="B334" i="3"/>
  <c r="A334" i="3"/>
  <c r="Q333" i="3"/>
  <c r="P333" i="3"/>
  <c r="O333" i="3"/>
  <c r="I333" i="3"/>
  <c r="R333" i="3" s="1"/>
  <c r="H333" i="3"/>
  <c r="F333" i="3"/>
  <c r="D333" i="3"/>
  <c r="B333" i="3"/>
  <c r="A333" i="3"/>
  <c r="Q332" i="3"/>
  <c r="P332" i="3"/>
  <c r="O332" i="3"/>
  <c r="I332" i="3"/>
  <c r="R332" i="3" s="1"/>
  <c r="H332" i="3"/>
  <c r="F332" i="3"/>
  <c r="D332" i="3"/>
  <c r="B332" i="3"/>
  <c r="A332" i="3"/>
  <c r="Q331" i="3"/>
  <c r="P331" i="3"/>
  <c r="O331" i="3"/>
  <c r="I331" i="3"/>
  <c r="R331" i="3" s="1"/>
  <c r="H331" i="3"/>
  <c r="F331" i="3"/>
  <c r="D331" i="3"/>
  <c r="B331" i="3"/>
  <c r="A331" i="3"/>
  <c r="Q330" i="3"/>
  <c r="P330" i="3"/>
  <c r="O330" i="3"/>
  <c r="I330" i="3"/>
  <c r="R330" i="3" s="1"/>
  <c r="H330" i="3"/>
  <c r="F330" i="3"/>
  <c r="D330" i="3"/>
  <c r="B330" i="3"/>
  <c r="A330" i="3"/>
  <c r="Q329" i="3"/>
  <c r="P329" i="3"/>
  <c r="O329" i="3"/>
  <c r="I329" i="3"/>
  <c r="R329" i="3" s="1"/>
  <c r="H329" i="3"/>
  <c r="F329" i="3"/>
  <c r="D329" i="3"/>
  <c r="B329" i="3"/>
  <c r="A329" i="3"/>
  <c r="Q328" i="3"/>
  <c r="P328" i="3"/>
  <c r="O328" i="3"/>
  <c r="I328" i="3"/>
  <c r="R328" i="3" s="1"/>
  <c r="H328" i="3"/>
  <c r="F328" i="3"/>
  <c r="D328" i="3"/>
  <c r="B328" i="3"/>
  <c r="A328" i="3"/>
  <c r="Q327" i="3"/>
  <c r="P327" i="3"/>
  <c r="O327" i="3"/>
  <c r="I327" i="3"/>
  <c r="R327" i="3" s="1"/>
  <c r="H327" i="3"/>
  <c r="F327" i="3"/>
  <c r="D327" i="3"/>
  <c r="B327" i="3"/>
  <c r="A327" i="3"/>
  <c r="Q326" i="3"/>
  <c r="P326" i="3"/>
  <c r="O326" i="3"/>
  <c r="I326" i="3"/>
  <c r="R326" i="3" s="1"/>
  <c r="H326" i="3"/>
  <c r="F326" i="3"/>
  <c r="D326" i="3"/>
  <c r="B326" i="3"/>
  <c r="A326" i="3"/>
  <c r="Q325" i="3"/>
  <c r="P325" i="3"/>
  <c r="O325" i="3"/>
  <c r="I325" i="3"/>
  <c r="R325" i="3" s="1"/>
  <c r="H325" i="3"/>
  <c r="F325" i="3"/>
  <c r="D325" i="3"/>
  <c r="B325" i="3"/>
  <c r="A325" i="3"/>
  <c r="Q324" i="3"/>
  <c r="P324" i="3"/>
  <c r="O324" i="3"/>
  <c r="I324" i="3"/>
  <c r="R324" i="3" s="1"/>
  <c r="H324" i="3"/>
  <c r="F324" i="3"/>
  <c r="D324" i="3"/>
  <c r="B324" i="3"/>
  <c r="A324" i="3"/>
  <c r="Q323" i="3"/>
  <c r="P323" i="3"/>
  <c r="O323" i="3"/>
  <c r="I323" i="3"/>
  <c r="R323" i="3" s="1"/>
  <c r="H323" i="3"/>
  <c r="F323" i="3"/>
  <c r="D323" i="3"/>
  <c r="B323" i="3"/>
  <c r="A323" i="3"/>
  <c r="Q322" i="3"/>
  <c r="P322" i="3"/>
  <c r="O322" i="3"/>
  <c r="I322" i="3"/>
  <c r="R322" i="3" s="1"/>
  <c r="H322" i="3"/>
  <c r="F322" i="3"/>
  <c r="D322" i="3"/>
  <c r="B322" i="3"/>
  <c r="A322" i="3"/>
  <c r="Q321" i="3"/>
  <c r="P321" i="3"/>
  <c r="O321" i="3"/>
  <c r="I321" i="3"/>
  <c r="R321" i="3" s="1"/>
  <c r="H321" i="3"/>
  <c r="F321" i="3"/>
  <c r="D321" i="3"/>
  <c r="B321" i="3"/>
  <c r="A321" i="3"/>
  <c r="Q320" i="3"/>
  <c r="P320" i="3"/>
  <c r="O320" i="3"/>
  <c r="I320" i="3"/>
  <c r="R320" i="3" s="1"/>
  <c r="H320" i="3"/>
  <c r="F320" i="3"/>
  <c r="D320" i="3"/>
  <c r="B320" i="3"/>
  <c r="A320" i="3"/>
  <c r="Q319" i="3"/>
  <c r="P319" i="3"/>
  <c r="O319" i="3"/>
  <c r="I319" i="3"/>
  <c r="R319" i="3" s="1"/>
  <c r="H319" i="3"/>
  <c r="F319" i="3"/>
  <c r="D319" i="3"/>
  <c r="B319" i="3"/>
  <c r="A319" i="3"/>
  <c r="Q318" i="3"/>
  <c r="P318" i="3"/>
  <c r="O318" i="3"/>
  <c r="I318" i="3"/>
  <c r="R318" i="3" s="1"/>
  <c r="H318" i="3"/>
  <c r="F318" i="3"/>
  <c r="D318" i="3"/>
  <c r="B318" i="3"/>
  <c r="A318" i="3"/>
  <c r="Q317" i="3"/>
  <c r="P317" i="3"/>
  <c r="O317" i="3"/>
  <c r="I317" i="3"/>
  <c r="R317" i="3" s="1"/>
  <c r="H317" i="3"/>
  <c r="F317" i="3"/>
  <c r="D317" i="3"/>
  <c r="B317" i="3"/>
  <c r="A317" i="3"/>
  <c r="Q316" i="3"/>
  <c r="P316" i="3"/>
  <c r="O316" i="3"/>
  <c r="I316" i="3"/>
  <c r="R316" i="3" s="1"/>
  <c r="H316" i="3"/>
  <c r="F316" i="3"/>
  <c r="D316" i="3"/>
  <c r="B316" i="3"/>
  <c r="A316" i="3"/>
  <c r="Q315" i="3"/>
  <c r="P315" i="3"/>
  <c r="O315" i="3"/>
  <c r="I315" i="3"/>
  <c r="R315" i="3" s="1"/>
  <c r="H315" i="3"/>
  <c r="F315" i="3"/>
  <c r="D315" i="3"/>
  <c r="B315" i="3"/>
  <c r="A315" i="3"/>
  <c r="Q314" i="3"/>
  <c r="P314" i="3"/>
  <c r="O314" i="3"/>
  <c r="I314" i="3"/>
  <c r="R314" i="3" s="1"/>
  <c r="H314" i="3"/>
  <c r="F314" i="3"/>
  <c r="D314" i="3"/>
  <c r="B314" i="3"/>
  <c r="A314" i="3"/>
  <c r="Q313" i="3"/>
  <c r="P313" i="3"/>
  <c r="O313" i="3"/>
  <c r="I313" i="3"/>
  <c r="R313" i="3" s="1"/>
  <c r="H313" i="3"/>
  <c r="F313" i="3"/>
  <c r="D313" i="3"/>
  <c r="B313" i="3"/>
  <c r="A313" i="3"/>
  <c r="Q312" i="3"/>
  <c r="P312" i="3"/>
  <c r="O312" i="3"/>
  <c r="I312" i="3"/>
  <c r="R312" i="3" s="1"/>
  <c r="H312" i="3"/>
  <c r="F312" i="3"/>
  <c r="D312" i="3"/>
  <c r="B312" i="3"/>
  <c r="A312" i="3"/>
  <c r="Q311" i="3"/>
  <c r="P311" i="3"/>
  <c r="O311" i="3"/>
  <c r="I311" i="3"/>
  <c r="R311" i="3" s="1"/>
  <c r="H311" i="3"/>
  <c r="F311" i="3"/>
  <c r="D311" i="3"/>
  <c r="B311" i="3"/>
  <c r="A311" i="3"/>
  <c r="Q310" i="3"/>
  <c r="P310" i="3"/>
  <c r="O310" i="3"/>
  <c r="I310" i="3"/>
  <c r="R310" i="3" s="1"/>
  <c r="H310" i="3"/>
  <c r="F310" i="3"/>
  <c r="D310" i="3"/>
  <c r="B310" i="3"/>
  <c r="A310" i="3"/>
  <c r="Q309" i="3"/>
  <c r="P309" i="3"/>
  <c r="O309" i="3"/>
  <c r="I309" i="3"/>
  <c r="R309" i="3" s="1"/>
  <c r="H309" i="3"/>
  <c r="F309" i="3"/>
  <c r="D309" i="3"/>
  <c r="B309" i="3"/>
  <c r="A309" i="3"/>
  <c r="Q308" i="3"/>
  <c r="P308" i="3"/>
  <c r="O308" i="3"/>
  <c r="I308" i="3"/>
  <c r="R308" i="3" s="1"/>
  <c r="H308" i="3"/>
  <c r="F308" i="3"/>
  <c r="D308" i="3"/>
  <c r="B308" i="3"/>
  <c r="A308" i="3"/>
  <c r="Q307" i="3"/>
  <c r="P307" i="3"/>
  <c r="O307" i="3"/>
  <c r="I307" i="3"/>
  <c r="R307" i="3" s="1"/>
  <c r="H307" i="3"/>
  <c r="F307" i="3"/>
  <c r="D307" i="3"/>
  <c r="B307" i="3"/>
  <c r="A307" i="3"/>
  <c r="Q306" i="3"/>
  <c r="P306" i="3"/>
  <c r="O306" i="3"/>
  <c r="I306" i="3"/>
  <c r="R306" i="3" s="1"/>
  <c r="H306" i="3"/>
  <c r="F306" i="3"/>
  <c r="D306" i="3"/>
  <c r="B306" i="3"/>
  <c r="A306" i="3"/>
  <c r="Q305" i="3"/>
  <c r="P305" i="3"/>
  <c r="O305" i="3"/>
  <c r="I305" i="3"/>
  <c r="R305" i="3" s="1"/>
  <c r="H305" i="3"/>
  <c r="F305" i="3"/>
  <c r="D305" i="3"/>
  <c r="B305" i="3"/>
  <c r="A305" i="3"/>
  <c r="Q304" i="3"/>
  <c r="P304" i="3"/>
  <c r="O304" i="3"/>
  <c r="I304" i="3"/>
  <c r="R304" i="3" s="1"/>
  <c r="H304" i="3"/>
  <c r="F304" i="3"/>
  <c r="D304" i="3"/>
  <c r="B304" i="3"/>
  <c r="A304" i="3"/>
  <c r="Q303" i="3"/>
  <c r="P303" i="3"/>
  <c r="O303" i="3"/>
  <c r="I303" i="3"/>
  <c r="R303" i="3" s="1"/>
  <c r="H303" i="3"/>
  <c r="F303" i="3"/>
  <c r="D303" i="3"/>
  <c r="B303" i="3"/>
  <c r="A303" i="3"/>
  <c r="Q302" i="3"/>
  <c r="P302" i="3"/>
  <c r="O302" i="3"/>
  <c r="I302" i="3"/>
  <c r="R302" i="3" s="1"/>
  <c r="H302" i="3"/>
  <c r="F302" i="3"/>
  <c r="D302" i="3"/>
  <c r="B302" i="3"/>
  <c r="A302" i="3"/>
  <c r="Q301" i="3"/>
  <c r="P301" i="3"/>
  <c r="O301" i="3"/>
  <c r="I301" i="3"/>
  <c r="R301" i="3" s="1"/>
  <c r="H301" i="3"/>
  <c r="F301" i="3"/>
  <c r="D301" i="3"/>
  <c r="B301" i="3"/>
  <c r="A301" i="3"/>
  <c r="Q300" i="3"/>
  <c r="P300" i="3"/>
  <c r="O300" i="3"/>
  <c r="I300" i="3"/>
  <c r="R300" i="3" s="1"/>
  <c r="H300" i="3"/>
  <c r="F300" i="3"/>
  <c r="D300" i="3"/>
  <c r="B300" i="3"/>
  <c r="A300" i="3"/>
  <c r="Q299" i="3"/>
  <c r="P299" i="3"/>
  <c r="O299" i="3"/>
  <c r="I299" i="3"/>
  <c r="R299" i="3" s="1"/>
  <c r="H299" i="3"/>
  <c r="F299" i="3"/>
  <c r="D299" i="3"/>
  <c r="B299" i="3"/>
  <c r="A299" i="3"/>
  <c r="Q298" i="3"/>
  <c r="P298" i="3"/>
  <c r="O298" i="3"/>
  <c r="I298" i="3"/>
  <c r="R298" i="3" s="1"/>
  <c r="H298" i="3"/>
  <c r="F298" i="3"/>
  <c r="D298" i="3"/>
  <c r="B298" i="3"/>
  <c r="A298" i="3"/>
  <c r="Q297" i="3"/>
  <c r="P297" i="3"/>
  <c r="O297" i="3"/>
  <c r="I297" i="3"/>
  <c r="R297" i="3" s="1"/>
  <c r="H297" i="3"/>
  <c r="F297" i="3"/>
  <c r="D297" i="3"/>
  <c r="B297" i="3"/>
  <c r="A297" i="3"/>
  <c r="Q296" i="3"/>
  <c r="P296" i="3"/>
  <c r="O296" i="3"/>
  <c r="I296" i="3"/>
  <c r="R296" i="3" s="1"/>
  <c r="H296" i="3"/>
  <c r="F296" i="3"/>
  <c r="D296" i="3"/>
  <c r="B296" i="3"/>
  <c r="A296" i="3"/>
  <c r="Q295" i="3"/>
  <c r="P295" i="3"/>
  <c r="O295" i="3"/>
  <c r="I295" i="3"/>
  <c r="R295" i="3" s="1"/>
  <c r="H295" i="3"/>
  <c r="F295" i="3"/>
  <c r="D295" i="3"/>
  <c r="B295" i="3"/>
  <c r="A295" i="3"/>
  <c r="Q294" i="3"/>
  <c r="P294" i="3"/>
  <c r="O294" i="3"/>
  <c r="I294" i="3"/>
  <c r="R294" i="3" s="1"/>
  <c r="H294" i="3"/>
  <c r="F294" i="3"/>
  <c r="D294" i="3"/>
  <c r="B294" i="3"/>
  <c r="A294" i="3"/>
  <c r="Q293" i="3"/>
  <c r="P293" i="3"/>
  <c r="O293" i="3"/>
  <c r="I293" i="3"/>
  <c r="R293" i="3" s="1"/>
  <c r="H293" i="3"/>
  <c r="F293" i="3"/>
  <c r="D293" i="3"/>
  <c r="B293" i="3"/>
  <c r="A293" i="3"/>
  <c r="Q292" i="3"/>
  <c r="P292" i="3"/>
  <c r="O292" i="3"/>
  <c r="I292" i="3"/>
  <c r="R292" i="3" s="1"/>
  <c r="H292" i="3"/>
  <c r="F292" i="3"/>
  <c r="D292" i="3"/>
  <c r="B292" i="3"/>
  <c r="A292" i="3"/>
  <c r="Q291" i="3"/>
  <c r="P291" i="3"/>
  <c r="O291" i="3"/>
  <c r="I291" i="3"/>
  <c r="R291" i="3" s="1"/>
  <c r="H291" i="3"/>
  <c r="F291" i="3"/>
  <c r="D291" i="3"/>
  <c r="B291" i="3"/>
  <c r="A291" i="3"/>
  <c r="Q290" i="3"/>
  <c r="P290" i="3"/>
  <c r="O290" i="3"/>
  <c r="I290" i="3"/>
  <c r="R290" i="3" s="1"/>
  <c r="H290" i="3"/>
  <c r="F290" i="3"/>
  <c r="D290" i="3"/>
  <c r="B290" i="3"/>
  <c r="A290" i="3"/>
  <c r="Q289" i="3"/>
  <c r="P289" i="3"/>
  <c r="O289" i="3"/>
  <c r="I289" i="3"/>
  <c r="R289" i="3" s="1"/>
  <c r="H289" i="3"/>
  <c r="F289" i="3"/>
  <c r="D289" i="3"/>
  <c r="B289" i="3"/>
  <c r="A289" i="3"/>
  <c r="Q288" i="3"/>
  <c r="P288" i="3"/>
  <c r="O288" i="3"/>
  <c r="I288" i="3"/>
  <c r="R288" i="3" s="1"/>
  <c r="H288" i="3"/>
  <c r="F288" i="3"/>
  <c r="D288" i="3"/>
  <c r="B288" i="3"/>
  <c r="A288" i="3"/>
  <c r="Q287" i="3"/>
  <c r="P287" i="3"/>
  <c r="O287" i="3"/>
  <c r="I287" i="3"/>
  <c r="R287" i="3" s="1"/>
  <c r="H287" i="3"/>
  <c r="F287" i="3"/>
  <c r="D287" i="3"/>
  <c r="B287" i="3"/>
  <c r="A287" i="3"/>
  <c r="Q286" i="3"/>
  <c r="P286" i="3"/>
  <c r="O286" i="3"/>
  <c r="I286" i="3"/>
  <c r="R286" i="3" s="1"/>
  <c r="H286" i="3"/>
  <c r="F286" i="3"/>
  <c r="D286" i="3"/>
  <c r="B286" i="3"/>
  <c r="A286" i="3"/>
  <c r="Q285" i="3"/>
  <c r="P285" i="3"/>
  <c r="O285" i="3"/>
  <c r="I285" i="3"/>
  <c r="R285" i="3" s="1"/>
  <c r="H285" i="3"/>
  <c r="F285" i="3"/>
  <c r="D285" i="3"/>
  <c r="B285" i="3"/>
  <c r="A285" i="3"/>
  <c r="Q284" i="3"/>
  <c r="P284" i="3"/>
  <c r="O284" i="3"/>
  <c r="I284" i="3"/>
  <c r="R284" i="3" s="1"/>
  <c r="H284" i="3"/>
  <c r="F284" i="3"/>
  <c r="D284" i="3"/>
  <c r="B284" i="3"/>
  <c r="A284" i="3"/>
  <c r="Q283" i="3"/>
  <c r="P283" i="3"/>
  <c r="O283" i="3"/>
  <c r="I283" i="3"/>
  <c r="R283" i="3" s="1"/>
  <c r="H283" i="3"/>
  <c r="F283" i="3"/>
  <c r="D283" i="3"/>
  <c r="B283" i="3"/>
  <c r="A283" i="3"/>
  <c r="Q282" i="3"/>
  <c r="P282" i="3"/>
  <c r="O282" i="3"/>
  <c r="I282" i="3"/>
  <c r="R282" i="3" s="1"/>
  <c r="H282" i="3"/>
  <c r="F282" i="3"/>
  <c r="D282" i="3"/>
  <c r="B282" i="3"/>
  <c r="A282" i="3"/>
  <c r="Q281" i="3"/>
  <c r="P281" i="3"/>
  <c r="O281" i="3"/>
  <c r="I281" i="3"/>
  <c r="R281" i="3" s="1"/>
  <c r="H281" i="3"/>
  <c r="F281" i="3"/>
  <c r="D281" i="3"/>
  <c r="B281" i="3"/>
  <c r="A281" i="3"/>
  <c r="Q280" i="3"/>
  <c r="P280" i="3"/>
  <c r="O280" i="3"/>
  <c r="I280" i="3"/>
  <c r="R280" i="3" s="1"/>
  <c r="H280" i="3"/>
  <c r="F280" i="3"/>
  <c r="D280" i="3"/>
  <c r="B280" i="3"/>
  <c r="A280" i="3"/>
  <c r="Q279" i="3"/>
  <c r="P279" i="3"/>
  <c r="O279" i="3"/>
  <c r="I279" i="3"/>
  <c r="R279" i="3" s="1"/>
  <c r="H279" i="3"/>
  <c r="F279" i="3"/>
  <c r="D279" i="3"/>
  <c r="B279" i="3"/>
  <c r="A279" i="3"/>
  <c r="Q278" i="3"/>
  <c r="P278" i="3"/>
  <c r="O278" i="3"/>
  <c r="I278" i="3"/>
  <c r="R278" i="3" s="1"/>
  <c r="H278" i="3"/>
  <c r="F278" i="3"/>
  <c r="D278" i="3"/>
  <c r="B278" i="3"/>
  <c r="A278" i="3"/>
  <c r="Q277" i="3"/>
  <c r="P277" i="3"/>
  <c r="O277" i="3"/>
  <c r="I277" i="3"/>
  <c r="R277" i="3" s="1"/>
  <c r="H277" i="3"/>
  <c r="F277" i="3"/>
  <c r="D277" i="3"/>
  <c r="B277" i="3"/>
  <c r="A277" i="3"/>
  <c r="Q276" i="3"/>
  <c r="P276" i="3"/>
  <c r="O276" i="3"/>
  <c r="I276" i="3"/>
  <c r="R276" i="3" s="1"/>
  <c r="H276" i="3"/>
  <c r="F276" i="3"/>
  <c r="D276" i="3"/>
  <c r="B276" i="3"/>
  <c r="A276" i="3"/>
  <c r="Q275" i="3"/>
  <c r="P275" i="3"/>
  <c r="O275" i="3"/>
  <c r="I275" i="3"/>
  <c r="R275" i="3" s="1"/>
  <c r="H275" i="3"/>
  <c r="F275" i="3"/>
  <c r="D275" i="3"/>
  <c r="B275" i="3"/>
  <c r="A275" i="3"/>
  <c r="Q274" i="3"/>
  <c r="P274" i="3"/>
  <c r="O274" i="3"/>
  <c r="I274" i="3"/>
  <c r="R274" i="3" s="1"/>
  <c r="H274" i="3"/>
  <c r="F274" i="3"/>
  <c r="D274" i="3"/>
  <c r="B274" i="3"/>
  <c r="A274" i="3"/>
  <c r="Q273" i="3"/>
  <c r="P273" i="3"/>
  <c r="O273" i="3"/>
  <c r="I273" i="3"/>
  <c r="R273" i="3" s="1"/>
  <c r="H273" i="3"/>
  <c r="F273" i="3"/>
  <c r="D273" i="3"/>
  <c r="B273" i="3"/>
  <c r="A273" i="3"/>
  <c r="Q272" i="3"/>
  <c r="P272" i="3"/>
  <c r="O272" i="3"/>
  <c r="I272" i="3"/>
  <c r="R272" i="3" s="1"/>
  <c r="H272" i="3"/>
  <c r="F272" i="3"/>
  <c r="D272" i="3"/>
  <c r="B272" i="3"/>
  <c r="A272" i="3"/>
  <c r="Q271" i="3"/>
  <c r="P271" i="3"/>
  <c r="O271" i="3"/>
  <c r="I271" i="3"/>
  <c r="R271" i="3" s="1"/>
  <c r="H271" i="3"/>
  <c r="F271" i="3"/>
  <c r="D271" i="3"/>
  <c r="B271" i="3"/>
  <c r="A271" i="3"/>
  <c r="Q270" i="3"/>
  <c r="P270" i="3"/>
  <c r="O270" i="3"/>
  <c r="I270" i="3"/>
  <c r="R270" i="3" s="1"/>
  <c r="H270" i="3"/>
  <c r="F270" i="3"/>
  <c r="D270" i="3"/>
  <c r="B270" i="3"/>
  <c r="A270" i="3"/>
  <c r="Q269" i="3"/>
  <c r="P269" i="3"/>
  <c r="O269" i="3"/>
  <c r="I269" i="3"/>
  <c r="R269" i="3" s="1"/>
  <c r="H269" i="3"/>
  <c r="F269" i="3"/>
  <c r="D269" i="3"/>
  <c r="B269" i="3"/>
  <c r="A269" i="3"/>
  <c r="Q268" i="3"/>
  <c r="P268" i="3"/>
  <c r="O268" i="3"/>
  <c r="I268" i="3"/>
  <c r="R268" i="3" s="1"/>
  <c r="H268" i="3"/>
  <c r="F268" i="3"/>
  <c r="D268" i="3"/>
  <c r="B268" i="3"/>
  <c r="A268" i="3"/>
  <c r="Q267" i="3"/>
  <c r="P267" i="3"/>
  <c r="O267" i="3"/>
  <c r="I267" i="3"/>
  <c r="R267" i="3" s="1"/>
  <c r="H267" i="3"/>
  <c r="F267" i="3"/>
  <c r="D267" i="3"/>
  <c r="B267" i="3"/>
  <c r="A267" i="3"/>
  <c r="Q266" i="3"/>
  <c r="P266" i="3"/>
  <c r="O266" i="3"/>
  <c r="I266" i="3"/>
  <c r="R266" i="3" s="1"/>
  <c r="H266" i="3"/>
  <c r="F266" i="3"/>
  <c r="D266" i="3"/>
  <c r="B266" i="3"/>
  <c r="A266" i="3"/>
  <c r="Q265" i="3"/>
  <c r="P265" i="3"/>
  <c r="O265" i="3"/>
  <c r="I265" i="3"/>
  <c r="R265" i="3" s="1"/>
  <c r="H265" i="3"/>
  <c r="F265" i="3"/>
  <c r="D265" i="3"/>
  <c r="B265" i="3"/>
  <c r="A265" i="3"/>
  <c r="Q264" i="3"/>
  <c r="P264" i="3"/>
  <c r="O264" i="3"/>
  <c r="I264" i="3"/>
  <c r="R264" i="3" s="1"/>
  <c r="H264" i="3"/>
  <c r="F264" i="3"/>
  <c r="D264" i="3"/>
  <c r="B264" i="3"/>
  <c r="A264" i="3"/>
  <c r="Q263" i="3"/>
  <c r="P263" i="3"/>
  <c r="O263" i="3"/>
  <c r="I263" i="3"/>
  <c r="R263" i="3" s="1"/>
  <c r="H263" i="3"/>
  <c r="F263" i="3"/>
  <c r="D263" i="3"/>
  <c r="B263" i="3"/>
  <c r="A263" i="3"/>
  <c r="Q262" i="3"/>
  <c r="P262" i="3"/>
  <c r="O262" i="3"/>
  <c r="I262" i="3"/>
  <c r="R262" i="3" s="1"/>
  <c r="H262" i="3"/>
  <c r="F262" i="3"/>
  <c r="D262" i="3"/>
  <c r="B262" i="3"/>
  <c r="A262" i="3"/>
  <c r="Q261" i="3"/>
  <c r="P261" i="3"/>
  <c r="O261" i="3"/>
  <c r="I261" i="3"/>
  <c r="R261" i="3" s="1"/>
  <c r="H261" i="3"/>
  <c r="F261" i="3"/>
  <c r="D261" i="3"/>
  <c r="B261" i="3"/>
  <c r="A261" i="3"/>
  <c r="Q260" i="3"/>
  <c r="P260" i="3"/>
  <c r="O260" i="3"/>
  <c r="I260" i="3"/>
  <c r="R260" i="3" s="1"/>
  <c r="H260" i="3"/>
  <c r="F260" i="3"/>
  <c r="D260" i="3"/>
  <c r="B260" i="3"/>
  <c r="A260" i="3"/>
  <c r="Q259" i="3"/>
  <c r="P259" i="3"/>
  <c r="O259" i="3"/>
  <c r="I259" i="3"/>
  <c r="R259" i="3" s="1"/>
  <c r="H259" i="3"/>
  <c r="F259" i="3"/>
  <c r="D259" i="3"/>
  <c r="B259" i="3"/>
  <c r="A259" i="3"/>
  <c r="Q258" i="3"/>
  <c r="P258" i="3"/>
  <c r="O258" i="3"/>
  <c r="I258" i="3"/>
  <c r="R258" i="3" s="1"/>
  <c r="H258" i="3"/>
  <c r="F258" i="3"/>
  <c r="D258" i="3"/>
  <c r="B258" i="3"/>
  <c r="A258" i="3"/>
  <c r="Q257" i="3"/>
  <c r="P257" i="3"/>
  <c r="O257" i="3"/>
  <c r="I257" i="3"/>
  <c r="R257" i="3" s="1"/>
  <c r="H257" i="3"/>
  <c r="F257" i="3"/>
  <c r="D257" i="3"/>
  <c r="B257" i="3"/>
  <c r="A257" i="3"/>
  <c r="Q256" i="3"/>
  <c r="P256" i="3"/>
  <c r="O256" i="3"/>
  <c r="I256" i="3"/>
  <c r="R256" i="3" s="1"/>
  <c r="H256" i="3"/>
  <c r="F256" i="3"/>
  <c r="D256" i="3"/>
  <c r="B256" i="3"/>
  <c r="A256" i="3"/>
  <c r="Q255" i="3"/>
  <c r="P255" i="3"/>
  <c r="O255" i="3"/>
  <c r="I255" i="3"/>
  <c r="R255" i="3" s="1"/>
  <c r="H255" i="3"/>
  <c r="F255" i="3"/>
  <c r="D255" i="3"/>
  <c r="B255" i="3"/>
  <c r="A255" i="3"/>
  <c r="Q254" i="3"/>
  <c r="P254" i="3"/>
  <c r="O254" i="3"/>
  <c r="I254" i="3"/>
  <c r="R254" i="3" s="1"/>
  <c r="H254" i="3"/>
  <c r="F254" i="3"/>
  <c r="D254" i="3"/>
  <c r="B254" i="3"/>
  <c r="A254" i="3"/>
  <c r="Q253" i="3"/>
  <c r="P253" i="3"/>
  <c r="O253" i="3"/>
  <c r="I253" i="3"/>
  <c r="R253" i="3" s="1"/>
  <c r="H253" i="3"/>
  <c r="F253" i="3"/>
  <c r="D253" i="3"/>
  <c r="B253" i="3"/>
  <c r="A253" i="3"/>
  <c r="Q252" i="3"/>
  <c r="P252" i="3"/>
  <c r="O252" i="3"/>
  <c r="I252" i="3"/>
  <c r="R252" i="3" s="1"/>
  <c r="H252" i="3"/>
  <c r="F252" i="3"/>
  <c r="D252" i="3"/>
  <c r="B252" i="3"/>
  <c r="A252" i="3"/>
  <c r="Q251" i="3"/>
  <c r="P251" i="3"/>
  <c r="O251" i="3"/>
  <c r="I251" i="3"/>
  <c r="R251" i="3" s="1"/>
  <c r="H251" i="3"/>
  <c r="F251" i="3"/>
  <c r="D251" i="3"/>
  <c r="B251" i="3"/>
  <c r="A251" i="3"/>
  <c r="Q250" i="3"/>
  <c r="P250" i="3"/>
  <c r="O250" i="3"/>
  <c r="I250" i="3"/>
  <c r="R250" i="3" s="1"/>
  <c r="H250" i="3"/>
  <c r="F250" i="3"/>
  <c r="D250" i="3"/>
  <c r="B250" i="3"/>
  <c r="A250" i="3"/>
  <c r="Q249" i="3"/>
  <c r="P249" i="3"/>
  <c r="O249" i="3"/>
  <c r="I249" i="3"/>
  <c r="R249" i="3" s="1"/>
  <c r="H249" i="3"/>
  <c r="F249" i="3"/>
  <c r="D249" i="3"/>
  <c r="B249" i="3"/>
  <c r="A249" i="3"/>
  <c r="Q248" i="3"/>
  <c r="P248" i="3"/>
  <c r="O248" i="3"/>
  <c r="I248" i="3"/>
  <c r="R248" i="3" s="1"/>
  <c r="H248" i="3"/>
  <c r="F248" i="3"/>
  <c r="D248" i="3"/>
  <c r="B248" i="3"/>
  <c r="A248" i="3"/>
  <c r="Q247" i="3"/>
  <c r="P247" i="3"/>
  <c r="O247" i="3"/>
  <c r="I247" i="3"/>
  <c r="R247" i="3" s="1"/>
  <c r="H247" i="3"/>
  <c r="F247" i="3"/>
  <c r="D247" i="3"/>
  <c r="B247" i="3"/>
  <c r="A247" i="3"/>
  <c r="Q246" i="3"/>
  <c r="P246" i="3"/>
  <c r="O246" i="3"/>
  <c r="I246" i="3"/>
  <c r="R246" i="3" s="1"/>
  <c r="H246" i="3"/>
  <c r="F246" i="3"/>
  <c r="D246" i="3"/>
  <c r="B246" i="3"/>
  <c r="A246" i="3"/>
  <c r="Q245" i="3"/>
  <c r="P245" i="3"/>
  <c r="O245" i="3"/>
  <c r="I245" i="3"/>
  <c r="R245" i="3" s="1"/>
  <c r="H245" i="3"/>
  <c r="F245" i="3"/>
  <c r="D245" i="3"/>
  <c r="B245" i="3"/>
  <c r="A245" i="3"/>
  <c r="Q244" i="3"/>
  <c r="P244" i="3"/>
  <c r="O244" i="3"/>
  <c r="I244" i="3"/>
  <c r="R244" i="3" s="1"/>
  <c r="H244" i="3"/>
  <c r="F244" i="3"/>
  <c r="D244" i="3"/>
  <c r="B244" i="3"/>
  <c r="A244" i="3"/>
  <c r="Q243" i="3"/>
  <c r="P243" i="3"/>
  <c r="O243" i="3"/>
  <c r="I243" i="3"/>
  <c r="R243" i="3" s="1"/>
  <c r="H243" i="3"/>
  <c r="F243" i="3"/>
  <c r="D243" i="3"/>
  <c r="B243" i="3"/>
  <c r="A243" i="3"/>
  <c r="Q242" i="3"/>
  <c r="P242" i="3"/>
  <c r="O242" i="3"/>
  <c r="I242" i="3"/>
  <c r="R242" i="3" s="1"/>
  <c r="H242" i="3"/>
  <c r="F242" i="3"/>
  <c r="D242" i="3"/>
  <c r="B242" i="3"/>
  <c r="A242" i="3"/>
  <c r="Q241" i="3"/>
  <c r="P241" i="3"/>
  <c r="O241" i="3"/>
  <c r="I241" i="3"/>
  <c r="R241" i="3" s="1"/>
  <c r="H241" i="3"/>
  <c r="F241" i="3"/>
  <c r="D241" i="3"/>
  <c r="B241" i="3"/>
  <c r="A241" i="3"/>
  <c r="Q240" i="3"/>
  <c r="P240" i="3"/>
  <c r="O240" i="3"/>
  <c r="I240" i="3"/>
  <c r="R240" i="3" s="1"/>
  <c r="H240" i="3"/>
  <c r="F240" i="3"/>
  <c r="D240" i="3"/>
  <c r="B240" i="3"/>
  <c r="A240" i="3"/>
  <c r="Q239" i="3"/>
  <c r="P239" i="3"/>
  <c r="O239" i="3"/>
  <c r="I239" i="3"/>
  <c r="R239" i="3" s="1"/>
  <c r="H239" i="3"/>
  <c r="F239" i="3"/>
  <c r="D239" i="3"/>
  <c r="B239" i="3"/>
  <c r="A239" i="3"/>
  <c r="Q238" i="3"/>
  <c r="P238" i="3"/>
  <c r="O238" i="3"/>
  <c r="I238" i="3"/>
  <c r="R238" i="3" s="1"/>
  <c r="H238" i="3"/>
  <c r="F238" i="3"/>
  <c r="D238" i="3"/>
  <c r="B238" i="3"/>
  <c r="A238" i="3"/>
  <c r="Q237" i="3"/>
  <c r="P237" i="3"/>
  <c r="O237" i="3"/>
  <c r="I237" i="3"/>
  <c r="R237" i="3" s="1"/>
  <c r="H237" i="3"/>
  <c r="F237" i="3"/>
  <c r="D237" i="3"/>
  <c r="B237" i="3"/>
  <c r="A237" i="3"/>
  <c r="Q236" i="3"/>
  <c r="P236" i="3"/>
  <c r="O236" i="3"/>
  <c r="I236" i="3"/>
  <c r="R236" i="3" s="1"/>
  <c r="H236" i="3"/>
  <c r="F236" i="3"/>
  <c r="D236" i="3"/>
  <c r="B236" i="3"/>
  <c r="A236" i="3"/>
  <c r="Q235" i="3"/>
  <c r="P235" i="3"/>
  <c r="O235" i="3"/>
  <c r="I235" i="3"/>
  <c r="R235" i="3" s="1"/>
  <c r="H235" i="3"/>
  <c r="F235" i="3"/>
  <c r="D235" i="3"/>
  <c r="B235" i="3"/>
  <c r="A235" i="3"/>
  <c r="Q234" i="3"/>
  <c r="P234" i="3"/>
  <c r="O234" i="3"/>
  <c r="I234" i="3"/>
  <c r="R234" i="3" s="1"/>
  <c r="H234" i="3"/>
  <c r="F234" i="3"/>
  <c r="D234" i="3"/>
  <c r="B234" i="3"/>
  <c r="A234" i="3"/>
  <c r="Q233" i="3"/>
  <c r="P233" i="3"/>
  <c r="O233" i="3"/>
  <c r="I233" i="3"/>
  <c r="R233" i="3" s="1"/>
  <c r="H233" i="3"/>
  <c r="F233" i="3"/>
  <c r="D233" i="3"/>
  <c r="B233" i="3"/>
  <c r="A233" i="3"/>
  <c r="Q232" i="3"/>
  <c r="P232" i="3"/>
  <c r="O232" i="3"/>
  <c r="I232" i="3"/>
  <c r="R232" i="3" s="1"/>
  <c r="H232" i="3"/>
  <c r="F232" i="3"/>
  <c r="D232" i="3"/>
  <c r="B232" i="3"/>
  <c r="A232" i="3"/>
  <c r="Q231" i="3"/>
  <c r="P231" i="3"/>
  <c r="O231" i="3"/>
  <c r="I231" i="3"/>
  <c r="R231" i="3" s="1"/>
  <c r="H231" i="3"/>
  <c r="F231" i="3"/>
  <c r="D231" i="3"/>
  <c r="B231" i="3"/>
  <c r="A231" i="3"/>
  <c r="Q230" i="3"/>
  <c r="P230" i="3"/>
  <c r="O230" i="3"/>
  <c r="I230" i="3"/>
  <c r="R230" i="3" s="1"/>
  <c r="H230" i="3"/>
  <c r="F230" i="3"/>
  <c r="D230" i="3"/>
  <c r="B230" i="3"/>
  <c r="A230" i="3"/>
  <c r="Q229" i="3"/>
  <c r="P229" i="3"/>
  <c r="O229" i="3"/>
  <c r="I229" i="3"/>
  <c r="R229" i="3" s="1"/>
  <c r="H229" i="3"/>
  <c r="F229" i="3"/>
  <c r="D229" i="3"/>
  <c r="B229" i="3"/>
  <c r="A229" i="3"/>
  <c r="Q228" i="3"/>
  <c r="P228" i="3"/>
  <c r="O228" i="3"/>
  <c r="I228" i="3"/>
  <c r="R228" i="3" s="1"/>
  <c r="H228" i="3"/>
  <c r="F228" i="3"/>
  <c r="D228" i="3"/>
  <c r="B228" i="3"/>
  <c r="A228" i="3"/>
  <c r="Q227" i="3"/>
  <c r="P227" i="3"/>
  <c r="O227" i="3"/>
  <c r="I227" i="3"/>
  <c r="R227" i="3" s="1"/>
  <c r="H227" i="3"/>
  <c r="F227" i="3"/>
  <c r="D227" i="3"/>
  <c r="B227" i="3"/>
  <c r="A227" i="3"/>
  <c r="Q226" i="3"/>
  <c r="P226" i="3"/>
  <c r="O226" i="3"/>
  <c r="I226" i="3"/>
  <c r="R226" i="3" s="1"/>
  <c r="H226" i="3"/>
  <c r="F226" i="3"/>
  <c r="D226" i="3"/>
  <c r="B226" i="3"/>
  <c r="A226" i="3"/>
  <c r="Q225" i="3"/>
  <c r="P225" i="3"/>
  <c r="O225" i="3"/>
  <c r="I225" i="3"/>
  <c r="R225" i="3" s="1"/>
  <c r="H225" i="3"/>
  <c r="F225" i="3"/>
  <c r="D225" i="3"/>
  <c r="B225" i="3"/>
  <c r="A225" i="3"/>
  <c r="Q224" i="3"/>
  <c r="P224" i="3"/>
  <c r="O224" i="3"/>
  <c r="I224" i="3"/>
  <c r="R224" i="3" s="1"/>
  <c r="H224" i="3"/>
  <c r="F224" i="3"/>
  <c r="D224" i="3"/>
  <c r="B224" i="3"/>
  <c r="A224" i="3"/>
  <c r="Q223" i="3"/>
  <c r="P223" i="3"/>
  <c r="O223" i="3"/>
  <c r="I223" i="3"/>
  <c r="R223" i="3" s="1"/>
  <c r="H223" i="3"/>
  <c r="F223" i="3"/>
  <c r="D223" i="3"/>
  <c r="B223" i="3"/>
  <c r="A223" i="3"/>
  <c r="Q222" i="3"/>
  <c r="P222" i="3"/>
  <c r="O222" i="3"/>
  <c r="I222" i="3"/>
  <c r="R222" i="3" s="1"/>
  <c r="H222" i="3"/>
  <c r="F222" i="3"/>
  <c r="D222" i="3"/>
  <c r="B222" i="3"/>
  <c r="A222" i="3"/>
  <c r="Q221" i="3"/>
  <c r="P221" i="3"/>
  <c r="O221" i="3"/>
  <c r="I221" i="3"/>
  <c r="R221" i="3" s="1"/>
  <c r="H221" i="3"/>
  <c r="F221" i="3"/>
  <c r="D221" i="3"/>
  <c r="B221" i="3"/>
  <c r="A221" i="3"/>
  <c r="Q220" i="3"/>
  <c r="P220" i="3"/>
  <c r="O220" i="3"/>
  <c r="I220" i="3"/>
  <c r="R220" i="3" s="1"/>
  <c r="H220" i="3"/>
  <c r="F220" i="3"/>
  <c r="D220" i="3"/>
  <c r="B220" i="3"/>
  <c r="A220" i="3"/>
  <c r="Q219" i="3"/>
  <c r="P219" i="3"/>
  <c r="O219" i="3"/>
  <c r="I219" i="3"/>
  <c r="R219" i="3" s="1"/>
  <c r="H219" i="3"/>
  <c r="F219" i="3"/>
  <c r="D219" i="3"/>
  <c r="B219" i="3"/>
  <c r="A219" i="3"/>
  <c r="Q218" i="3"/>
  <c r="P218" i="3"/>
  <c r="O218" i="3"/>
  <c r="I218" i="3"/>
  <c r="R218" i="3" s="1"/>
  <c r="H218" i="3"/>
  <c r="F218" i="3"/>
  <c r="D218" i="3"/>
  <c r="B218" i="3"/>
  <c r="A218" i="3"/>
  <c r="Q217" i="3"/>
  <c r="P217" i="3"/>
  <c r="O217" i="3"/>
  <c r="I217" i="3"/>
  <c r="R217" i="3" s="1"/>
  <c r="H217" i="3"/>
  <c r="F217" i="3"/>
  <c r="D217" i="3"/>
  <c r="B217" i="3"/>
  <c r="A217" i="3"/>
  <c r="Q216" i="3"/>
  <c r="P216" i="3"/>
  <c r="O216" i="3"/>
  <c r="I216" i="3"/>
  <c r="R216" i="3" s="1"/>
  <c r="H216" i="3"/>
  <c r="F216" i="3"/>
  <c r="D216" i="3"/>
  <c r="B216" i="3"/>
  <c r="A216" i="3"/>
  <c r="Q215" i="3"/>
  <c r="P215" i="3"/>
  <c r="O215" i="3"/>
  <c r="I215" i="3"/>
  <c r="R215" i="3" s="1"/>
  <c r="H215" i="3"/>
  <c r="F215" i="3"/>
  <c r="D215" i="3"/>
  <c r="B215" i="3"/>
  <c r="A215" i="3"/>
  <c r="Q214" i="3"/>
  <c r="P214" i="3"/>
  <c r="O214" i="3"/>
  <c r="I214" i="3"/>
  <c r="R214" i="3" s="1"/>
  <c r="H214" i="3"/>
  <c r="F214" i="3"/>
  <c r="D214" i="3"/>
  <c r="B214" i="3"/>
  <c r="A214" i="3"/>
  <c r="Q213" i="3"/>
  <c r="P213" i="3"/>
  <c r="O213" i="3"/>
  <c r="I213" i="3"/>
  <c r="R213" i="3" s="1"/>
  <c r="H213" i="3"/>
  <c r="F213" i="3"/>
  <c r="D213" i="3"/>
  <c r="B213" i="3"/>
  <c r="A213" i="3"/>
  <c r="Q212" i="3"/>
  <c r="P212" i="3"/>
  <c r="O212" i="3"/>
  <c r="I212" i="3"/>
  <c r="R212" i="3" s="1"/>
  <c r="H212" i="3"/>
  <c r="F212" i="3"/>
  <c r="D212" i="3"/>
  <c r="B212" i="3"/>
  <c r="A212" i="3"/>
  <c r="Q211" i="3"/>
  <c r="P211" i="3"/>
  <c r="O211" i="3"/>
  <c r="I211" i="3"/>
  <c r="R211" i="3" s="1"/>
  <c r="H211" i="3"/>
  <c r="F211" i="3"/>
  <c r="D211" i="3"/>
  <c r="B211" i="3"/>
  <c r="A211" i="3"/>
  <c r="Q210" i="3"/>
  <c r="P210" i="3"/>
  <c r="O210" i="3"/>
  <c r="I210" i="3"/>
  <c r="R210" i="3" s="1"/>
  <c r="H210" i="3"/>
  <c r="F210" i="3"/>
  <c r="D210" i="3"/>
  <c r="B210" i="3"/>
  <c r="A210" i="3"/>
  <c r="Q209" i="3"/>
  <c r="P209" i="3"/>
  <c r="O209" i="3"/>
  <c r="I209" i="3"/>
  <c r="R209" i="3" s="1"/>
  <c r="H209" i="3"/>
  <c r="F209" i="3"/>
  <c r="D209" i="3"/>
  <c r="B209" i="3"/>
  <c r="A209" i="3"/>
  <c r="Q208" i="3"/>
  <c r="P208" i="3"/>
  <c r="O208" i="3"/>
  <c r="I208" i="3"/>
  <c r="R208" i="3" s="1"/>
  <c r="H208" i="3"/>
  <c r="F208" i="3"/>
  <c r="D208" i="3"/>
  <c r="B208" i="3"/>
  <c r="A208" i="3"/>
  <c r="Q207" i="3"/>
  <c r="P207" i="3"/>
  <c r="O207" i="3"/>
  <c r="I207" i="3"/>
  <c r="R207" i="3" s="1"/>
  <c r="H207" i="3"/>
  <c r="F207" i="3"/>
  <c r="D207" i="3"/>
  <c r="B207" i="3"/>
  <c r="A207" i="3"/>
  <c r="Q206" i="3"/>
  <c r="P206" i="3"/>
  <c r="O206" i="3"/>
  <c r="I206" i="3"/>
  <c r="R206" i="3" s="1"/>
  <c r="H206" i="3"/>
  <c r="F206" i="3"/>
  <c r="D206" i="3"/>
  <c r="B206" i="3"/>
  <c r="A206" i="3"/>
  <c r="Q205" i="3"/>
  <c r="P205" i="3"/>
  <c r="O205" i="3"/>
  <c r="I205" i="3"/>
  <c r="R205" i="3" s="1"/>
  <c r="H205" i="3"/>
  <c r="F205" i="3"/>
  <c r="D205" i="3"/>
  <c r="B205" i="3"/>
  <c r="A205" i="3"/>
  <c r="Q204" i="3"/>
  <c r="P204" i="3"/>
  <c r="O204" i="3"/>
  <c r="I204" i="3"/>
  <c r="R204" i="3" s="1"/>
  <c r="H204" i="3"/>
  <c r="F204" i="3"/>
  <c r="D204" i="3"/>
  <c r="B204" i="3"/>
  <c r="A204" i="3"/>
  <c r="Q203" i="3"/>
  <c r="P203" i="3"/>
  <c r="O203" i="3"/>
  <c r="I203" i="3"/>
  <c r="R203" i="3" s="1"/>
  <c r="H203" i="3"/>
  <c r="F203" i="3"/>
  <c r="D203" i="3"/>
  <c r="B203" i="3"/>
  <c r="A203" i="3"/>
  <c r="Q202" i="3"/>
  <c r="P202" i="3"/>
  <c r="O202" i="3"/>
  <c r="I202" i="3"/>
  <c r="R202" i="3" s="1"/>
  <c r="H202" i="3"/>
  <c r="F202" i="3"/>
  <c r="D202" i="3"/>
  <c r="B202" i="3"/>
  <c r="A202" i="3"/>
  <c r="Q201" i="3"/>
  <c r="P201" i="3"/>
  <c r="O201" i="3"/>
  <c r="I201" i="3"/>
  <c r="R201" i="3" s="1"/>
  <c r="H201" i="3"/>
  <c r="F201" i="3"/>
  <c r="D201" i="3"/>
  <c r="B201" i="3"/>
  <c r="A201" i="3"/>
  <c r="Q200" i="3"/>
  <c r="P200" i="3"/>
  <c r="O200" i="3"/>
  <c r="I200" i="3"/>
  <c r="R200" i="3" s="1"/>
  <c r="H200" i="3"/>
  <c r="F200" i="3"/>
  <c r="D200" i="3"/>
  <c r="B200" i="3"/>
  <c r="A200" i="3"/>
  <c r="Q199" i="3"/>
  <c r="P199" i="3"/>
  <c r="O199" i="3"/>
  <c r="I199" i="3"/>
  <c r="R199" i="3" s="1"/>
  <c r="H199" i="3"/>
  <c r="F199" i="3"/>
  <c r="D199" i="3"/>
  <c r="B199" i="3"/>
  <c r="A199" i="3"/>
  <c r="Q198" i="3"/>
  <c r="P198" i="3"/>
  <c r="O198" i="3"/>
  <c r="I198" i="3"/>
  <c r="R198" i="3" s="1"/>
  <c r="H198" i="3"/>
  <c r="F198" i="3"/>
  <c r="B198" i="3"/>
  <c r="A198" i="3"/>
  <c r="Q197" i="3"/>
  <c r="P197" i="3"/>
  <c r="O197" i="3"/>
  <c r="I197" i="3"/>
  <c r="R197" i="3" s="1"/>
  <c r="H197" i="3"/>
  <c r="F197" i="3"/>
  <c r="D197" i="3"/>
  <c r="B197" i="3"/>
  <c r="A197" i="3"/>
  <c r="Q196" i="3"/>
  <c r="P196" i="3"/>
  <c r="O196" i="3"/>
  <c r="I196" i="3"/>
  <c r="R196" i="3" s="1"/>
  <c r="H196" i="3"/>
  <c r="F196" i="3"/>
  <c r="D196" i="3"/>
  <c r="B196" i="3"/>
  <c r="A196" i="3"/>
  <c r="Q195" i="3"/>
  <c r="P195" i="3"/>
  <c r="O195" i="3"/>
  <c r="I195" i="3"/>
  <c r="R195" i="3" s="1"/>
  <c r="H195" i="3"/>
  <c r="F195" i="3"/>
  <c r="D195" i="3"/>
  <c r="B195" i="3"/>
  <c r="A195" i="3"/>
  <c r="Q194" i="3"/>
  <c r="P194" i="3"/>
  <c r="O194" i="3"/>
  <c r="I194" i="3"/>
  <c r="R194" i="3" s="1"/>
  <c r="H194" i="3"/>
  <c r="F194" i="3"/>
  <c r="D194" i="3"/>
  <c r="B194" i="3"/>
  <c r="A194" i="3"/>
  <c r="Q193" i="3"/>
  <c r="P193" i="3"/>
  <c r="O193" i="3"/>
  <c r="I193" i="3"/>
  <c r="R193" i="3" s="1"/>
  <c r="H193" i="3"/>
  <c r="F193" i="3"/>
  <c r="D193" i="3"/>
  <c r="B193" i="3"/>
  <c r="A193" i="3"/>
  <c r="Q192" i="3"/>
  <c r="P192" i="3"/>
  <c r="O192" i="3"/>
  <c r="I192" i="3"/>
  <c r="R192" i="3" s="1"/>
  <c r="H192" i="3"/>
  <c r="F192" i="3"/>
  <c r="D192" i="3"/>
  <c r="B192" i="3"/>
  <c r="A192" i="3"/>
  <c r="Q191" i="3"/>
  <c r="P191" i="3"/>
  <c r="O191" i="3"/>
  <c r="I191" i="3"/>
  <c r="R191" i="3" s="1"/>
  <c r="H191" i="3"/>
  <c r="F191" i="3"/>
  <c r="D191" i="3"/>
  <c r="B191" i="3"/>
  <c r="A191" i="3"/>
  <c r="Q190" i="3"/>
  <c r="P190" i="3"/>
  <c r="O190" i="3"/>
  <c r="I190" i="3"/>
  <c r="R190" i="3" s="1"/>
  <c r="H190" i="3"/>
  <c r="F190" i="3"/>
  <c r="D190" i="3"/>
  <c r="B190" i="3"/>
  <c r="A190" i="3"/>
  <c r="Q189" i="3"/>
  <c r="P189" i="3"/>
  <c r="O189" i="3"/>
  <c r="I189" i="3"/>
  <c r="R189" i="3" s="1"/>
  <c r="H189" i="3"/>
  <c r="F189" i="3"/>
  <c r="D189" i="3"/>
  <c r="B189" i="3"/>
  <c r="A189" i="3"/>
  <c r="Q183" i="3"/>
  <c r="P183" i="3"/>
  <c r="O183" i="3"/>
  <c r="I167" i="3"/>
  <c r="H167" i="3"/>
  <c r="F167" i="3"/>
  <c r="D167" i="3"/>
  <c r="Q182" i="3"/>
  <c r="P182" i="3"/>
  <c r="O182" i="3"/>
  <c r="I162" i="3"/>
  <c r="H162" i="3"/>
  <c r="F162" i="3"/>
  <c r="D162" i="3"/>
  <c r="Q181" i="3"/>
  <c r="P181" i="3"/>
  <c r="O181" i="3"/>
  <c r="I166" i="3"/>
  <c r="H166" i="3"/>
  <c r="F166" i="3"/>
  <c r="D166" i="3"/>
  <c r="Q180" i="3"/>
  <c r="P180" i="3"/>
  <c r="O180" i="3"/>
  <c r="I176" i="3"/>
  <c r="H176" i="3"/>
  <c r="F176" i="3"/>
  <c r="D176" i="3"/>
  <c r="Q179" i="3"/>
  <c r="P179" i="3"/>
  <c r="O179" i="3"/>
  <c r="I154" i="3"/>
  <c r="H154" i="3"/>
  <c r="F154" i="3"/>
  <c r="D154" i="3"/>
  <c r="Q178" i="3"/>
  <c r="P178" i="3"/>
  <c r="O178" i="3"/>
  <c r="I165" i="3"/>
  <c r="H165" i="3"/>
  <c r="F165" i="3"/>
  <c r="D165" i="3"/>
  <c r="Q177" i="3"/>
  <c r="P177" i="3"/>
  <c r="O177" i="3"/>
  <c r="I172" i="3"/>
  <c r="H172" i="3"/>
  <c r="F172" i="3"/>
  <c r="D172" i="3"/>
  <c r="Q176" i="3"/>
  <c r="P176" i="3"/>
  <c r="O176" i="3"/>
  <c r="I158" i="3"/>
  <c r="H158" i="3"/>
  <c r="F158" i="3"/>
  <c r="D158" i="3"/>
  <c r="Q175" i="3"/>
  <c r="P175" i="3"/>
  <c r="O175" i="3"/>
  <c r="I155" i="3"/>
  <c r="H155" i="3"/>
  <c r="F155" i="3"/>
  <c r="D155" i="3"/>
  <c r="Q174" i="3"/>
  <c r="P174" i="3"/>
  <c r="O174" i="3"/>
  <c r="I178" i="3"/>
  <c r="H178" i="3"/>
  <c r="F178" i="3"/>
  <c r="D178" i="3"/>
  <c r="Q173" i="3"/>
  <c r="P173" i="3"/>
  <c r="O173" i="3"/>
  <c r="I170" i="3"/>
  <c r="H170" i="3"/>
  <c r="F170" i="3"/>
  <c r="D170" i="3"/>
  <c r="Q172" i="3"/>
  <c r="P172" i="3"/>
  <c r="O172" i="3"/>
  <c r="I173" i="3"/>
  <c r="H173" i="3"/>
  <c r="F173" i="3"/>
  <c r="D173" i="3"/>
  <c r="Q171" i="3"/>
  <c r="P171" i="3"/>
  <c r="O171" i="3"/>
  <c r="I179" i="3"/>
  <c r="H179" i="3"/>
  <c r="F179" i="3"/>
  <c r="D179" i="3"/>
  <c r="Q170" i="3"/>
  <c r="P170" i="3"/>
  <c r="O170" i="3"/>
  <c r="I183" i="3"/>
  <c r="H183" i="3"/>
  <c r="F183" i="3"/>
  <c r="D183" i="3"/>
  <c r="Q169" i="3"/>
  <c r="P169" i="3"/>
  <c r="O169" i="3"/>
  <c r="I182" i="3"/>
  <c r="H182" i="3"/>
  <c r="F182" i="3"/>
  <c r="D182" i="3"/>
  <c r="Q168" i="3"/>
  <c r="P168" i="3"/>
  <c r="O168" i="3"/>
  <c r="I177" i="3"/>
  <c r="H177" i="3"/>
  <c r="F177" i="3"/>
  <c r="D177" i="3"/>
  <c r="Q167" i="3"/>
  <c r="P167" i="3"/>
  <c r="O167" i="3"/>
  <c r="I157" i="3"/>
  <c r="R167" i="3" s="1"/>
  <c r="H157" i="3"/>
  <c r="F157" i="3"/>
  <c r="D157" i="3"/>
  <c r="Q166" i="3"/>
  <c r="P166" i="3"/>
  <c r="O166" i="3"/>
  <c r="I164" i="3"/>
  <c r="H164" i="3"/>
  <c r="F164" i="3"/>
  <c r="D164" i="3"/>
  <c r="Q165" i="3"/>
  <c r="P165" i="3"/>
  <c r="O165" i="3"/>
  <c r="I163" i="3"/>
  <c r="H163" i="3"/>
  <c r="F163" i="3"/>
  <c r="D163" i="3"/>
  <c r="Q164" i="3"/>
  <c r="P164" i="3"/>
  <c r="O164" i="3"/>
  <c r="I169" i="3"/>
  <c r="R164" i="3" s="1"/>
  <c r="H169" i="3"/>
  <c r="F169" i="3"/>
  <c r="D169" i="3"/>
  <c r="Q163" i="3"/>
  <c r="P163" i="3"/>
  <c r="O163" i="3"/>
  <c r="I180" i="3"/>
  <c r="H180" i="3"/>
  <c r="F180" i="3"/>
  <c r="D180" i="3"/>
  <c r="Q162" i="3"/>
  <c r="P162" i="3"/>
  <c r="O162" i="3"/>
  <c r="I174" i="3"/>
  <c r="R162" i="3" s="1"/>
  <c r="H174" i="3"/>
  <c r="F174" i="3"/>
  <c r="D174" i="3"/>
  <c r="Q161" i="3"/>
  <c r="P161" i="3"/>
  <c r="O161" i="3"/>
  <c r="I161" i="3"/>
  <c r="R161" i="3" s="1"/>
  <c r="H161" i="3"/>
  <c r="F161" i="3"/>
  <c r="D161" i="3"/>
  <c r="Q160" i="3"/>
  <c r="P160" i="3"/>
  <c r="O160" i="3"/>
  <c r="I181" i="3"/>
  <c r="H181" i="3"/>
  <c r="F181" i="3"/>
  <c r="D181" i="3"/>
  <c r="Q159" i="3"/>
  <c r="P159" i="3"/>
  <c r="O159" i="3"/>
  <c r="I153" i="3"/>
  <c r="H153" i="3"/>
  <c r="F153" i="3"/>
  <c r="D153" i="3"/>
  <c r="Q158" i="3"/>
  <c r="P158" i="3"/>
  <c r="O158" i="3"/>
  <c r="I175" i="3"/>
  <c r="R158" i="3" s="1"/>
  <c r="H175" i="3"/>
  <c r="F175" i="3"/>
  <c r="D175" i="3"/>
  <c r="Q157" i="3"/>
  <c r="P157" i="3"/>
  <c r="O157" i="3"/>
  <c r="I168" i="3"/>
  <c r="H168" i="3"/>
  <c r="F168" i="3"/>
  <c r="D168" i="3"/>
  <c r="Q156" i="3"/>
  <c r="P156" i="3"/>
  <c r="O156" i="3"/>
  <c r="I171" i="3"/>
  <c r="H171" i="3"/>
  <c r="F171" i="3"/>
  <c r="D171" i="3"/>
  <c r="Q155" i="3"/>
  <c r="P155" i="3"/>
  <c r="O155" i="3"/>
  <c r="I160" i="3"/>
  <c r="H160" i="3"/>
  <c r="F160" i="3"/>
  <c r="D160" i="3"/>
  <c r="Q154" i="3"/>
  <c r="P154" i="3"/>
  <c r="O154" i="3"/>
  <c r="I159" i="3"/>
  <c r="R154" i="3" s="1"/>
  <c r="H159" i="3"/>
  <c r="F159" i="3"/>
  <c r="D159" i="3"/>
  <c r="Q153" i="3"/>
  <c r="P153" i="3"/>
  <c r="O153" i="3"/>
  <c r="I156" i="3"/>
  <c r="H156" i="3"/>
  <c r="F156" i="3"/>
  <c r="D156" i="3"/>
  <c r="Q152" i="3"/>
  <c r="P152" i="3"/>
  <c r="O152" i="3"/>
  <c r="I152" i="3"/>
  <c r="R152" i="3" s="1"/>
  <c r="H152" i="3"/>
  <c r="F152" i="3"/>
  <c r="D152" i="3"/>
  <c r="Q146" i="3"/>
  <c r="P146" i="3"/>
  <c r="O146" i="3"/>
  <c r="I146" i="3"/>
  <c r="R146" i="3" s="1"/>
  <c r="F146" i="3"/>
  <c r="D146" i="3"/>
  <c r="Q145" i="3"/>
  <c r="P145" i="3"/>
  <c r="O145" i="3"/>
  <c r="I145" i="3"/>
  <c r="R145" i="3" s="1"/>
  <c r="H145" i="3"/>
  <c r="F145" i="3"/>
  <c r="D145" i="3"/>
  <c r="Q144" i="3"/>
  <c r="P144" i="3"/>
  <c r="O144" i="3"/>
  <c r="I144" i="3"/>
  <c r="R144" i="3" s="1"/>
  <c r="H144" i="3"/>
  <c r="F144" i="3"/>
  <c r="D144" i="3"/>
  <c r="Q143" i="3"/>
  <c r="P143" i="3"/>
  <c r="O143" i="3"/>
  <c r="I143" i="3"/>
  <c r="R143" i="3" s="1"/>
  <c r="H143" i="3"/>
  <c r="F143" i="3"/>
  <c r="D143" i="3"/>
  <c r="Q142" i="3"/>
  <c r="P142" i="3"/>
  <c r="O142" i="3"/>
  <c r="I142" i="3"/>
  <c r="R142" i="3" s="1"/>
  <c r="H142" i="3"/>
  <c r="F142" i="3"/>
  <c r="D142" i="3"/>
  <c r="Q141" i="3"/>
  <c r="P141" i="3"/>
  <c r="O141" i="3"/>
  <c r="I141" i="3"/>
  <c r="R141" i="3" s="1"/>
  <c r="H141" i="3"/>
  <c r="F141" i="3"/>
  <c r="D141" i="3"/>
  <c r="Q140" i="3"/>
  <c r="P140" i="3"/>
  <c r="O140" i="3"/>
  <c r="I140" i="3"/>
  <c r="R140" i="3" s="1"/>
  <c r="H140" i="3"/>
  <c r="F140" i="3"/>
  <c r="D140" i="3"/>
  <c r="Q139" i="3"/>
  <c r="P139" i="3"/>
  <c r="O139" i="3"/>
  <c r="I139" i="3"/>
  <c r="R139" i="3" s="1"/>
  <c r="H139" i="3"/>
  <c r="F139" i="3"/>
  <c r="D139" i="3"/>
  <c r="Q138" i="3"/>
  <c r="P138" i="3"/>
  <c r="O138" i="3"/>
  <c r="I138" i="3"/>
  <c r="R138" i="3" s="1"/>
  <c r="H138" i="3"/>
  <c r="F138" i="3"/>
  <c r="D138" i="3"/>
  <c r="Q137" i="3"/>
  <c r="P137" i="3"/>
  <c r="O137" i="3"/>
  <c r="I137" i="3"/>
  <c r="R137" i="3" s="1"/>
  <c r="H137" i="3"/>
  <c r="F137" i="3"/>
  <c r="D137" i="3"/>
  <c r="Q136" i="3"/>
  <c r="P136" i="3"/>
  <c r="O136" i="3"/>
  <c r="I136" i="3"/>
  <c r="R136" i="3" s="1"/>
  <c r="H136" i="3"/>
  <c r="F136" i="3"/>
  <c r="D136" i="3"/>
  <c r="Q135" i="3"/>
  <c r="P135" i="3"/>
  <c r="O135" i="3"/>
  <c r="I135" i="3"/>
  <c r="R135" i="3" s="1"/>
  <c r="H135" i="3"/>
  <c r="F135" i="3"/>
  <c r="D135" i="3"/>
  <c r="Q134" i="3"/>
  <c r="P134" i="3"/>
  <c r="O134" i="3"/>
  <c r="I134" i="3"/>
  <c r="R134" i="3" s="1"/>
  <c r="H134" i="3"/>
  <c r="F134" i="3"/>
  <c r="D134" i="3"/>
  <c r="Q133" i="3"/>
  <c r="P133" i="3"/>
  <c r="O133" i="3"/>
  <c r="I133" i="3"/>
  <c r="R133" i="3" s="1"/>
  <c r="H133" i="3"/>
  <c r="F133" i="3"/>
  <c r="D133" i="3"/>
  <c r="Q132" i="3"/>
  <c r="P132" i="3"/>
  <c r="O132" i="3"/>
  <c r="I132" i="3"/>
  <c r="R132" i="3" s="1"/>
  <c r="H132" i="3"/>
  <c r="F132" i="3"/>
  <c r="D132" i="3"/>
  <c r="Q131" i="3"/>
  <c r="P131" i="3"/>
  <c r="O131" i="3"/>
  <c r="I131" i="3"/>
  <c r="R131" i="3" s="1"/>
  <c r="H131" i="3"/>
  <c r="F131" i="3"/>
  <c r="D131" i="3"/>
  <c r="Q130" i="3"/>
  <c r="P130" i="3"/>
  <c r="O130" i="3"/>
  <c r="I130" i="3"/>
  <c r="R130" i="3" s="1"/>
  <c r="H130" i="3"/>
  <c r="F130" i="3"/>
  <c r="D130" i="3"/>
  <c r="Z129" i="3"/>
  <c r="Y129" i="3"/>
  <c r="Q129" i="3"/>
  <c r="P129" i="3"/>
  <c r="O129" i="3"/>
  <c r="I129" i="3"/>
  <c r="R129" i="3" s="1"/>
  <c r="H129" i="3"/>
  <c r="F129" i="3"/>
  <c r="D129" i="3"/>
  <c r="Z128" i="3"/>
  <c r="Y128" i="3"/>
  <c r="Q128" i="3"/>
  <c r="P128" i="3"/>
  <c r="O128" i="3"/>
  <c r="I128" i="3"/>
  <c r="R128" i="3" s="1"/>
  <c r="H128" i="3"/>
  <c r="F128" i="3"/>
  <c r="D128" i="3"/>
  <c r="Z127" i="3"/>
  <c r="Y127" i="3"/>
  <c r="Q127" i="3"/>
  <c r="P127" i="3"/>
  <c r="O127" i="3"/>
  <c r="I127" i="3"/>
  <c r="R127" i="3" s="1"/>
  <c r="H127" i="3"/>
  <c r="F127" i="3"/>
  <c r="D127" i="3"/>
  <c r="Z126" i="3"/>
  <c r="Y126" i="3"/>
  <c r="Q126" i="3"/>
  <c r="P126" i="3"/>
  <c r="O126" i="3"/>
  <c r="I126" i="3"/>
  <c r="R126" i="3" s="1"/>
  <c r="H126" i="3"/>
  <c r="F126" i="3"/>
  <c r="D126" i="3"/>
  <c r="Z125" i="3"/>
  <c r="Y125" i="3"/>
  <c r="Q125" i="3"/>
  <c r="P125" i="3"/>
  <c r="O125" i="3"/>
  <c r="I125" i="3"/>
  <c r="R125" i="3" s="1"/>
  <c r="H125" i="3"/>
  <c r="F125" i="3"/>
  <c r="D125" i="3"/>
  <c r="Z124" i="3"/>
  <c r="Y124" i="3"/>
  <c r="Q124" i="3"/>
  <c r="P124" i="3"/>
  <c r="O124" i="3"/>
  <c r="I124" i="3"/>
  <c r="R124" i="3" s="1"/>
  <c r="H124" i="3"/>
  <c r="F124" i="3"/>
  <c r="D124" i="3"/>
  <c r="Z123" i="3"/>
  <c r="Y123" i="3"/>
  <c r="Q123" i="3"/>
  <c r="P123" i="3"/>
  <c r="O123" i="3"/>
  <c r="I123" i="3"/>
  <c r="R123" i="3" s="1"/>
  <c r="H123" i="3"/>
  <c r="F123" i="3"/>
  <c r="D123" i="3"/>
  <c r="Z122" i="3"/>
  <c r="Y122" i="3"/>
  <c r="Q122" i="3"/>
  <c r="P122" i="3"/>
  <c r="O122" i="3"/>
  <c r="I122" i="3"/>
  <c r="R122" i="3" s="1"/>
  <c r="H122" i="3"/>
  <c r="F122" i="3"/>
  <c r="D122" i="3"/>
  <c r="Z121" i="3"/>
  <c r="Y121" i="3"/>
  <c r="Q121" i="3"/>
  <c r="P121" i="3"/>
  <c r="O121" i="3"/>
  <c r="I121" i="3"/>
  <c r="R121" i="3" s="1"/>
  <c r="H121" i="3"/>
  <c r="F121" i="3"/>
  <c r="D121" i="3"/>
  <c r="Z120" i="3"/>
  <c r="Y120" i="3"/>
  <c r="Q120" i="3"/>
  <c r="P120" i="3"/>
  <c r="O120" i="3"/>
  <c r="I120" i="3"/>
  <c r="R120" i="3" s="1"/>
  <c r="H120" i="3"/>
  <c r="F120" i="3"/>
  <c r="D120" i="3"/>
  <c r="Z119" i="3"/>
  <c r="Y119" i="3"/>
  <c r="Q119" i="3"/>
  <c r="P119" i="3"/>
  <c r="O119" i="3"/>
  <c r="I119" i="3"/>
  <c r="R119" i="3" s="1"/>
  <c r="H119" i="3"/>
  <c r="F119" i="3"/>
  <c r="D119" i="3"/>
  <c r="Z118" i="3"/>
  <c r="Y118" i="3"/>
  <c r="Q118" i="3"/>
  <c r="P118" i="3"/>
  <c r="O118" i="3"/>
  <c r="I118" i="3"/>
  <c r="R118" i="3" s="1"/>
  <c r="H118" i="3"/>
  <c r="F118" i="3"/>
  <c r="D118" i="3"/>
  <c r="Z117" i="3"/>
  <c r="Y117" i="3"/>
  <c r="Q117" i="3"/>
  <c r="P117" i="3"/>
  <c r="O117" i="3"/>
  <c r="I117" i="3"/>
  <c r="R117" i="3" s="1"/>
  <c r="H117" i="3"/>
  <c r="F117" i="3"/>
  <c r="D117" i="3"/>
  <c r="Z116" i="3"/>
  <c r="Y116" i="3"/>
  <c r="Q116" i="3"/>
  <c r="P116" i="3"/>
  <c r="O116" i="3"/>
  <c r="I116" i="3"/>
  <c r="R116" i="3" s="1"/>
  <c r="H116" i="3"/>
  <c r="F116" i="3"/>
  <c r="D116" i="3"/>
  <c r="Z115" i="3"/>
  <c r="Y115" i="3"/>
  <c r="Q115" i="3"/>
  <c r="P115" i="3"/>
  <c r="O115" i="3"/>
  <c r="I115" i="3"/>
  <c r="R115" i="3" s="1"/>
  <c r="H115" i="3"/>
  <c r="F115" i="3"/>
  <c r="D115" i="3"/>
  <c r="Z114" i="3"/>
  <c r="Y114" i="3"/>
  <c r="Q114" i="3"/>
  <c r="P114" i="3"/>
  <c r="O114" i="3"/>
  <c r="I114" i="3"/>
  <c r="R114" i="3" s="1"/>
  <c r="H114" i="3"/>
  <c r="F114" i="3"/>
  <c r="D114" i="3"/>
  <c r="Z113" i="3"/>
  <c r="Y113" i="3"/>
  <c r="Q113" i="3"/>
  <c r="P113" i="3"/>
  <c r="O113" i="3"/>
  <c r="I113" i="3"/>
  <c r="R113" i="3" s="1"/>
  <c r="H113" i="3"/>
  <c r="F113" i="3"/>
  <c r="D113" i="3"/>
  <c r="Z112" i="3"/>
  <c r="Y112" i="3"/>
  <c r="Q112" i="3"/>
  <c r="P112" i="3"/>
  <c r="O112" i="3"/>
  <c r="I112" i="3"/>
  <c r="R112" i="3" s="1"/>
  <c r="H112" i="3"/>
  <c r="F112" i="3"/>
  <c r="D112" i="3"/>
  <c r="Z111" i="3"/>
  <c r="Y111" i="3"/>
  <c r="Q111" i="3"/>
  <c r="P111" i="3"/>
  <c r="O111" i="3"/>
  <c r="I111" i="3"/>
  <c r="R111" i="3" s="1"/>
  <c r="H111" i="3"/>
  <c r="F111" i="3"/>
  <c r="D111" i="3"/>
  <c r="Z110" i="3"/>
  <c r="Y110" i="3"/>
  <c r="Q110" i="3"/>
  <c r="P110" i="3"/>
  <c r="O110" i="3"/>
  <c r="I110" i="3"/>
  <c r="R110" i="3" s="1"/>
  <c r="H110" i="3"/>
  <c r="F110" i="3"/>
  <c r="D110" i="3"/>
  <c r="Z109" i="3"/>
  <c r="Y109" i="3"/>
  <c r="Q109" i="3"/>
  <c r="P109" i="3"/>
  <c r="O109" i="3"/>
  <c r="I109" i="3"/>
  <c r="R109" i="3" s="1"/>
  <c r="H109" i="3"/>
  <c r="F109" i="3"/>
  <c r="D109" i="3"/>
  <c r="Z108" i="3"/>
  <c r="Y108" i="3"/>
  <c r="Q108" i="3"/>
  <c r="P108" i="3"/>
  <c r="O108" i="3"/>
  <c r="I108" i="3"/>
  <c r="R108" i="3" s="1"/>
  <c r="H108" i="3"/>
  <c r="F108" i="3"/>
  <c r="D108" i="3"/>
  <c r="Z107" i="3"/>
  <c r="Y107" i="3"/>
  <c r="Q107" i="3"/>
  <c r="P107" i="3"/>
  <c r="O107" i="3"/>
  <c r="I107" i="3"/>
  <c r="R107" i="3" s="1"/>
  <c r="H107" i="3"/>
  <c r="F107" i="3"/>
  <c r="D107" i="3"/>
  <c r="Z106" i="3"/>
  <c r="Y106" i="3"/>
  <c r="Q106" i="3"/>
  <c r="P106" i="3"/>
  <c r="O106" i="3"/>
  <c r="I106" i="3"/>
  <c r="R106" i="3" s="1"/>
  <c r="H106" i="3"/>
  <c r="F106" i="3"/>
  <c r="D106" i="3"/>
  <c r="Z105" i="3"/>
  <c r="Y105" i="3"/>
  <c r="Q105" i="3"/>
  <c r="P105" i="3"/>
  <c r="O105" i="3"/>
  <c r="I105" i="3"/>
  <c r="R105" i="3" s="1"/>
  <c r="H105" i="3"/>
  <c r="F105" i="3"/>
  <c r="D105" i="3"/>
  <c r="Z104" i="3"/>
  <c r="Y104" i="3"/>
  <c r="Q104" i="3"/>
  <c r="P104" i="3"/>
  <c r="O104" i="3"/>
  <c r="I104" i="3"/>
  <c r="R104" i="3" s="1"/>
  <c r="H104" i="3"/>
  <c r="F104" i="3"/>
  <c r="D104" i="3"/>
  <c r="Z103" i="3"/>
  <c r="Y103" i="3"/>
  <c r="Q103" i="3"/>
  <c r="P103" i="3"/>
  <c r="O103" i="3"/>
  <c r="I103" i="3"/>
  <c r="R103" i="3" s="1"/>
  <c r="H103" i="3"/>
  <c r="F103" i="3"/>
  <c r="D103" i="3"/>
  <c r="Z102" i="3"/>
  <c r="Y102" i="3"/>
  <c r="Q102" i="3"/>
  <c r="P102" i="3"/>
  <c r="O102" i="3"/>
  <c r="I102" i="3"/>
  <c r="R102" i="3" s="1"/>
  <c r="H102" i="3"/>
  <c r="F102" i="3"/>
  <c r="D102" i="3"/>
  <c r="Z101" i="3"/>
  <c r="Y101" i="3"/>
  <c r="Q101" i="3"/>
  <c r="P101" i="3"/>
  <c r="O101" i="3"/>
  <c r="I101" i="3"/>
  <c r="R101" i="3" s="1"/>
  <c r="H101" i="3"/>
  <c r="F101" i="3"/>
  <c r="D101" i="3"/>
  <c r="Z100" i="3"/>
  <c r="Y100" i="3"/>
  <c r="Q100" i="3"/>
  <c r="P100" i="3"/>
  <c r="O100" i="3"/>
  <c r="I100" i="3"/>
  <c r="R100" i="3" s="1"/>
  <c r="H100" i="3"/>
  <c r="F100" i="3"/>
  <c r="D100" i="3"/>
  <c r="Z99" i="3"/>
  <c r="Y99" i="3"/>
  <c r="Q99" i="3"/>
  <c r="P99" i="3"/>
  <c r="O99" i="3"/>
  <c r="I99" i="3"/>
  <c r="R99" i="3" s="1"/>
  <c r="H99" i="3"/>
  <c r="F99" i="3"/>
  <c r="D99" i="3"/>
  <c r="Z98" i="3"/>
  <c r="Y98" i="3"/>
  <c r="Q98" i="3"/>
  <c r="P98" i="3"/>
  <c r="O98" i="3"/>
  <c r="I98" i="3"/>
  <c r="R98" i="3" s="1"/>
  <c r="H98" i="3"/>
  <c r="F98" i="3"/>
  <c r="D98" i="3"/>
  <c r="Z97" i="3"/>
  <c r="Y97" i="3"/>
  <c r="Q97" i="3"/>
  <c r="P97" i="3"/>
  <c r="O97" i="3"/>
  <c r="I97" i="3"/>
  <c r="R97" i="3" s="1"/>
  <c r="H97" i="3"/>
  <c r="F97" i="3"/>
  <c r="D97" i="3"/>
  <c r="Z96" i="3"/>
  <c r="Y96" i="3"/>
  <c r="Q96" i="3"/>
  <c r="P96" i="3"/>
  <c r="O96" i="3"/>
  <c r="I96" i="3"/>
  <c r="R96" i="3" s="1"/>
  <c r="H96" i="3"/>
  <c r="F96" i="3"/>
  <c r="D96" i="3"/>
  <c r="Z95" i="3"/>
  <c r="Y95" i="3"/>
  <c r="Q95" i="3"/>
  <c r="P95" i="3"/>
  <c r="O95" i="3"/>
  <c r="I95" i="3"/>
  <c r="R95" i="3" s="1"/>
  <c r="H95" i="3"/>
  <c r="F95" i="3"/>
  <c r="D95" i="3"/>
  <c r="Z94" i="3"/>
  <c r="Y94" i="3"/>
  <c r="Q94" i="3"/>
  <c r="P94" i="3"/>
  <c r="O94" i="3"/>
  <c r="I94" i="3"/>
  <c r="R94" i="3" s="1"/>
  <c r="H94" i="3"/>
  <c r="F94" i="3"/>
  <c r="D94" i="3"/>
  <c r="Z93" i="3"/>
  <c r="Y93" i="3"/>
  <c r="Q93" i="3"/>
  <c r="P93" i="3"/>
  <c r="O93" i="3"/>
  <c r="I93" i="3"/>
  <c r="R93" i="3" s="1"/>
  <c r="H93" i="3"/>
  <c r="F93" i="3"/>
  <c r="D93" i="3"/>
  <c r="Z92" i="3"/>
  <c r="Y92" i="3"/>
  <c r="Q92" i="3"/>
  <c r="P92" i="3"/>
  <c r="O92" i="3"/>
  <c r="I92" i="3"/>
  <c r="R92" i="3" s="1"/>
  <c r="H92" i="3"/>
  <c r="F92" i="3"/>
  <c r="D92" i="3"/>
  <c r="Z91" i="3"/>
  <c r="Y91" i="3"/>
  <c r="Q91" i="3"/>
  <c r="P91" i="3"/>
  <c r="O91" i="3"/>
  <c r="I91" i="3"/>
  <c r="R91" i="3" s="1"/>
  <c r="H91" i="3"/>
  <c r="F91" i="3"/>
  <c r="D91" i="3"/>
  <c r="Z90" i="3"/>
  <c r="Y90" i="3"/>
  <c r="Q90" i="3"/>
  <c r="P90" i="3"/>
  <c r="O90" i="3"/>
  <c r="I90" i="3"/>
  <c r="R90" i="3" s="1"/>
  <c r="H90" i="3"/>
  <c r="F90" i="3"/>
  <c r="D90" i="3"/>
  <c r="Z89" i="3"/>
  <c r="Y89" i="3"/>
  <c r="Q89" i="3"/>
  <c r="P89" i="3"/>
  <c r="O89" i="3"/>
  <c r="I89" i="3"/>
  <c r="R89" i="3" s="1"/>
  <c r="H89" i="3"/>
  <c r="F89" i="3"/>
  <c r="D89" i="3"/>
  <c r="Z88" i="3"/>
  <c r="Y88" i="3"/>
  <c r="Q88" i="3"/>
  <c r="P88" i="3"/>
  <c r="O88" i="3"/>
  <c r="I66" i="3"/>
  <c r="H66" i="3"/>
  <c r="F66" i="3"/>
  <c r="D66" i="3"/>
  <c r="Z87" i="3"/>
  <c r="Y87" i="3"/>
  <c r="Q87" i="3"/>
  <c r="P87" i="3"/>
  <c r="O87" i="3"/>
  <c r="I87" i="3"/>
  <c r="R87" i="3" s="1"/>
  <c r="H87" i="3"/>
  <c r="F87" i="3"/>
  <c r="D87" i="3"/>
  <c r="Z86" i="3"/>
  <c r="Y86" i="3"/>
  <c r="Q86" i="3"/>
  <c r="P86" i="3"/>
  <c r="O86" i="3"/>
  <c r="I88" i="3"/>
  <c r="H88" i="3"/>
  <c r="F88" i="3"/>
  <c r="D88" i="3"/>
  <c r="Z85" i="3"/>
  <c r="Y85" i="3"/>
  <c r="Q85" i="3"/>
  <c r="P85" i="3"/>
  <c r="O85" i="3"/>
  <c r="I59" i="3"/>
  <c r="H59" i="3"/>
  <c r="F59" i="3"/>
  <c r="D59" i="3"/>
  <c r="Z84" i="3"/>
  <c r="Y84" i="3"/>
  <c r="Q84" i="3"/>
  <c r="P84" i="3"/>
  <c r="O84" i="3"/>
  <c r="I52" i="3"/>
  <c r="H52" i="3"/>
  <c r="F52" i="3"/>
  <c r="D52" i="3"/>
  <c r="Z83" i="3"/>
  <c r="Y83" i="3"/>
  <c r="Q83" i="3"/>
  <c r="P83" i="3"/>
  <c r="O83" i="3"/>
  <c r="I73" i="3"/>
  <c r="H73" i="3"/>
  <c r="F73" i="3"/>
  <c r="D73" i="3"/>
  <c r="Z82" i="3"/>
  <c r="Y82" i="3"/>
  <c r="Q82" i="3"/>
  <c r="P82" i="3"/>
  <c r="O82" i="3"/>
  <c r="I77" i="3"/>
  <c r="H77" i="3"/>
  <c r="F77" i="3"/>
  <c r="D77" i="3"/>
  <c r="Z81" i="3"/>
  <c r="Y81" i="3"/>
  <c r="Q81" i="3"/>
  <c r="P81" i="3"/>
  <c r="O81" i="3"/>
  <c r="I53" i="3"/>
  <c r="H53" i="3"/>
  <c r="F53" i="3"/>
  <c r="D53" i="3"/>
  <c r="Z80" i="3"/>
  <c r="Y80" i="3"/>
  <c r="Q80" i="3"/>
  <c r="P80" i="3"/>
  <c r="O80" i="3"/>
  <c r="I85" i="3"/>
  <c r="H85" i="3"/>
  <c r="F85" i="3"/>
  <c r="D85" i="3"/>
  <c r="Z79" i="3"/>
  <c r="Y79" i="3"/>
  <c r="Q79" i="3"/>
  <c r="P79" i="3"/>
  <c r="O79" i="3"/>
  <c r="I72" i="3"/>
  <c r="H72" i="3"/>
  <c r="F72" i="3"/>
  <c r="D72" i="3"/>
  <c r="Z78" i="3"/>
  <c r="Y78" i="3"/>
  <c r="Q78" i="3"/>
  <c r="P78" i="3"/>
  <c r="O78" i="3"/>
  <c r="I78" i="3"/>
  <c r="R78" i="3" s="1"/>
  <c r="H78" i="3"/>
  <c r="F78" i="3"/>
  <c r="D78" i="3"/>
  <c r="Z77" i="3"/>
  <c r="Y77" i="3"/>
  <c r="Q77" i="3"/>
  <c r="P77" i="3"/>
  <c r="O77" i="3"/>
  <c r="I74" i="3"/>
  <c r="R77" i="3" s="1"/>
  <c r="H74" i="3"/>
  <c r="F74" i="3"/>
  <c r="D74" i="3"/>
  <c r="Z76" i="3"/>
  <c r="Y76" i="3"/>
  <c r="Q76" i="3"/>
  <c r="P76" i="3"/>
  <c r="O76" i="3"/>
  <c r="I58" i="3"/>
  <c r="H58" i="3"/>
  <c r="F58" i="3"/>
  <c r="D58" i="3"/>
  <c r="Z75" i="3"/>
  <c r="Y75" i="3"/>
  <c r="Q75" i="3"/>
  <c r="P75" i="3"/>
  <c r="O75" i="3"/>
  <c r="I86" i="3"/>
  <c r="H86" i="3"/>
  <c r="F86" i="3"/>
  <c r="D86" i="3"/>
  <c r="Z74" i="3"/>
  <c r="Y74" i="3"/>
  <c r="Q74" i="3"/>
  <c r="P74" i="3"/>
  <c r="O74" i="3"/>
  <c r="I83" i="3"/>
  <c r="H83" i="3"/>
  <c r="F83" i="3"/>
  <c r="D83" i="3"/>
  <c r="Z73" i="3"/>
  <c r="Y73" i="3"/>
  <c r="Q73" i="3"/>
  <c r="P73" i="3"/>
  <c r="O73" i="3"/>
  <c r="I62" i="3"/>
  <c r="H62" i="3"/>
  <c r="F62" i="3"/>
  <c r="D62" i="3"/>
  <c r="Z72" i="3"/>
  <c r="Y72" i="3"/>
  <c r="Q72" i="3"/>
  <c r="P72" i="3"/>
  <c r="O72" i="3"/>
  <c r="I75" i="3"/>
  <c r="H75" i="3"/>
  <c r="F75" i="3"/>
  <c r="D75" i="3"/>
  <c r="Z71" i="3"/>
  <c r="Y71" i="3"/>
  <c r="Q71" i="3"/>
  <c r="P71" i="3"/>
  <c r="O71" i="3"/>
  <c r="I76" i="3"/>
  <c r="H76" i="3"/>
  <c r="F76" i="3"/>
  <c r="D76" i="3"/>
  <c r="Z70" i="3"/>
  <c r="Y70" i="3"/>
  <c r="Q70" i="3"/>
  <c r="P70" i="3"/>
  <c r="O70" i="3"/>
  <c r="I61" i="3"/>
  <c r="H61" i="3"/>
  <c r="F61" i="3"/>
  <c r="D61" i="3"/>
  <c r="Z69" i="3"/>
  <c r="Y69" i="3"/>
  <c r="Q69" i="3"/>
  <c r="P69" i="3"/>
  <c r="O69" i="3"/>
  <c r="I82" i="3"/>
  <c r="H82" i="3"/>
  <c r="F82" i="3"/>
  <c r="D82" i="3"/>
  <c r="Z68" i="3"/>
  <c r="Y68" i="3"/>
  <c r="Q68" i="3"/>
  <c r="P68" i="3"/>
  <c r="O68" i="3"/>
  <c r="I67" i="3"/>
  <c r="H67" i="3"/>
  <c r="F67" i="3"/>
  <c r="D67" i="3"/>
  <c r="Z67" i="3"/>
  <c r="Y67" i="3"/>
  <c r="Q67" i="3"/>
  <c r="P67" i="3"/>
  <c r="O67" i="3"/>
  <c r="I57" i="3"/>
  <c r="H57" i="3"/>
  <c r="F57" i="3"/>
  <c r="D57" i="3"/>
  <c r="Z66" i="3"/>
  <c r="Y66" i="3"/>
  <c r="Q66" i="3"/>
  <c r="P66" i="3"/>
  <c r="O66" i="3"/>
  <c r="I65" i="3"/>
  <c r="H65" i="3"/>
  <c r="F65" i="3"/>
  <c r="D65" i="3"/>
  <c r="Z65" i="3"/>
  <c r="Y65" i="3"/>
  <c r="Q65" i="3"/>
  <c r="P65" i="3"/>
  <c r="O65" i="3"/>
  <c r="I84" i="3"/>
  <c r="R65" i="3" s="1"/>
  <c r="H84" i="3"/>
  <c r="F84" i="3"/>
  <c r="D84" i="3"/>
  <c r="Z64" i="3"/>
  <c r="Y64" i="3"/>
  <c r="Q64" i="3"/>
  <c r="P64" i="3"/>
  <c r="O64" i="3"/>
  <c r="I68" i="3"/>
  <c r="H68" i="3"/>
  <c r="F68" i="3"/>
  <c r="D68" i="3"/>
  <c r="Z63" i="3"/>
  <c r="Y63" i="3"/>
  <c r="Q63" i="3"/>
  <c r="P63" i="3"/>
  <c r="O63" i="3"/>
  <c r="I51" i="3"/>
  <c r="H51" i="3"/>
  <c r="F51" i="3"/>
  <c r="D51" i="3"/>
  <c r="Z62" i="3"/>
  <c r="Y62" i="3"/>
  <c r="Q62" i="3"/>
  <c r="P62" i="3"/>
  <c r="O62" i="3"/>
  <c r="I69" i="3"/>
  <c r="R62" i="3" s="1"/>
  <c r="H69" i="3"/>
  <c r="F69" i="3"/>
  <c r="D69" i="3"/>
  <c r="Z61" i="3"/>
  <c r="Y61" i="3"/>
  <c r="Q61" i="3"/>
  <c r="P61" i="3"/>
  <c r="O61" i="3"/>
  <c r="I81" i="3"/>
  <c r="H81" i="3"/>
  <c r="F81" i="3"/>
  <c r="D81" i="3"/>
  <c r="Z60" i="3"/>
  <c r="Y60" i="3"/>
  <c r="Q60" i="3"/>
  <c r="P60" i="3"/>
  <c r="O60" i="3"/>
  <c r="I79" i="3"/>
  <c r="H79" i="3"/>
  <c r="F79" i="3"/>
  <c r="D79" i="3"/>
  <c r="Z59" i="3"/>
  <c r="Y59" i="3"/>
  <c r="Q59" i="3"/>
  <c r="P59" i="3"/>
  <c r="O59" i="3"/>
  <c r="I54" i="3"/>
  <c r="R59" i="3" s="1"/>
  <c r="H54" i="3"/>
  <c r="F54" i="3"/>
  <c r="D54" i="3"/>
  <c r="Z58" i="3"/>
  <c r="Y58" i="3"/>
  <c r="Q58" i="3"/>
  <c r="P58" i="3"/>
  <c r="O58" i="3"/>
  <c r="I70" i="3"/>
  <c r="H70" i="3"/>
  <c r="F70" i="3"/>
  <c r="D70" i="3"/>
  <c r="Z57" i="3"/>
  <c r="Y57" i="3"/>
  <c r="Q57" i="3"/>
  <c r="P57" i="3"/>
  <c r="O57" i="3"/>
  <c r="I50" i="3"/>
  <c r="H50" i="3"/>
  <c r="F50" i="3"/>
  <c r="D50" i="3"/>
  <c r="Z56" i="3"/>
  <c r="Y56" i="3"/>
  <c r="Q56" i="3"/>
  <c r="P56" i="3"/>
  <c r="O56" i="3"/>
  <c r="I60" i="3"/>
  <c r="H60" i="3"/>
  <c r="F60" i="3"/>
  <c r="D60" i="3"/>
  <c r="Z55" i="3"/>
  <c r="Y55" i="3"/>
  <c r="Q55" i="3"/>
  <c r="P55" i="3"/>
  <c r="O55" i="3"/>
  <c r="I64" i="3"/>
  <c r="H64" i="3"/>
  <c r="F64" i="3"/>
  <c r="D64" i="3"/>
  <c r="Z54" i="3"/>
  <c r="Y54" i="3"/>
  <c r="Q54" i="3"/>
  <c r="P54" i="3"/>
  <c r="O54" i="3"/>
  <c r="I63" i="3"/>
  <c r="H63" i="3"/>
  <c r="F63" i="3"/>
  <c r="D63" i="3"/>
  <c r="Z53" i="3"/>
  <c r="Y53" i="3"/>
  <c r="Q53" i="3"/>
  <c r="P53" i="3"/>
  <c r="O53" i="3"/>
  <c r="I80" i="3"/>
  <c r="H80" i="3"/>
  <c r="F80" i="3"/>
  <c r="D80" i="3"/>
  <c r="Z52" i="3"/>
  <c r="Y52" i="3"/>
  <c r="Q52" i="3"/>
  <c r="P52" i="3"/>
  <c r="O52" i="3"/>
  <c r="I55" i="3"/>
  <c r="R52" i="3" s="1"/>
  <c r="H55" i="3"/>
  <c r="F55" i="3"/>
  <c r="D55" i="3"/>
  <c r="Z51" i="3"/>
  <c r="Y51" i="3"/>
  <c r="Q51" i="3"/>
  <c r="P51" i="3"/>
  <c r="O51" i="3"/>
  <c r="I56" i="3"/>
  <c r="H56" i="3"/>
  <c r="F56" i="3"/>
  <c r="D56" i="3"/>
  <c r="Z50" i="3"/>
  <c r="Y50" i="3"/>
  <c r="Q50" i="3"/>
  <c r="P50" i="3"/>
  <c r="O50" i="3"/>
  <c r="I71" i="3"/>
  <c r="H71" i="3"/>
  <c r="F71" i="3"/>
  <c r="D71" i="3"/>
  <c r="Z49" i="3"/>
  <c r="Y49" i="3"/>
  <c r="Q49" i="3"/>
  <c r="P49" i="3"/>
  <c r="O49" i="3"/>
  <c r="I49" i="3"/>
  <c r="R49" i="3" s="1"/>
  <c r="H49" i="3"/>
  <c r="F49" i="3"/>
  <c r="D49" i="3"/>
  <c r="Z48" i="3"/>
  <c r="Y48" i="3"/>
  <c r="Q48" i="3"/>
  <c r="P48" i="3"/>
  <c r="O48" i="3"/>
  <c r="I48" i="3"/>
  <c r="R48" i="3" s="1"/>
  <c r="H48" i="3"/>
  <c r="F48" i="3"/>
  <c r="D48" i="3"/>
  <c r="Z47" i="3"/>
  <c r="Y47" i="3"/>
  <c r="Q47" i="3"/>
  <c r="P47" i="3"/>
  <c r="O47" i="3"/>
  <c r="I47" i="3"/>
  <c r="R47" i="3" s="1"/>
  <c r="H47" i="3"/>
  <c r="F47" i="3"/>
  <c r="D47" i="3"/>
  <c r="Z46" i="3"/>
  <c r="Y46" i="3"/>
  <c r="Q46" i="3"/>
  <c r="P46" i="3"/>
  <c r="O46" i="3"/>
  <c r="I46" i="3"/>
  <c r="R46" i="3" s="1"/>
  <c r="H46" i="3"/>
  <c r="F46" i="3"/>
  <c r="D46" i="3"/>
  <c r="Z45" i="3"/>
  <c r="Y45" i="3"/>
  <c r="Q45" i="3"/>
  <c r="P45" i="3"/>
  <c r="O45" i="3"/>
  <c r="I45" i="3"/>
  <c r="R45" i="3" s="1"/>
  <c r="H45" i="3"/>
  <c r="F45" i="3"/>
  <c r="D45" i="3"/>
  <c r="Z44" i="3"/>
  <c r="Y44" i="3"/>
  <c r="Q44" i="3"/>
  <c r="P44" i="3"/>
  <c r="O44" i="3"/>
  <c r="I44" i="3"/>
  <c r="R44" i="3" s="1"/>
  <c r="H44" i="3"/>
  <c r="F44" i="3"/>
  <c r="D44" i="3"/>
  <c r="Z43" i="3"/>
  <c r="Y43" i="3"/>
  <c r="Q43" i="3"/>
  <c r="P43" i="3"/>
  <c r="O43" i="3"/>
  <c r="I43" i="3"/>
  <c r="R43" i="3" s="1"/>
  <c r="H43" i="3"/>
  <c r="F43" i="3"/>
  <c r="D43" i="3"/>
  <c r="Z42" i="3"/>
  <c r="Y42" i="3"/>
  <c r="Q42" i="3"/>
  <c r="P42" i="3"/>
  <c r="O42" i="3"/>
  <c r="I42" i="3"/>
  <c r="R42" i="3" s="1"/>
  <c r="H42" i="3"/>
  <c r="F42" i="3"/>
  <c r="D42" i="3"/>
  <c r="Z41" i="3"/>
  <c r="Y41" i="3"/>
  <c r="Q41" i="3"/>
  <c r="P41" i="3"/>
  <c r="O41" i="3"/>
  <c r="I41" i="3"/>
  <c r="R41" i="3" s="1"/>
  <c r="H41" i="3"/>
  <c r="F41" i="3"/>
  <c r="D41" i="3"/>
  <c r="Z40" i="3"/>
  <c r="Y40" i="3"/>
  <c r="Q40" i="3"/>
  <c r="P40" i="3"/>
  <c r="O40" i="3"/>
  <c r="I40" i="3"/>
  <c r="R40" i="3" s="1"/>
  <c r="H40" i="3"/>
  <c r="F40" i="3"/>
  <c r="D40" i="3"/>
  <c r="Z39" i="3"/>
  <c r="Y39" i="3"/>
  <c r="Q39" i="3"/>
  <c r="P39" i="3"/>
  <c r="O39" i="3"/>
  <c r="I39" i="3"/>
  <c r="R39" i="3" s="1"/>
  <c r="H39" i="3"/>
  <c r="F39" i="3"/>
  <c r="D39" i="3"/>
  <c r="Z38" i="3"/>
  <c r="Y38" i="3"/>
  <c r="Q38" i="3"/>
  <c r="P38" i="3"/>
  <c r="O38" i="3"/>
  <c r="I38" i="3"/>
  <c r="R38" i="3" s="1"/>
  <c r="H38" i="3"/>
  <c r="F38" i="3"/>
  <c r="D38" i="3"/>
  <c r="Z37" i="3"/>
  <c r="Y37" i="3"/>
  <c r="Q37" i="3"/>
  <c r="P37" i="3"/>
  <c r="O37" i="3"/>
  <c r="I37" i="3"/>
  <c r="R37" i="3" s="1"/>
  <c r="H37" i="3"/>
  <c r="F37" i="3"/>
  <c r="D37" i="3"/>
  <c r="Z36" i="3"/>
  <c r="Y36" i="3"/>
  <c r="Q36" i="3"/>
  <c r="P36" i="3"/>
  <c r="O36" i="3"/>
  <c r="I36" i="3"/>
  <c r="R36" i="3" s="1"/>
  <c r="H36" i="3"/>
  <c r="F36" i="3"/>
  <c r="D36" i="3"/>
  <c r="Z35" i="3"/>
  <c r="Y35" i="3"/>
  <c r="Q35" i="3"/>
  <c r="P35" i="3"/>
  <c r="O35" i="3"/>
  <c r="I35" i="3"/>
  <c r="R35" i="3" s="1"/>
  <c r="H35" i="3"/>
  <c r="F35" i="3"/>
  <c r="D35" i="3"/>
  <c r="Z34" i="3"/>
  <c r="Y34" i="3"/>
  <c r="Q34" i="3"/>
  <c r="P34" i="3"/>
  <c r="O34" i="3"/>
  <c r="I34" i="3"/>
  <c r="R34" i="3" s="1"/>
  <c r="H34" i="3"/>
  <c r="F34" i="3"/>
  <c r="D34" i="3"/>
  <c r="Z33" i="3"/>
  <c r="Y33" i="3"/>
  <c r="Q33" i="3"/>
  <c r="P33" i="3"/>
  <c r="O33" i="3"/>
  <c r="I33" i="3"/>
  <c r="R33" i="3" s="1"/>
  <c r="H33" i="3"/>
  <c r="F33" i="3"/>
  <c r="D33" i="3"/>
  <c r="Z32" i="3"/>
  <c r="Y32" i="3"/>
  <c r="Q32" i="3"/>
  <c r="P32" i="3"/>
  <c r="O32" i="3"/>
  <c r="I32" i="3"/>
  <c r="R32" i="3" s="1"/>
  <c r="H32" i="3"/>
  <c r="F32" i="3"/>
  <c r="D32" i="3"/>
  <c r="Z31" i="3"/>
  <c r="Y31" i="3"/>
  <c r="Q31" i="3"/>
  <c r="P31" i="3"/>
  <c r="O31" i="3"/>
  <c r="I31" i="3"/>
  <c r="R31" i="3" s="1"/>
  <c r="H31" i="3"/>
  <c r="F31" i="3"/>
  <c r="D31" i="3"/>
  <c r="Z30" i="3"/>
  <c r="Y30" i="3"/>
  <c r="Q30" i="3"/>
  <c r="P30" i="3"/>
  <c r="O30" i="3"/>
  <c r="I30" i="3"/>
  <c r="R30" i="3" s="1"/>
  <c r="H30" i="3"/>
  <c r="F30" i="3"/>
  <c r="D30" i="3"/>
  <c r="Z29" i="3"/>
  <c r="Y29" i="3"/>
  <c r="Q29" i="3"/>
  <c r="P29" i="3"/>
  <c r="O29" i="3"/>
  <c r="I29" i="3"/>
  <c r="R29" i="3" s="1"/>
  <c r="H29" i="3"/>
  <c r="F29" i="3"/>
  <c r="D29" i="3"/>
  <c r="Z28" i="3"/>
  <c r="Y28" i="3"/>
  <c r="Q28" i="3"/>
  <c r="P28" i="3"/>
  <c r="O28" i="3"/>
  <c r="I28" i="3"/>
  <c r="R28" i="3" s="1"/>
  <c r="H28" i="3"/>
  <c r="F28" i="3"/>
  <c r="D28" i="3"/>
  <c r="Z27" i="3"/>
  <c r="Y27" i="3"/>
  <c r="Q27" i="3"/>
  <c r="P27" i="3"/>
  <c r="O27" i="3"/>
  <c r="I27" i="3"/>
  <c r="R27" i="3" s="1"/>
  <c r="H27" i="3"/>
  <c r="F27" i="3"/>
  <c r="D27" i="3"/>
  <c r="Z26" i="3"/>
  <c r="Y26" i="3"/>
  <c r="Q26" i="3"/>
  <c r="P26" i="3"/>
  <c r="O26" i="3"/>
  <c r="I26" i="3"/>
  <c r="R26" i="3" s="1"/>
  <c r="H26" i="3"/>
  <c r="F26" i="3"/>
  <c r="D26" i="3"/>
  <c r="Z25" i="3"/>
  <c r="Y25" i="3"/>
  <c r="Q25" i="3"/>
  <c r="P25" i="3"/>
  <c r="O25" i="3"/>
  <c r="I25" i="3"/>
  <c r="R25" i="3" s="1"/>
  <c r="H25" i="3"/>
  <c r="F25" i="3"/>
  <c r="D25" i="3"/>
  <c r="Z24" i="3"/>
  <c r="Y24" i="3"/>
  <c r="Q24" i="3"/>
  <c r="P24" i="3"/>
  <c r="O24" i="3"/>
  <c r="I24" i="3"/>
  <c r="R24" i="3" s="1"/>
  <c r="H24" i="3"/>
  <c r="F24" i="3"/>
  <c r="D24" i="3"/>
  <c r="Z23" i="3"/>
  <c r="Y23" i="3"/>
  <c r="Q23" i="3"/>
  <c r="P23" i="3"/>
  <c r="O23" i="3"/>
  <c r="I23" i="3"/>
  <c r="R23" i="3" s="1"/>
  <c r="H23" i="3"/>
  <c r="F23" i="3"/>
  <c r="D23" i="3"/>
  <c r="Z22" i="3"/>
  <c r="Y22" i="3"/>
  <c r="Q22" i="3"/>
  <c r="P22" i="3"/>
  <c r="O22" i="3"/>
  <c r="I22" i="3"/>
  <c r="R22" i="3" s="1"/>
  <c r="H22" i="3"/>
  <c r="F22" i="3"/>
  <c r="D22" i="3"/>
  <c r="Z21" i="3"/>
  <c r="Y21" i="3"/>
  <c r="Q21" i="3"/>
  <c r="P21" i="3"/>
  <c r="O21" i="3"/>
  <c r="I21" i="3"/>
  <c r="R21" i="3" s="1"/>
  <c r="H21" i="3"/>
  <c r="F21" i="3"/>
  <c r="D21" i="3"/>
  <c r="Z20" i="3"/>
  <c r="Y20" i="3"/>
  <c r="Q20" i="3"/>
  <c r="P20" i="3"/>
  <c r="O20" i="3"/>
  <c r="I20" i="3"/>
  <c r="R20" i="3" s="1"/>
  <c r="H20" i="3"/>
  <c r="F20" i="3"/>
  <c r="D20" i="3"/>
  <c r="Z19" i="3"/>
  <c r="Y19" i="3"/>
  <c r="Q19" i="3"/>
  <c r="P19" i="3"/>
  <c r="O19" i="3"/>
  <c r="I19" i="3"/>
  <c r="R19" i="3" s="1"/>
  <c r="H19" i="3"/>
  <c r="F19" i="3"/>
  <c r="D19" i="3"/>
  <c r="Z18" i="3"/>
  <c r="Y18" i="3"/>
  <c r="Q18" i="3"/>
  <c r="P18" i="3"/>
  <c r="O18" i="3"/>
  <c r="I18" i="3"/>
  <c r="R18" i="3" s="1"/>
  <c r="H18" i="3"/>
  <c r="F18" i="3"/>
  <c r="D18" i="3"/>
  <c r="Z17" i="3"/>
  <c r="Y17" i="3"/>
  <c r="Q17" i="3"/>
  <c r="P17" i="3"/>
  <c r="O17" i="3"/>
  <c r="I17" i="3"/>
  <c r="R17" i="3" s="1"/>
  <c r="H17" i="3"/>
  <c r="F17" i="3"/>
  <c r="D17" i="3"/>
  <c r="Z16" i="3"/>
  <c r="Y16" i="3"/>
  <c r="Q16" i="3"/>
  <c r="P16" i="3"/>
  <c r="O16" i="3"/>
  <c r="I16" i="3"/>
  <c r="R16" i="3" s="1"/>
  <c r="H16" i="3"/>
  <c r="F16" i="3"/>
  <c r="D16" i="3"/>
  <c r="Z15" i="3"/>
  <c r="Y15" i="3"/>
  <c r="Q15" i="3"/>
  <c r="P15" i="3"/>
  <c r="O15" i="3"/>
  <c r="I15" i="3"/>
  <c r="R15" i="3" s="1"/>
  <c r="H15" i="3"/>
  <c r="F15" i="3"/>
  <c r="D15" i="3"/>
  <c r="Z14" i="3"/>
  <c r="Y14" i="3"/>
  <c r="Q14" i="3"/>
  <c r="P14" i="3"/>
  <c r="O14" i="3"/>
  <c r="I14" i="3"/>
  <c r="R14" i="3" s="1"/>
  <c r="H14" i="3"/>
  <c r="F14" i="3"/>
  <c r="D14" i="3"/>
  <c r="Z13" i="3"/>
  <c r="Y13" i="3"/>
  <c r="Q13" i="3"/>
  <c r="P13" i="3"/>
  <c r="O13" i="3"/>
  <c r="I13" i="3"/>
  <c r="R13" i="3" s="1"/>
  <c r="H13" i="3"/>
  <c r="F13" i="3"/>
  <c r="D13" i="3"/>
  <c r="Z12" i="3"/>
  <c r="Y12" i="3"/>
  <c r="Q12" i="3"/>
  <c r="P12" i="3"/>
  <c r="O12" i="3"/>
  <c r="I12" i="3"/>
  <c r="R12" i="3" s="1"/>
  <c r="H12" i="3"/>
  <c r="F12" i="3"/>
  <c r="D12" i="3"/>
  <c r="Z11" i="3"/>
  <c r="Y11" i="3"/>
  <c r="Q11" i="3"/>
  <c r="P11" i="3"/>
  <c r="O11" i="3"/>
  <c r="I11" i="3"/>
  <c r="R11" i="3" s="1"/>
  <c r="H11" i="3"/>
  <c r="F11" i="3"/>
  <c r="D11" i="3"/>
  <c r="Z10" i="3"/>
  <c r="Y10" i="3"/>
  <c r="Q10" i="3"/>
  <c r="P10" i="3"/>
  <c r="O10" i="3"/>
  <c r="I10" i="3"/>
  <c r="R10" i="3" s="1"/>
  <c r="H10" i="3"/>
  <c r="F10" i="3"/>
  <c r="D10" i="3"/>
  <c r="Z9" i="3"/>
  <c r="Y9" i="3"/>
  <c r="Q9" i="3"/>
  <c r="P9" i="3"/>
  <c r="O9" i="3"/>
  <c r="I9" i="3"/>
  <c r="R9" i="3" s="1"/>
  <c r="H9" i="3"/>
  <c r="F9" i="3"/>
  <c r="D9" i="3"/>
  <c r="Z8" i="3"/>
  <c r="Y8" i="3"/>
  <c r="Q8" i="3"/>
  <c r="P8" i="3"/>
  <c r="O8" i="3"/>
  <c r="I8" i="3"/>
  <c r="R8" i="3" s="1"/>
  <c r="H8" i="3"/>
  <c r="F8" i="3"/>
  <c r="D8" i="3"/>
  <c r="Z7" i="3"/>
  <c r="Y7" i="3"/>
  <c r="Q7" i="3"/>
  <c r="P7" i="3"/>
  <c r="O7" i="3"/>
  <c r="I7" i="3"/>
  <c r="R7" i="3" s="1"/>
  <c r="H7" i="3"/>
  <c r="F7" i="3"/>
  <c r="D7" i="3"/>
  <c r="Z6" i="3"/>
  <c r="Y6" i="3"/>
  <c r="Q6" i="3"/>
  <c r="P6" i="3"/>
  <c r="O6" i="3"/>
  <c r="I6" i="3"/>
  <c r="R6" i="3" s="1"/>
  <c r="H6" i="3"/>
  <c r="F6" i="3"/>
  <c r="D6" i="3"/>
  <c r="Z5" i="3"/>
  <c r="Y5" i="3"/>
  <c r="Q5" i="3"/>
  <c r="P5" i="3"/>
  <c r="O5" i="3"/>
  <c r="I5" i="3"/>
  <c r="R5" i="3" s="1"/>
  <c r="H5" i="3"/>
  <c r="F5" i="3"/>
  <c r="D5" i="3"/>
  <c r="Q4" i="3"/>
  <c r="P4" i="3"/>
  <c r="O4" i="3"/>
  <c r="I4" i="3"/>
  <c r="R4" i="3" s="1"/>
  <c r="H4" i="3"/>
  <c r="F4" i="3"/>
  <c r="D4" i="3"/>
  <c r="Q3" i="3"/>
  <c r="P3" i="3"/>
  <c r="O3" i="3"/>
  <c r="I3" i="3"/>
  <c r="R3" i="3" s="1"/>
  <c r="H3" i="3"/>
  <c r="F3" i="3"/>
  <c r="D3" i="3"/>
  <c r="E1" i="3"/>
  <c r="M502" i="2"/>
  <c r="L502" i="2"/>
  <c r="F502" i="2"/>
  <c r="D502" i="2"/>
  <c r="C502" i="2"/>
  <c r="B502" i="2"/>
  <c r="A502" i="2"/>
  <c r="M501" i="2"/>
  <c r="L501" i="2"/>
  <c r="F501" i="2"/>
  <c r="D501" i="2"/>
  <c r="C501" i="2"/>
  <c r="B501" i="2"/>
  <c r="A501" i="2"/>
  <c r="M500" i="2"/>
  <c r="L500" i="2"/>
  <c r="F500" i="2"/>
  <c r="D500" i="2"/>
  <c r="C500" i="2"/>
  <c r="B500" i="2"/>
  <c r="A500" i="2"/>
  <c r="M499" i="2"/>
  <c r="L499" i="2"/>
  <c r="F499" i="2"/>
  <c r="D499" i="2"/>
  <c r="C499" i="2"/>
  <c r="B499" i="2"/>
  <c r="A499" i="2"/>
  <c r="M498" i="2"/>
  <c r="L498" i="2"/>
  <c r="F498" i="2"/>
  <c r="D498" i="2"/>
  <c r="C498" i="2"/>
  <c r="B498" i="2"/>
  <c r="A498" i="2"/>
  <c r="M497" i="2"/>
  <c r="L497" i="2"/>
  <c r="F497" i="2"/>
  <c r="D497" i="2"/>
  <c r="C497" i="2"/>
  <c r="B497" i="2"/>
  <c r="A497" i="2"/>
  <c r="M496" i="2"/>
  <c r="L496" i="2"/>
  <c r="F496" i="2"/>
  <c r="D496" i="2"/>
  <c r="C496" i="2"/>
  <c r="B496" i="2"/>
  <c r="A496" i="2"/>
  <c r="M495" i="2"/>
  <c r="L495" i="2"/>
  <c r="F495" i="2"/>
  <c r="D495" i="2"/>
  <c r="C495" i="2"/>
  <c r="B495" i="2"/>
  <c r="A495" i="2"/>
  <c r="M494" i="2"/>
  <c r="L494" i="2"/>
  <c r="F494" i="2"/>
  <c r="D494" i="2"/>
  <c r="C494" i="2"/>
  <c r="B494" i="2"/>
  <c r="A494" i="2"/>
  <c r="M493" i="2"/>
  <c r="L493" i="2"/>
  <c r="F493" i="2"/>
  <c r="D493" i="2"/>
  <c r="C493" i="2"/>
  <c r="B493" i="2"/>
  <c r="A493" i="2"/>
  <c r="M492" i="2"/>
  <c r="L492" i="2"/>
  <c r="F492" i="2"/>
  <c r="D492" i="2"/>
  <c r="C492" i="2"/>
  <c r="B492" i="2"/>
  <c r="A492" i="2"/>
  <c r="M491" i="2"/>
  <c r="L491" i="2"/>
  <c r="F491" i="2"/>
  <c r="D491" i="2"/>
  <c r="C491" i="2"/>
  <c r="B491" i="2"/>
  <c r="A491" i="2"/>
  <c r="M490" i="2"/>
  <c r="L490" i="2"/>
  <c r="F490" i="2"/>
  <c r="D490" i="2"/>
  <c r="C490" i="2"/>
  <c r="B490" i="2"/>
  <c r="A490" i="2"/>
  <c r="M489" i="2"/>
  <c r="L489" i="2"/>
  <c r="F489" i="2"/>
  <c r="D489" i="2"/>
  <c r="C489" i="2"/>
  <c r="B489" i="2"/>
  <c r="A489" i="2"/>
  <c r="M488" i="2"/>
  <c r="L488" i="2"/>
  <c r="F488" i="2"/>
  <c r="D488" i="2"/>
  <c r="C488" i="2"/>
  <c r="B488" i="2"/>
  <c r="A488" i="2"/>
  <c r="M487" i="2"/>
  <c r="L487" i="2"/>
  <c r="F487" i="2"/>
  <c r="D487" i="2"/>
  <c r="C487" i="2"/>
  <c r="B487" i="2"/>
  <c r="A487" i="2"/>
  <c r="M486" i="2"/>
  <c r="L486" i="2"/>
  <c r="F486" i="2"/>
  <c r="D486" i="2"/>
  <c r="C486" i="2"/>
  <c r="B486" i="2"/>
  <c r="A486" i="2"/>
  <c r="M485" i="2"/>
  <c r="L485" i="2"/>
  <c r="F485" i="2"/>
  <c r="D485" i="2"/>
  <c r="C485" i="2"/>
  <c r="B485" i="2"/>
  <c r="A485" i="2"/>
  <c r="M484" i="2"/>
  <c r="L484" i="2"/>
  <c r="F484" i="2"/>
  <c r="D484" i="2"/>
  <c r="C484" i="2"/>
  <c r="B484" i="2"/>
  <c r="A484" i="2"/>
  <c r="M483" i="2"/>
  <c r="L483" i="2"/>
  <c r="F483" i="2"/>
  <c r="D483" i="2"/>
  <c r="C483" i="2"/>
  <c r="B483" i="2"/>
  <c r="A483" i="2"/>
  <c r="M482" i="2"/>
  <c r="L482" i="2"/>
  <c r="F482" i="2"/>
  <c r="D482" i="2"/>
  <c r="C482" i="2"/>
  <c r="B482" i="2"/>
  <c r="A482" i="2"/>
  <c r="M481" i="2"/>
  <c r="L481" i="2"/>
  <c r="F481" i="2"/>
  <c r="D481" i="2"/>
  <c r="C481" i="2"/>
  <c r="B481" i="2"/>
  <c r="A481" i="2"/>
  <c r="M480" i="2"/>
  <c r="L480" i="2"/>
  <c r="F480" i="2"/>
  <c r="D480" i="2"/>
  <c r="C480" i="2"/>
  <c r="B480" i="2"/>
  <c r="A480" i="2"/>
  <c r="M479" i="2"/>
  <c r="L479" i="2"/>
  <c r="F479" i="2"/>
  <c r="D479" i="2"/>
  <c r="C479" i="2"/>
  <c r="B479" i="2"/>
  <c r="A479" i="2"/>
  <c r="M478" i="2"/>
  <c r="L478" i="2"/>
  <c r="F478" i="2"/>
  <c r="D478" i="2"/>
  <c r="C478" i="2"/>
  <c r="B478" i="2"/>
  <c r="A478" i="2"/>
  <c r="M477" i="2"/>
  <c r="L477" i="2"/>
  <c r="F477" i="2"/>
  <c r="D477" i="2"/>
  <c r="C477" i="2"/>
  <c r="B477" i="2"/>
  <c r="A477" i="2"/>
  <c r="M476" i="2"/>
  <c r="L476" i="2"/>
  <c r="F476" i="2"/>
  <c r="D476" i="2"/>
  <c r="C476" i="2"/>
  <c r="B476" i="2"/>
  <c r="A476" i="2"/>
  <c r="M475" i="2"/>
  <c r="L475" i="2"/>
  <c r="F475" i="2"/>
  <c r="D475" i="2"/>
  <c r="C475" i="2"/>
  <c r="B475" i="2"/>
  <c r="A475" i="2"/>
  <c r="M474" i="2"/>
  <c r="L474" i="2"/>
  <c r="F474" i="2"/>
  <c r="D474" i="2"/>
  <c r="C474" i="2"/>
  <c r="B474" i="2"/>
  <c r="A474" i="2"/>
  <c r="M473" i="2"/>
  <c r="L473" i="2"/>
  <c r="F473" i="2"/>
  <c r="D473" i="2"/>
  <c r="C473" i="2"/>
  <c r="B473" i="2"/>
  <c r="A473" i="2"/>
  <c r="M472" i="2"/>
  <c r="L472" i="2"/>
  <c r="F472" i="2"/>
  <c r="D472" i="2"/>
  <c r="C472" i="2"/>
  <c r="B472" i="2"/>
  <c r="A472" i="2"/>
  <c r="M471" i="2"/>
  <c r="L471" i="2"/>
  <c r="F471" i="2"/>
  <c r="D471" i="2"/>
  <c r="C471" i="2"/>
  <c r="B471" i="2"/>
  <c r="A471" i="2"/>
  <c r="M470" i="2"/>
  <c r="L470" i="2"/>
  <c r="F470" i="2"/>
  <c r="D470" i="2"/>
  <c r="C470" i="2"/>
  <c r="B470" i="2"/>
  <c r="A470" i="2"/>
  <c r="M469" i="2"/>
  <c r="L469" i="2"/>
  <c r="F469" i="2"/>
  <c r="D469" i="2"/>
  <c r="C469" i="2"/>
  <c r="B469" i="2"/>
  <c r="A469" i="2"/>
  <c r="M468" i="2"/>
  <c r="L468" i="2"/>
  <c r="F468" i="2"/>
  <c r="D468" i="2"/>
  <c r="C468" i="2"/>
  <c r="B468" i="2"/>
  <c r="A468" i="2"/>
  <c r="M467" i="2"/>
  <c r="L467" i="2"/>
  <c r="F467" i="2"/>
  <c r="D467" i="2"/>
  <c r="C467" i="2"/>
  <c r="B467" i="2"/>
  <c r="A467" i="2"/>
  <c r="M466" i="2"/>
  <c r="L466" i="2"/>
  <c r="F466" i="2"/>
  <c r="D466" i="2"/>
  <c r="C466" i="2"/>
  <c r="B466" i="2"/>
  <c r="A466" i="2"/>
  <c r="M465" i="2"/>
  <c r="L465" i="2"/>
  <c r="F465" i="2"/>
  <c r="D465" i="2"/>
  <c r="C465" i="2"/>
  <c r="B465" i="2"/>
  <c r="A465" i="2"/>
  <c r="M464" i="2"/>
  <c r="L464" i="2"/>
  <c r="F464" i="2"/>
  <c r="D464" i="2"/>
  <c r="C464" i="2"/>
  <c r="B464" i="2"/>
  <c r="A464" i="2"/>
  <c r="M463" i="2"/>
  <c r="L463" i="2"/>
  <c r="F463" i="2"/>
  <c r="D463" i="2"/>
  <c r="C463" i="2"/>
  <c r="B463" i="2"/>
  <c r="A463" i="2"/>
  <c r="M462" i="2"/>
  <c r="L462" i="2"/>
  <c r="F462" i="2"/>
  <c r="D462" i="2"/>
  <c r="C462" i="2"/>
  <c r="B462" i="2"/>
  <c r="A462" i="2"/>
  <c r="M461" i="2"/>
  <c r="L461" i="2"/>
  <c r="F461" i="2"/>
  <c r="D461" i="2"/>
  <c r="C461" i="2"/>
  <c r="B461" i="2"/>
  <c r="A461" i="2"/>
  <c r="M460" i="2"/>
  <c r="L460" i="2"/>
  <c r="F460" i="2"/>
  <c r="D460" i="2"/>
  <c r="C460" i="2"/>
  <c r="B460" i="2"/>
  <c r="A460" i="2"/>
  <c r="M459" i="2"/>
  <c r="L459" i="2"/>
  <c r="F459" i="2"/>
  <c r="D459" i="2"/>
  <c r="C459" i="2"/>
  <c r="B459" i="2"/>
  <c r="A459" i="2"/>
  <c r="M458" i="2"/>
  <c r="L458" i="2"/>
  <c r="F458" i="2"/>
  <c r="D458" i="2"/>
  <c r="C458" i="2"/>
  <c r="B458" i="2"/>
  <c r="A458" i="2"/>
  <c r="M457" i="2"/>
  <c r="L457" i="2"/>
  <c r="F457" i="2"/>
  <c r="D457" i="2"/>
  <c r="C457" i="2"/>
  <c r="B457" i="2"/>
  <c r="A457" i="2"/>
  <c r="M456" i="2"/>
  <c r="L456" i="2"/>
  <c r="F456" i="2"/>
  <c r="D456" i="2"/>
  <c r="C456" i="2"/>
  <c r="B456" i="2"/>
  <c r="A456" i="2"/>
  <c r="M455" i="2"/>
  <c r="L455" i="2"/>
  <c r="F455" i="2"/>
  <c r="D455" i="2"/>
  <c r="C455" i="2"/>
  <c r="B455" i="2"/>
  <c r="A455" i="2"/>
  <c r="M454" i="2"/>
  <c r="L454" i="2"/>
  <c r="F454" i="2"/>
  <c r="D454" i="2"/>
  <c r="C454" i="2"/>
  <c r="B454" i="2"/>
  <c r="A454" i="2"/>
  <c r="M453" i="2"/>
  <c r="L453" i="2"/>
  <c r="F453" i="2"/>
  <c r="D453" i="2"/>
  <c r="C453" i="2"/>
  <c r="B453" i="2"/>
  <c r="A453" i="2"/>
  <c r="M452" i="2"/>
  <c r="L452" i="2"/>
  <c r="F452" i="2"/>
  <c r="D452" i="2"/>
  <c r="C452" i="2"/>
  <c r="B452" i="2"/>
  <c r="A452" i="2"/>
  <c r="M451" i="2"/>
  <c r="L451" i="2"/>
  <c r="F451" i="2"/>
  <c r="D451" i="2"/>
  <c r="C451" i="2"/>
  <c r="B451" i="2"/>
  <c r="A451" i="2"/>
  <c r="M450" i="2"/>
  <c r="L450" i="2"/>
  <c r="F450" i="2"/>
  <c r="D450" i="2"/>
  <c r="C450" i="2"/>
  <c r="B450" i="2"/>
  <c r="A450" i="2"/>
  <c r="M449" i="2"/>
  <c r="L449" i="2"/>
  <c r="F449" i="2"/>
  <c r="D449" i="2"/>
  <c r="C449" i="2"/>
  <c r="B449" i="2"/>
  <c r="A449" i="2"/>
  <c r="M448" i="2"/>
  <c r="L448" i="2"/>
  <c r="F448" i="2"/>
  <c r="D448" i="2"/>
  <c r="C448" i="2"/>
  <c r="B448" i="2"/>
  <c r="A448" i="2"/>
  <c r="M447" i="2"/>
  <c r="L447" i="2"/>
  <c r="F447" i="2"/>
  <c r="D447" i="2"/>
  <c r="C447" i="2"/>
  <c r="B447" i="2"/>
  <c r="A447" i="2"/>
  <c r="M446" i="2"/>
  <c r="L446" i="2"/>
  <c r="F446" i="2"/>
  <c r="D446" i="2"/>
  <c r="C446" i="2"/>
  <c r="B446" i="2"/>
  <c r="A446" i="2"/>
  <c r="M445" i="2"/>
  <c r="L445" i="2"/>
  <c r="F445" i="2"/>
  <c r="D445" i="2"/>
  <c r="C445" i="2"/>
  <c r="B445" i="2"/>
  <c r="A445" i="2"/>
  <c r="M444" i="2"/>
  <c r="L444" i="2"/>
  <c r="F444" i="2"/>
  <c r="D444" i="2"/>
  <c r="C444" i="2"/>
  <c r="B444" i="2"/>
  <c r="A444" i="2"/>
  <c r="M443" i="2"/>
  <c r="L443" i="2"/>
  <c r="F443" i="2"/>
  <c r="D443" i="2"/>
  <c r="C443" i="2"/>
  <c r="B443" i="2"/>
  <c r="A443" i="2"/>
  <c r="M442" i="2"/>
  <c r="L442" i="2"/>
  <c r="F442" i="2"/>
  <c r="D442" i="2"/>
  <c r="C442" i="2"/>
  <c r="B442" i="2"/>
  <c r="A442" i="2"/>
  <c r="M441" i="2"/>
  <c r="L441" i="2"/>
  <c r="F441" i="2"/>
  <c r="D441" i="2"/>
  <c r="C441" i="2"/>
  <c r="B441" i="2"/>
  <c r="A441" i="2"/>
  <c r="M440" i="2"/>
  <c r="L440" i="2"/>
  <c r="F440" i="2"/>
  <c r="D440" i="2"/>
  <c r="C440" i="2"/>
  <c r="B440" i="2"/>
  <c r="A440" i="2"/>
  <c r="M439" i="2"/>
  <c r="L439" i="2"/>
  <c r="F439" i="2"/>
  <c r="D439" i="2"/>
  <c r="C439" i="2"/>
  <c r="B439" i="2"/>
  <c r="A439" i="2"/>
  <c r="M438" i="2"/>
  <c r="L438" i="2"/>
  <c r="F438" i="2"/>
  <c r="D438" i="2"/>
  <c r="C438" i="2"/>
  <c r="B438" i="2"/>
  <c r="A438" i="2"/>
  <c r="M437" i="2"/>
  <c r="L437" i="2"/>
  <c r="F437" i="2"/>
  <c r="D437" i="2"/>
  <c r="C437" i="2"/>
  <c r="B437" i="2"/>
  <c r="A437" i="2"/>
  <c r="M436" i="2"/>
  <c r="L436" i="2"/>
  <c r="F436" i="2"/>
  <c r="D436" i="2"/>
  <c r="C436" i="2"/>
  <c r="B436" i="2"/>
  <c r="A436" i="2"/>
  <c r="M435" i="2"/>
  <c r="L435" i="2"/>
  <c r="F435" i="2"/>
  <c r="D435" i="2"/>
  <c r="C435" i="2"/>
  <c r="B435" i="2"/>
  <c r="A435" i="2"/>
  <c r="M434" i="2"/>
  <c r="L434" i="2"/>
  <c r="F434" i="2"/>
  <c r="D434" i="2"/>
  <c r="C434" i="2"/>
  <c r="B434" i="2"/>
  <c r="A434" i="2"/>
  <c r="M433" i="2"/>
  <c r="L433" i="2"/>
  <c r="F433" i="2"/>
  <c r="D433" i="2"/>
  <c r="C433" i="2"/>
  <c r="B433" i="2"/>
  <c r="A433" i="2"/>
  <c r="M432" i="2"/>
  <c r="L432" i="2"/>
  <c r="F432" i="2"/>
  <c r="D432" i="2"/>
  <c r="C432" i="2"/>
  <c r="B432" i="2"/>
  <c r="A432" i="2"/>
  <c r="M431" i="2"/>
  <c r="L431" i="2"/>
  <c r="F431" i="2"/>
  <c r="D431" i="2"/>
  <c r="C431" i="2"/>
  <c r="B431" i="2"/>
  <c r="A431" i="2"/>
  <c r="M430" i="2"/>
  <c r="L430" i="2"/>
  <c r="F430" i="2"/>
  <c r="D430" i="2"/>
  <c r="C430" i="2"/>
  <c r="B430" i="2"/>
  <c r="A430" i="2"/>
  <c r="M429" i="2"/>
  <c r="L429" i="2"/>
  <c r="F429" i="2"/>
  <c r="D429" i="2"/>
  <c r="C429" i="2"/>
  <c r="B429" i="2"/>
  <c r="A429" i="2"/>
  <c r="M428" i="2"/>
  <c r="L428" i="2"/>
  <c r="F428" i="2"/>
  <c r="D428" i="2"/>
  <c r="C428" i="2"/>
  <c r="B428" i="2"/>
  <c r="A428" i="2"/>
  <c r="M427" i="2"/>
  <c r="L427" i="2"/>
  <c r="F427" i="2"/>
  <c r="D427" i="2"/>
  <c r="C427" i="2"/>
  <c r="B427" i="2"/>
  <c r="A427" i="2"/>
  <c r="M426" i="2"/>
  <c r="L426" i="2"/>
  <c r="F426" i="2"/>
  <c r="D426" i="2"/>
  <c r="C426" i="2"/>
  <c r="B426" i="2"/>
  <c r="A426" i="2"/>
  <c r="M425" i="2"/>
  <c r="L425" i="2"/>
  <c r="F425" i="2"/>
  <c r="D425" i="2"/>
  <c r="C425" i="2"/>
  <c r="B425" i="2"/>
  <c r="A425" i="2"/>
  <c r="M424" i="2"/>
  <c r="L424" i="2"/>
  <c r="F424" i="2"/>
  <c r="D424" i="2"/>
  <c r="C424" i="2"/>
  <c r="B424" i="2"/>
  <c r="A424" i="2"/>
  <c r="M423" i="2"/>
  <c r="L423" i="2"/>
  <c r="F423" i="2"/>
  <c r="D423" i="2"/>
  <c r="C423" i="2"/>
  <c r="B423" i="2"/>
  <c r="A423" i="2"/>
  <c r="M422" i="2"/>
  <c r="L422" i="2"/>
  <c r="F422" i="2"/>
  <c r="D422" i="2"/>
  <c r="C422" i="2"/>
  <c r="B422" i="2"/>
  <c r="A422" i="2"/>
  <c r="M421" i="2"/>
  <c r="L421" i="2"/>
  <c r="F421" i="2"/>
  <c r="D421" i="2"/>
  <c r="C421" i="2"/>
  <c r="B421" i="2"/>
  <c r="A421" i="2"/>
  <c r="M420" i="2"/>
  <c r="L420" i="2"/>
  <c r="F420" i="2"/>
  <c r="D420" i="2"/>
  <c r="C420" i="2"/>
  <c r="B420" i="2"/>
  <c r="A420" i="2"/>
  <c r="M419" i="2"/>
  <c r="L419" i="2"/>
  <c r="F419" i="2"/>
  <c r="D419" i="2"/>
  <c r="C419" i="2"/>
  <c r="B419" i="2"/>
  <c r="A419" i="2"/>
  <c r="M418" i="2"/>
  <c r="L418" i="2"/>
  <c r="F418" i="2"/>
  <c r="D418" i="2"/>
  <c r="C418" i="2"/>
  <c r="B418" i="2"/>
  <c r="A418" i="2"/>
  <c r="M417" i="2"/>
  <c r="L417" i="2"/>
  <c r="F417" i="2"/>
  <c r="D417" i="2"/>
  <c r="C417" i="2"/>
  <c r="B417" i="2"/>
  <c r="A417" i="2"/>
  <c r="M416" i="2"/>
  <c r="L416" i="2"/>
  <c r="F416" i="2"/>
  <c r="D416" i="2"/>
  <c r="C416" i="2"/>
  <c r="B416" i="2"/>
  <c r="A416" i="2"/>
  <c r="M415" i="2"/>
  <c r="L415" i="2"/>
  <c r="F415" i="2"/>
  <c r="D415" i="2"/>
  <c r="C415" i="2"/>
  <c r="B415" i="2"/>
  <c r="A415" i="2"/>
  <c r="M414" i="2"/>
  <c r="L414" i="2"/>
  <c r="F414" i="2"/>
  <c r="D414" i="2"/>
  <c r="C414" i="2"/>
  <c r="B414" i="2"/>
  <c r="A414" i="2"/>
  <c r="M413" i="2"/>
  <c r="L413" i="2"/>
  <c r="F413" i="2"/>
  <c r="D413" i="2"/>
  <c r="C413" i="2"/>
  <c r="B413" i="2"/>
  <c r="A413" i="2"/>
  <c r="M412" i="2"/>
  <c r="L412" i="2"/>
  <c r="F412" i="2"/>
  <c r="D412" i="2"/>
  <c r="C412" i="2"/>
  <c r="B412" i="2"/>
  <c r="A412" i="2"/>
  <c r="M411" i="2"/>
  <c r="L411" i="2"/>
  <c r="F411" i="2"/>
  <c r="D411" i="2"/>
  <c r="C411" i="2"/>
  <c r="B411" i="2"/>
  <c r="A411" i="2"/>
  <c r="M410" i="2"/>
  <c r="L410" i="2"/>
  <c r="F410" i="2"/>
  <c r="D410" i="2"/>
  <c r="C410" i="2"/>
  <c r="B410" i="2"/>
  <c r="A410" i="2"/>
  <c r="M409" i="2"/>
  <c r="L409" i="2"/>
  <c r="F409" i="2"/>
  <c r="D409" i="2"/>
  <c r="C409" i="2"/>
  <c r="B409" i="2"/>
  <c r="A409" i="2"/>
  <c r="M408" i="2"/>
  <c r="L408" i="2"/>
  <c r="F408" i="2"/>
  <c r="D408" i="2"/>
  <c r="C408" i="2"/>
  <c r="B408" i="2"/>
  <c r="A408" i="2"/>
  <c r="M407" i="2"/>
  <c r="L407" i="2"/>
  <c r="F407" i="2"/>
  <c r="D407" i="2"/>
  <c r="C407" i="2"/>
  <c r="B407" i="2"/>
  <c r="A407" i="2"/>
  <c r="M406" i="2"/>
  <c r="L406" i="2"/>
  <c r="F406" i="2"/>
  <c r="D406" i="2"/>
  <c r="C406" i="2"/>
  <c r="B406" i="2"/>
  <c r="A406" i="2"/>
  <c r="M405" i="2"/>
  <c r="L405" i="2"/>
  <c r="F405" i="2"/>
  <c r="D405" i="2"/>
  <c r="C405" i="2"/>
  <c r="B405" i="2"/>
  <c r="A405" i="2"/>
  <c r="M404" i="2"/>
  <c r="L404" i="2"/>
  <c r="F404" i="2"/>
  <c r="D404" i="2"/>
  <c r="C404" i="2"/>
  <c r="B404" i="2"/>
  <c r="A404" i="2"/>
  <c r="M403" i="2"/>
  <c r="L403" i="2"/>
  <c r="F403" i="2"/>
  <c r="D403" i="2"/>
  <c r="C403" i="2"/>
  <c r="B403" i="2"/>
  <c r="A403" i="2"/>
  <c r="M402" i="2"/>
  <c r="L402" i="2"/>
  <c r="F402" i="2"/>
  <c r="D402" i="2"/>
  <c r="C402" i="2"/>
  <c r="B402" i="2"/>
  <c r="A402" i="2"/>
  <c r="M401" i="2"/>
  <c r="L401" i="2"/>
  <c r="F401" i="2"/>
  <c r="D401" i="2"/>
  <c r="C401" i="2"/>
  <c r="B401" i="2"/>
  <c r="A401" i="2"/>
  <c r="M400" i="2"/>
  <c r="L400" i="2"/>
  <c r="F400" i="2"/>
  <c r="D400" i="2"/>
  <c r="C400" i="2"/>
  <c r="B400" i="2"/>
  <c r="A400" i="2"/>
  <c r="M399" i="2"/>
  <c r="L399" i="2"/>
  <c r="F399" i="2"/>
  <c r="D399" i="2"/>
  <c r="C399" i="2"/>
  <c r="B399" i="2"/>
  <c r="A399" i="2"/>
  <c r="M398" i="2"/>
  <c r="L398" i="2"/>
  <c r="F398" i="2"/>
  <c r="D398" i="2"/>
  <c r="C398" i="2"/>
  <c r="B398" i="2"/>
  <c r="A398" i="2"/>
  <c r="M397" i="2"/>
  <c r="L397" i="2"/>
  <c r="F397" i="2"/>
  <c r="D397" i="2"/>
  <c r="C397" i="2"/>
  <c r="B397" i="2"/>
  <c r="A397" i="2"/>
  <c r="M396" i="2"/>
  <c r="L396" i="2"/>
  <c r="F396" i="2"/>
  <c r="D396" i="2"/>
  <c r="C396" i="2"/>
  <c r="B396" i="2"/>
  <c r="A396" i="2"/>
  <c r="M395" i="2"/>
  <c r="L395" i="2"/>
  <c r="F395" i="2"/>
  <c r="D395" i="2"/>
  <c r="C395" i="2"/>
  <c r="B395" i="2"/>
  <c r="A395" i="2"/>
  <c r="M394" i="2"/>
  <c r="L394" i="2"/>
  <c r="F394" i="2"/>
  <c r="D394" i="2"/>
  <c r="C394" i="2"/>
  <c r="B394" i="2"/>
  <c r="A394" i="2"/>
  <c r="M393" i="2"/>
  <c r="L393" i="2"/>
  <c r="F393" i="2"/>
  <c r="D393" i="2"/>
  <c r="C393" i="2"/>
  <c r="B393" i="2"/>
  <c r="A393" i="2"/>
  <c r="M392" i="2"/>
  <c r="L392" i="2"/>
  <c r="F392" i="2"/>
  <c r="D392" i="2"/>
  <c r="C392" i="2"/>
  <c r="B392" i="2"/>
  <c r="A392" i="2"/>
  <c r="M391" i="2"/>
  <c r="L391" i="2"/>
  <c r="F391" i="2"/>
  <c r="D391" i="2"/>
  <c r="C391" i="2"/>
  <c r="B391" i="2"/>
  <c r="A391" i="2"/>
  <c r="M390" i="2"/>
  <c r="L390" i="2"/>
  <c r="F390" i="2"/>
  <c r="D390" i="2"/>
  <c r="C390" i="2"/>
  <c r="B390" i="2"/>
  <c r="A390" i="2"/>
  <c r="M389" i="2"/>
  <c r="L389" i="2"/>
  <c r="F389" i="2"/>
  <c r="D389" i="2"/>
  <c r="C389" i="2"/>
  <c r="B389" i="2"/>
  <c r="A389" i="2"/>
  <c r="M388" i="2"/>
  <c r="L388" i="2"/>
  <c r="F388" i="2"/>
  <c r="D388" i="2"/>
  <c r="C388" i="2"/>
  <c r="B388" i="2"/>
  <c r="A388" i="2"/>
  <c r="M387" i="2"/>
  <c r="L387" i="2"/>
  <c r="F387" i="2"/>
  <c r="D387" i="2"/>
  <c r="C387" i="2"/>
  <c r="B387" i="2"/>
  <c r="A387" i="2"/>
  <c r="M386" i="2"/>
  <c r="L386" i="2"/>
  <c r="F386" i="2"/>
  <c r="D386" i="2"/>
  <c r="C386" i="2"/>
  <c r="B386" i="2"/>
  <c r="A386" i="2"/>
  <c r="M385" i="2"/>
  <c r="L385" i="2"/>
  <c r="F385" i="2"/>
  <c r="D385" i="2"/>
  <c r="C385" i="2"/>
  <c r="B385" i="2"/>
  <c r="A385" i="2"/>
  <c r="M384" i="2"/>
  <c r="L384" i="2"/>
  <c r="F384" i="2"/>
  <c r="D384" i="2"/>
  <c r="C384" i="2"/>
  <c r="B384" i="2"/>
  <c r="A384" i="2"/>
  <c r="M383" i="2"/>
  <c r="L383" i="2"/>
  <c r="F383" i="2"/>
  <c r="D383" i="2"/>
  <c r="C383" i="2"/>
  <c r="B383" i="2"/>
  <c r="A383" i="2"/>
  <c r="M382" i="2"/>
  <c r="L382" i="2"/>
  <c r="F382" i="2"/>
  <c r="D382" i="2"/>
  <c r="C382" i="2"/>
  <c r="B382" i="2"/>
  <c r="A382" i="2"/>
  <c r="M381" i="2"/>
  <c r="L381" i="2"/>
  <c r="F381" i="2"/>
  <c r="D381" i="2"/>
  <c r="C381" i="2"/>
  <c r="B381" i="2"/>
  <c r="A381" i="2"/>
  <c r="M380" i="2"/>
  <c r="L380" i="2"/>
  <c r="F380" i="2"/>
  <c r="D380" i="2"/>
  <c r="C380" i="2"/>
  <c r="B380" i="2"/>
  <c r="A380" i="2"/>
  <c r="M379" i="2"/>
  <c r="L379" i="2"/>
  <c r="F379" i="2"/>
  <c r="D379" i="2"/>
  <c r="C379" i="2"/>
  <c r="B379" i="2"/>
  <c r="A379" i="2"/>
  <c r="M378" i="2"/>
  <c r="L378" i="2"/>
  <c r="F378" i="2"/>
  <c r="D378" i="2"/>
  <c r="C378" i="2"/>
  <c r="B378" i="2"/>
  <c r="A378" i="2"/>
  <c r="M377" i="2"/>
  <c r="L377" i="2"/>
  <c r="F377" i="2"/>
  <c r="D377" i="2"/>
  <c r="C377" i="2"/>
  <c r="B377" i="2"/>
  <c r="A377" i="2"/>
  <c r="M376" i="2"/>
  <c r="L376" i="2"/>
  <c r="F376" i="2"/>
  <c r="D376" i="2"/>
  <c r="C376" i="2"/>
  <c r="B376" i="2"/>
  <c r="A376" i="2"/>
  <c r="M375" i="2"/>
  <c r="L375" i="2"/>
  <c r="F375" i="2"/>
  <c r="D375" i="2"/>
  <c r="C375" i="2"/>
  <c r="B375" i="2"/>
  <c r="A375" i="2"/>
  <c r="M374" i="2"/>
  <c r="L374" i="2"/>
  <c r="F374" i="2"/>
  <c r="D374" i="2"/>
  <c r="C374" i="2"/>
  <c r="B374" i="2"/>
  <c r="A374" i="2"/>
  <c r="M373" i="2"/>
  <c r="L373" i="2"/>
  <c r="F373" i="2"/>
  <c r="D373" i="2"/>
  <c r="C373" i="2"/>
  <c r="B373" i="2"/>
  <c r="A373" i="2"/>
  <c r="M372" i="2"/>
  <c r="L372" i="2"/>
  <c r="F372" i="2"/>
  <c r="D372" i="2"/>
  <c r="C372" i="2"/>
  <c r="B372" i="2"/>
  <c r="A372" i="2"/>
  <c r="M371" i="2"/>
  <c r="L371" i="2"/>
  <c r="F371" i="2"/>
  <c r="D371" i="2"/>
  <c r="C371" i="2"/>
  <c r="B371" i="2"/>
  <c r="A371" i="2"/>
  <c r="M370" i="2"/>
  <c r="L370" i="2"/>
  <c r="F370" i="2"/>
  <c r="D370" i="2"/>
  <c r="C370" i="2"/>
  <c r="B370" i="2"/>
  <c r="A370" i="2"/>
  <c r="M369" i="2"/>
  <c r="L369" i="2"/>
  <c r="F369" i="2"/>
  <c r="D369" i="2"/>
  <c r="C369" i="2"/>
  <c r="B369" i="2"/>
  <c r="A369" i="2"/>
  <c r="M368" i="2"/>
  <c r="L368" i="2"/>
  <c r="F368" i="2"/>
  <c r="D368" i="2"/>
  <c r="C368" i="2"/>
  <c r="B368" i="2"/>
  <c r="A368" i="2"/>
  <c r="M367" i="2"/>
  <c r="L367" i="2"/>
  <c r="F367" i="2"/>
  <c r="D367" i="2"/>
  <c r="C367" i="2"/>
  <c r="B367" i="2"/>
  <c r="A367" i="2"/>
  <c r="M366" i="2"/>
  <c r="L366" i="2"/>
  <c r="F366" i="2"/>
  <c r="D366" i="2"/>
  <c r="C366" i="2"/>
  <c r="B366" i="2"/>
  <c r="A366" i="2"/>
  <c r="M365" i="2"/>
  <c r="L365" i="2"/>
  <c r="F365" i="2"/>
  <c r="D365" i="2"/>
  <c r="C365" i="2"/>
  <c r="B365" i="2"/>
  <c r="A365" i="2"/>
  <c r="M364" i="2"/>
  <c r="L364" i="2"/>
  <c r="F364" i="2"/>
  <c r="D364" i="2"/>
  <c r="C364" i="2"/>
  <c r="B364" i="2"/>
  <c r="A364" i="2"/>
  <c r="M363" i="2"/>
  <c r="L363" i="2"/>
  <c r="F363" i="2"/>
  <c r="D363" i="2"/>
  <c r="C363" i="2"/>
  <c r="B363" i="2"/>
  <c r="A363" i="2"/>
  <c r="M362" i="2"/>
  <c r="L362" i="2"/>
  <c r="F362" i="2"/>
  <c r="D362" i="2"/>
  <c r="C362" i="2"/>
  <c r="B362" i="2"/>
  <c r="A362" i="2"/>
  <c r="M361" i="2"/>
  <c r="L361" i="2"/>
  <c r="F361" i="2"/>
  <c r="D361" i="2"/>
  <c r="C361" i="2"/>
  <c r="B361" i="2"/>
  <c r="A361" i="2"/>
  <c r="M360" i="2"/>
  <c r="L360" i="2"/>
  <c r="F360" i="2"/>
  <c r="D360" i="2"/>
  <c r="C360" i="2"/>
  <c r="B360" i="2"/>
  <c r="A360" i="2"/>
  <c r="M359" i="2"/>
  <c r="L359" i="2"/>
  <c r="F359" i="2"/>
  <c r="D359" i="2"/>
  <c r="C359" i="2"/>
  <c r="B359" i="2"/>
  <c r="A359" i="2"/>
  <c r="M358" i="2"/>
  <c r="L358" i="2"/>
  <c r="F358" i="2"/>
  <c r="D358" i="2"/>
  <c r="C358" i="2"/>
  <c r="B358" i="2"/>
  <c r="A358" i="2"/>
  <c r="M357" i="2"/>
  <c r="L357" i="2"/>
  <c r="F357" i="2"/>
  <c r="D357" i="2"/>
  <c r="C357" i="2"/>
  <c r="B357" i="2"/>
  <c r="A357" i="2"/>
  <c r="M356" i="2"/>
  <c r="L356" i="2"/>
  <c r="F356" i="2"/>
  <c r="D356" i="2"/>
  <c r="C356" i="2"/>
  <c r="B356" i="2"/>
  <c r="A356" i="2"/>
  <c r="M355" i="2"/>
  <c r="L355" i="2"/>
  <c r="F355" i="2"/>
  <c r="D355" i="2"/>
  <c r="C355" i="2"/>
  <c r="B355" i="2"/>
  <c r="A355" i="2"/>
  <c r="M354" i="2"/>
  <c r="L354" i="2"/>
  <c r="F354" i="2"/>
  <c r="D354" i="2"/>
  <c r="C354" i="2"/>
  <c r="B354" i="2"/>
  <c r="A354" i="2"/>
  <c r="M353" i="2"/>
  <c r="L353" i="2"/>
  <c r="F353" i="2"/>
  <c r="D353" i="2"/>
  <c r="C353" i="2"/>
  <c r="B353" i="2"/>
  <c r="A353" i="2"/>
  <c r="M352" i="2"/>
  <c r="L352" i="2"/>
  <c r="F352" i="2"/>
  <c r="D352" i="2"/>
  <c r="C352" i="2"/>
  <c r="B352" i="2"/>
  <c r="A352" i="2"/>
  <c r="M351" i="2"/>
  <c r="L351" i="2"/>
  <c r="F351" i="2"/>
  <c r="D351" i="2"/>
  <c r="C351" i="2"/>
  <c r="B351" i="2"/>
  <c r="A351" i="2"/>
  <c r="M350" i="2"/>
  <c r="L350" i="2"/>
  <c r="F350" i="2"/>
  <c r="D350" i="2"/>
  <c r="C350" i="2"/>
  <c r="B350" i="2"/>
  <c r="A350" i="2"/>
  <c r="M349" i="2"/>
  <c r="L349" i="2"/>
  <c r="F349" i="2"/>
  <c r="D349" i="2"/>
  <c r="C349" i="2"/>
  <c r="B349" i="2"/>
  <c r="A349" i="2"/>
  <c r="M348" i="2"/>
  <c r="L348" i="2"/>
  <c r="F348" i="2"/>
  <c r="D348" i="2"/>
  <c r="C348" i="2"/>
  <c r="B348" i="2"/>
  <c r="A348" i="2"/>
  <c r="M347" i="2"/>
  <c r="L347" i="2"/>
  <c r="F347" i="2"/>
  <c r="D347" i="2"/>
  <c r="C347" i="2"/>
  <c r="B347" i="2"/>
  <c r="A347" i="2"/>
  <c r="M346" i="2"/>
  <c r="L346" i="2"/>
  <c r="F346" i="2"/>
  <c r="D346" i="2"/>
  <c r="C346" i="2"/>
  <c r="B346" i="2"/>
  <c r="A346" i="2"/>
  <c r="M345" i="2"/>
  <c r="L345" i="2"/>
  <c r="F345" i="2"/>
  <c r="D345" i="2"/>
  <c r="C345" i="2"/>
  <c r="B345" i="2"/>
  <c r="A345" i="2"/>
  <c r="M344" i="2"/>
  <c r="L344" i="2"/>
  <c r="F344" i="2"/>
  <c r="D344" i="2"/>
  <c r="C344" i="2"/>
  <c r="B344" i="2"/>
  <c r="A344" i="2"/>
  <c r="M343" i="2"/>
  <c r="L343" i="2"/>
  <c r="F343" i="2"/>
  <c r="D343" i="2"/>
  <c r="C343" i="2"/>
  <c r="B343" i="2"/>
  <c r="A343" i="2"/>
  <c r="M342" i="2"/>
  <c r="L342" i="2"/>
  <c r="F342" i="2"/>
  <c r="D342" i="2"/>
  <c r="C342" i="2"/>
  <c r="B342" i="2"/>
  <c r="A342" i="2"/>
  <c r="M341" i="2"/>
  <c r="L341" i="2"/>
  <c r="F341" i="2"/>
  <c r="D341" i="2"/>
  <c r="C341" i="2"/>
  <c r="B341" i="2"/>
  <c r="A341" i="2"/>
  <c r="M340" i="2"/>
  <c r="L340" i="2"/>
  <c r="F340" i="2"/>
  <c r="D340" i="2"/>
  <c r="C340" i="2"/>
  <c r="B340" i="2"/>
  <c r="A340" i="2"/>
  <c r="M339" i="2"/>
  <c r="L339" i="2"/>
  <c r="F339" i="2"/>
  <c r="D339" i="2"/>
  <c r="C339" i="2"/>
  <c r="B339" i="2"/>
  <c r="A339" i="2"/>
  <c r="M338" i="2"/>
  <c r="L338" i="2"/>
  <c r="F338" i="2"/>
  <c r="D338" i="2"/>
  <c r="C338" i="2"/>
  <c r="B338" i="2"/>
  <c r="A338" i="2"/>
  <c r="M337" i="2"/>
  <c r="L337" i="2"/>
  <c r="F337" i="2"/>
  <c r="D337" i="2"/>
  <c r="C337" i="2"/>
  <c r="B337" i="2"/>
  <c r="A337" i="2"/>
  <c r="M336" i="2"/>
  <c r="L336" i="2"/>
  <c r="F336" i="2"/>
  <c r="D336" i="2"/>
  <c r="C336" i="2"/>
  <c r="B336" i="2"/>
  <c r="A336" i="2"/>
  <c r="M335" i="2"/>
  <c r="L335" i="2"/>
  <c r="F335" i="2"/>
  <c r="D335" i="2"/>
  <c r="C335" i="2"/>
  <c r="B335" i="2"/>
  <c r="A335" i="2"/>
  <c r="M334" i="2"/>
  <c r="L334" i="2"/>
  <c r="F334" i="2"/>
  <c r="D334" i="2"/>
  <c r="C334" i="2"/>
  <c r="B334" i="2"/>
  <c r="A334" i="2"/>
  <c r="M333" i="2"/>
  <c r="L333" i="2"/>
  <c r="F333" i="2"/>
  <c r="D333" i="2"/>
  <c r="C333" i="2"/>
  <c r="B333" i="2"/>
  <c r="A333" i="2"/>
  <c r="M332" i="2"/>
  <c r="L332" i="2"/>
  <c r="F332" i="2"/>
  <c r="D332" i="2"/>
  <c r="C332" i="2"/>
  <c r="B332" i="2"/>
  <c r="A332" i="2"/>
  <c r="M331" i="2"/>
  <c r="L331" i="2"/>
  <c r="F331" i="2"/>
  <c r="D331" i="2"/>
  <c r="C331" i="2"/>
  <c r="B331" i="2"/>
  <c r="A331" i="2"/>
  <c r="M330" i="2"/>
  <c r="L330" i="2"/>
  <c r="F330" i="2"/>
  <c r="D330" i="2"/>
  <c r="C330" i="2"/>
  <c r="B330" i="2"/>
  <c r="A330" i="2"/>
  <c r="M329" i="2"/>
  <c r="L329" i="2"/>
  <c r="F329" i="2"/>
  <c r="D329" i="2"/>
  <c r="C329" i="2"/>
  <c r="B329" i="2"/>
  <c r="A329" i="2"/>
  <c r="M328" i="2"/>
  <c r="L328" i="2"/>
  <c r="F328" i="2"/>
  <c r="D328" i="2"/>
  <c r="C328" i="2"/>
  <c r="B328" i="2"/>
  <c r="A328" i="2"/>
  <c r="M327" i="2"/>
  <c r="L327" i="2"/>
  <c r="F327" i="2"/>
  <c r="D327" i="2"/>
  <c r="C327" i="2"/>
  <c r="B327" i="2"/>
  <c r="A327" i="2"/>
  <c r="M326" i="2"/>
  <c r="L326" i="2"/>
  <c r="F326" i="2"/>
  <c r="D326" i="2"/>
  <c r="C326" i="2"/>
  <c r="B326" i="2"/>
  <c r="A326" i="2"/>
  <c r="M325" i="2"/>
  <c r="L325" i="2"/>
  <c r="F325" i="2"/>
  <c r="D325" i="2"/>
  <c r="C325" i="2"/>
  <c r="B325" i="2"/>
  <c r="A325" i="2"/>
  <c r="M324" i="2"/>
  <c r="L324" i="2"/>
  <c r="F324" i="2"/>
  <c r="D324" i="2"/>
  <c r="C324" i="2"/>
  <c r="B324" i="2"/>
  <c r="A324" i="2"/>
  <c r="M323" i="2"/>
  <c r="L323" i="2"/>
  <c r="F323" i="2"/>
  <c r="D323" i="2"/>
  <c r="C323" i="2"/>
  <c r="B323" i="2"/>
  <c r="A323" i="2"/>
  <c r="M322" i="2"/>
  <c r="L322" i="2"/>
  <c r="F322" i="2"/>
  <c r="D322" i="2"/>
  <c r="C322" i="2"/>
  <c r="B322" i="2"/>
  <c r="A322" i="2"/>
  <c r="M321" i="2"/>
  <c r="L321" i="2"/>
  <c r="F321" i="2"/>
  <c r="D321" i="2"/>
  <c r="C321" i="2"/>
  <c r="B321" i="2"/>
  <c r="A321" i="2"/>
  <c r="M320" i="2"/>
  <c r="L320" i="2"/>
  <c r="F320" i="2"/>
  <c r="D320" i="2"/>
  <c r="C320" i="2"/>
  <c r="B320" i="2"/>
  <c r="A320" i="2"/>
  <c r="M319" i="2"/>
  <c r="L319" i="2"/>
  <c r="F319" i="2"/>
  <c r="D319" i="2"/>
  <c r="C319" i="2"/>
  <c r="B319" i="2"/>
  <c r="A319" i="2"/>
  <c r="M318" i="2"/>
  <c r="L318" i="2"/>
  <c r="F318" i="2"/>
  <c r="D318" i="2"/>
  <c r="C318" i="2"/>
  <c r="B318" i="2"/>
  <c r="A318" i="2"/>
  <c r="M317" i="2"/>
  <c r="L317" i="2"/>
  <c r="F317" i="2"/>
  <c r="D317" i="2"/>
  <c r="C317" i="2"/>
  <c r="B317" i="2"/>
  <c r="A317" i="2"/>
  <c r="M316" i="2"/>
  <c r="L316" i="2"/>
  <c r="F316" i="2"/>
  <c r="D316" i="2"/>
  <c r="C316" i="2"/>
  <c r="B316" i="2"/>
  <c r="A316" i="2"/>
  <c r="M315" i="2"/>
  <c r="L315" i="2"/>
  <c r="F315" i="2"/>
  <c r="D315" i="2"/>
  <c r="C315" i="2"/>
  <c r="B315" i="2"/>
  <c r="A315" i="2"/>
  <c r="M314" i="2"/>
  <c r="L314" i="2"/>
  <c r="F314" i="2"/>
  <c r="D314" i="2"/>
  <c r="C314" i="2"/>
  <c r="B314" i="2"/>
  <c r="A314" i="2"/>
  <c r="M313" i="2"/>
  <c r="L313" i="2"/>
  <c r="F313" i="2"/>
  <c r="D313" i="2"/>
  <c r="C313" i="2"/>
  <c r="B313" i="2"/>
  <c r="A313" i="2"/>
  <c r="M312" i="2"/>
  <c r="L312" i="2"/>
  <c r="F312" i="2"/>
  <c r="D312" i="2"/>
  <c r="C312" i="2"/>
  <c r="B312" i="2"/>
  <c r="A312" i="2"/>
  <c r="M311" i="2"/>
  <c r="L311" i="2"/>
  <c r="F311" i="2"/>
  <c r="D311" i="2"/>
  <c r="C311" i="2"/>
  <c r="B311" i="2"/>
  <c r="A311" i="2"/>
  <c r="M310" i="2"/>
  <c r="L310" i="2"/>
  <c r="F310" i="2"/>
  <c r="D310" i="2"/>
  <c r="C310" i="2"/>
  <c r="B310" i="2"/>
  <c r="A310" i="2"/>
  <c r="M309" i="2"/>
  <c r="L309" i="2"/>
  <c r="F309" i="2"/>
  <c r="D309" i="2"/>
  <c r="C309" i="2"/>
  <c r="B309" i="2"/>
  <c r="A309" i="2"/>
  <c r="M308" i="2"/>
  <c r="L308" i="2"/>
  <c r="F308" i="2"/>
  <c r="D308" i="2"/>
  <c r="C308" i="2"/>
  <c r="B308" i="2"/>
  <c r="A308" i="2"/>
  <c r="M307" i="2"/>
  <c r="L307" i="2"/>
  <c r="F307" i="2"/>
  <c r="D307" i="2"/>
  <c r="C307" i="2"/>
  <c r="B307" i="2"/>
  <c r="A307" i="2"/>
  <c r="M306" i="2"/>
  <c r="L306" i="2"/>
  <c r="F306" i="2"/>
  <c r="D306" i="2"/>
  <c r="C306" i="2"/>
  <c r="B306" i="2"/>
  <c r="A306" i="2"/>
  <c r="M305" i="2"/>
  <c r="L305" i="2"/>
  <c r="F305" i="2"/>
  <c r="D305" i="2"/>
  <c r="C305" i="2"/>
  <c r="B305" i="2"/>
  <c r="A305" i="2"/>
  <c r="M304" i="2"/>
  <c r="L304" i="2"/>
  <c r="F304" i="2"/>
  <c r="D304" i="2"/>
  <c r="C304" i="2"/>
  <c r="B304" i="2"/>
  <c r="A304" i="2"/>
  <c r="M303" i="2"/>
  <c r="L303" i="2"/>
  <c r="F303" i="2"/>
  <c r="D303" i="2"/>
  <c r="C303" i="2"/>
  <c r="B303" i="2"/>
  <c r="A303" i="2"/>
  <c r="M302" i="2"/>
  <c r="L302" i="2"/>
  <c r="F302" i="2"/>
  <c r="D302" i="2"/>
  <c r="C302" i="2"/>
  <c r="B302" i="2"/>
  <c r="A302" i="2"/>
  <c r="M301" i="2"/>
  <c r="L301" i="2"/>
  <c r="F301" i="2"/>
  <c r="D301" i="2"/>
  <c r="C301" i="2"/>
  <c r="B301" i="2"/>
  <c r="A301" i="2"/>
  <c r="M300" i="2"/>
  <c r="L300" i="2"/>
  <c r="F300" i="2"/>
  <c r="D300" i="2"/>
  <c r="C300" i="2"/>
  <c r="B300" i="2"/>
  <c r="A300" i="2"/>
  <c r="M299" i="2"/>
  <c r="L299" i="2"/>
  <c r="F299" i="2"/>
  <c r="D299" i="2"/>
  <c r="C299" i="2"/>
  <c r="B299" i="2"/>
  <c r="A299" i="2"/>
  <c r="M298" i="2"/>
  <c r="L298" i="2"/>
  <c r="F298" i="2"/>
  <c r="D298" i="2"/>
  <c r="C298" i="2"/>
  <c r="B298" i="2"/>
  <c r="A298" i="2"/>
  <c r="M297" i="2"/>
  <c r="L297" i="2"/>
  <c r="F297" i="2"/>
  <c r="D297" i="2"/>
  <c r="C297" i="2"/>
  <c r="B297" i="2"/>
  <c r="A297" i="2"/>
  <c r="M296" i="2"/>
  <c r="L296" i="2"/>
  <c r="F296" i="2"/>
  <c r="D296" i="2"/>
  <c r="C296" i="2"/>
  <c r="B296" i="2"/>
  <c r="A296" i="2"/>
  <c r="M295" i="2"/>
  <c r="L295" i="2"/>
  <c r="F295" i="2"/>
  <c r="D295" i="2"/>
  <c r="C295" i="2"/>
  <c r="B295" i="2"/>
  <c r="A295" i="2"/>
  <c r="M294" i="2"/>
  <c r="L294" i="2"/>
  <c r="F294" i="2"/>
  <c r="D294" i="2"/>
  <c r="C294" i="2"/>
  <c r="B294" i="2"/>
  <c r="A294" i="2"/>
  <c r="M293" i="2"/>
  <c r="L293" i="2"/>
  <c r="F293" i="2"/>
  <c r="D293" i="2"/>
  <c r="C293" i="2"/>
  <c r="B293" i="2"/>
  <c r="A293" i="2"/>
  <c r="M292" i="2"/>
  <c r="L292" i="2"/>
  <c r="F292" i="2"/>
  <c r="D292" i="2"/>
  <c r="C292" i="2"/>
  <c r="B292" i="2"/>
  <c r="A292" i="2"/>
  <c r="M291" i="2"/>
  <c r="L291" i="2"/>
  <c r="F291" i="2"/>
  <c r="D291" i="2"/>
  <c r="C291" i="2"/>
  <c r="B291" i="2"/>
  <c r="A291" i="2"/>
  <c r="M290" i="2"/>
  <c r="L290" i="2"/>
  <c r="F290" i="2"/>
  <c r="D290" i="2"/>
  <c r="C290" i="2"/>
  <c r="B290" i="2"/>
  <c r="A290" i="2"/>
  <c r="M289" i="2"/>
  <c r="L289" i="2"/>
  <c r="F289" i="2"/>
  <c r="D289" i="2"/>
  <c r="C289" i="2"/>
  <c r="B289" i="2"/>
  <c r="A289" i="2"/>
  <c r="M288" i="2"/>
  <c r="L288" i="2"/>
  <c r="F288" i="2"/>
  <c r="D288" i="2"/>
  <c r="C288" i="2"/>
  <c r="B288" i="2"/>
  <c r="A288" i="2"/>
  <c r="M287" i="2"/>
  <c r="L287" i="2"/>
  <c r="F287" i="2"/>
  <c r="D287" i="2"/>
  <c r="C287" i="2"/>
  <c r="B287" i="2"/>
  <c r="A287" i="2"/>
  <c r="M286" i="2"/>
  <c r="L286" i="2"/>
  <c r="F286" i="2"/>
  <c r="D286" i="2"/>
  <c r="C286" i="2"/>
  <c r="B286" i="2"/>
  <c r="A286" i="2"/>
  <c r="M285" i="2"/>
  <c r="L285" i="2"/>
  <c r="F285" i="2"/>
  <c r="D285" i="2"/>
  <c r="C285" i="2"/>
  <c r="B285" i="2"/>
  <c r="A285" i="2"/>
  <c r="M284" i="2"/>
  <c r="L284" i="2"/>
  <c r="F284" i="2"/>
  <c r="D284" i="2"/>
  <c r="C284" i="2"/>
  <c r="B284" i="2"/>
  <c r="A284" i="2"/>
  <c r="M283" i="2"/>
  <c r="L283" i="2"/>
  <c r="F283" i="2"/>
  <c r="D283" i="2"/>
  <c r="C283" i="2"/>
  <c r="B283" i="2"/>
  <c r="A283" i="2"/>
  <c r="M282" i="2"/>
  <c r="L282" i="2"/>
  <c r="F282" i="2"/>
  <c r="D282" i="2"/>
  <c r="C282" i="2"/>
  <c r="B282" i="2"/>
  <c r="A282" i="2"/>
  <c r="M281" i="2"/>
  <c r="L281" i="2"/>
  <c r="F281" i="2"/>
  <c r="D281" i="2"/>
  <c r="C281" i="2"/>
  <c r="B281" i="2"/>
  <c r="A281" i="2"/>
  <c r="M280" i="2"/>
  <c r="L280" i="2"/>
  <c r="F280" i="2"/>
  <c r="D280" i="2"/>
  <c r="C280" i="2"/>
  <c r="B280" i="2"/>
  <c r="A280" i="2"/>
  <c r="M279" i="2"/>
  <c r="L279" i="2"/>
  <c r="F279" i="2"/>
  <c r="D279" i="2"/>
  <c r="C279" i="2"/>
  <c r="B279" i="2"/>
  <c r="A279" i="2"/>
  <c r="M278" i="2"/>
  <c r="L278" i="2"/>
  <c r="F278" i="2"/>
  <c r="D278" i="2"/>
  <c r="C278" i="2"/>
  <c r="B278" i="2"/>
  <c r="A278" i="2"/>
  <c r="M277" i="2"/>
  <c r="L277" i="2"/>
  <c r="F277" i="2"/>
  <c r="D277" i="2"/>
  <c r="C277" i="2"/>
  <c r="B277" i="2"/>
  <c r="A277" i="2"/>
  <c r="M276" i="2"/>
  <c r="L276" i="2"/>
  <c r="F276" i="2"/>
  <c r="D276" i="2"/>
  <c r="C276" i="2"/>
  <c r="B276" i="2"/>
  <c r="A276" i="2"/>
  <c r="M275" i="2"/>
  <c r="L275" i="2"/>
  <c r="F275" i="2"/>
  <c r="D275" i="2"/>
  <c r="C275" i="2"/>
  <c r="B275" i="2"/>
  <c r="A275" i="2"/>
  <c r="M274" i="2"/>
  <c r="L274" i="2"/>
  <c r="F274" i="2"/>
  <c r="D274" i="2"/>
  <c r="C274" i="2"/>
  <c r="B274" i="2"/>
  <c r="A274" i="2"/>
  <c r="M273" i="2"/>
  <c r="L273" i="2"/>
  <c r="F273" i="2"/>
  <c r="D273" i="2"/>
  <c r="C273" i="2"/>
  <c r="B273" i="2"/>
  <c r="A273" i="2"/>
  <c r="M272" i="2"/>
  <c r="L272" i="2"/>
  <c r="F272" i="2"/>
  <c r="D272" i="2"/>
  <c r="C272" i="2"/>
  <c r="B272" i="2"/>
  <c r="A272" i="2"/>
  <c r="M271" i="2"/>
  <c r="L271" i="2"/>
  <c r="F271" i="2"/>
  <c r="D271" i="2"/>
  <c r="C271" i="2"/>
  <c r="B271" i="2"/>
  <c r="A271" i="2"/>
  <c r="M270" i="2"/>
  <c r="L270" i="2"/>
  <c r="F270" i="2"/>
  <c r="D270" i="2"/>
  <c r="C270" i="2"/>
  <c r="B270" i="2"/>
  <c r="A270" i="2"/>
  <c r="M269" i="2"/>
  <c r="L269" i="2"/>
  <c r="F269" i="2"/>
  <c r="D269" i="2"/>
  <c r="C269" i="2"/>
  <c r="B269" i="2"/>
  <c r="A269" i="2"/>
  <c r="M268" i="2"/>
  <c r="L268" i="2"/>
  <c r="F268" i="2"/>
  <c r="D268" i="2"/>
  <c r="C268" i="2"/>
  <c r="B268" i="2"/>
  <c r="A268" i="2"/>
  <c r="M267" i="2"/>
  <c r="L267" i="2"/>
  <c r="F267" i="2"/>
  <c r="D267" i="2"/>
  <c r="C267" i="2"/>
  <c r="B267" i="2"/>
  <c r="A267" i="2"/>
  <c r="M266" i="2"/>
  <c r="L266" i="2"/>
  <c r="F266" i="2"/>
  <c r="D266" i="2"/>
  <c r="C266" i="2"/>
  <c r="B266" i="2"/>
  <c r="A266" i="2"/>
  <c r="M265" i="2"/>
  <c r="L265" i="2"/>
  <c r="F265" i="2"/>
  <c r="D265" i="2"/>
  <c r="C265" i="2"/>
  <c r="B265" i="2"/>
  <c r="A265" i="2"/>
  <c r="M264" i="2"/>
  <c r="L264" i="2"/>
  <c r="F264" i="2"/>
  <c r="D264" i="2"/>
  <c r="C264" i="2"/>
  <c r="B264" i="2"/>
  <c r="A264" i="2"/>
  <c r="M263" i="2"/>
  <c r="L263" i="2"/>
  <c r="F263" i="2"/>
  <c r="D263" i="2"/>
  <c r="C263" i="2"/>
  <c r="B263" i="2"/>
  <c r="A263" i="2"/>
  <c r="M262" i="2"/>
  <c r="L262" i="2"/>
  <c r="F262" i="2"/>
  <c r="D262" i="2"/>
  <c r="C262" i="2"/>
  <c r="B262" i="2"/>
  <c r="A262" i="2"/>
  <c r="M261" i="2"/>
  <c r="L261" i="2"/>
  <c r="F261" i="2"/>
  <c r="D261" i="2"/>
  <c r="C261" i="2"/>
  <c r="B261" i="2"/>
  <c r="A261" i="2"/>
  <c r="M260" i="2"/>
  <c r="L260" i="2"/>
  <c r="F260" i="2"/>
  <c r="D260" i="2"/>
  <c r="C260" i="2"/>
  <c r="B260" i="2"/>
  <c r="A260" i="2"/>
  <c r="M259" i="2"/>
  <c r="L259" i="2"/>
  <c r="F259" i="2"/>
  <c r="D259" i="2"/>
  <c r="C259" i="2"/>
  <c r="B259" i="2"/>
  <c r="A259" i="2"/>
  <c r="M258" i="2"/>
  <c r="L258" i="2"/>
  <c r="F258" i="2"/>
  <c r="D258" i="2"/>
  <c r="C258" i="2"/>
  <c r="B258" i="2"/>
  <c r="A258" i="2"/>
  <c r="M257" i="2"/>
  <c r="L257" i="2"/>
  <c r="F257" i="2"/>
  <c r="D257" i="2"/>
  <c r="C257" i="2"/>
  <c r="B257" i="2"/>
  <c r="A257" i="2"/>
  <c r="M256" i="2"/>
  <c r="L256" i="2"/>
  <c r="F256" i="2"/>
  <c r="D256" i="2"/>
  <c r="C256" i="2"/>
  <c r="B256" i="2"/>
  <c r="A256" i="2"/>
  <c r="M255" i="2"/>
  <c r="L255" i="2"/>
  <c r="F255" i="2"/>
  <c r="D255" i="2"/>
  <c r="C255" i="2"/>
  <c r="B255" i="2"/>
  <c r="A255" i="2"/>
  <c r="M254" i="2"/>
  <c r="L254" i="2"/>
  <c r="F254" i="2"/>
  <c r="D254" i="2"/>
  <c r="C254" i="2"/>
  <c r="B254" i="2"/>
  <c r="A254" i="2"/>
  <c r="M253" i="2"/>
  <c r="L253" i="2"/>
  <c r="F253" i="2"/>
  <c r="D253" i="2"/>
  <c r="C253" i="2"/>
  <c r="B253" i="2"/>
  <c r="A253" i="2"/>
  <c r="M252" i="2"/>
  <c r="L252" i="2"/>
  <c r="F252" i="2"/>
  <c r="D252" i="2"/>
  <c r="C252" i="2"/>
  <c r="B252" i="2"/>
  <c r="A252" i="2"/>
  <c r="M251" i="2"/>
  <c r="L251" i="2"/>
  <c r="F251" i="2"/>
  <c r="D251" i="2"/>
  <c r="C251" i="2"/>
  <c r="B251" i="2"/>
  <c r="A251" i="2"/>
  <c r="M250" i="2"/>
  <c r="L250" i="2"/>
  <c r="F250" i="2"/>
  <c r="D250" i="2"/>
  <c r="C250" i="2"/>
  <c r="B250" i="2"/>
  <c r="A250" i="2"/>
  <c r="M249" i="2"/>
  <c r="L249" i="2"/>
  <c r="F249" i="2"/>
  <c r="D249" i="2"/>
  <c r="C249" i="2"/>
  <c r="B249" i="2"/>
  <c r="A249" i="2"/>
  <c r="M248" i="2"/>
  <c r="L248" i="2"/>
  <c r="F248" i="2"/>
  <c r="D248" i="2"/>
  <c r="C248" i="2"/>
  <c r="B248" i="2"/>
  <c r="A248" i="2"/>
  <c r="M247" i="2"/>
  <c r="L247" i="2"/>
  <c r="F247" i="2"/>
  <c r="D247" i="2"/>
  <c r="C247" i="2"/>
  <c r="B247" i="2"/>
  <c r="A247" i="2"/>
  <c r="M246" i="2"/>
  <c r="L246" i="2"/>
  <c r="F246" i="2"/>
  <c r="D246" i="2"/>
  <c r="C246" i="2"/>
  <c r="B246" i="2"/>
  <c r="A246" i="2"/>
  <c r="M245" i="2"/>
  <c r="L245" i="2"/>
  <c r="F245" i="2"/>
  <c r="D245" i="2"/>
  <c r="C245" i="2"/>
  <c r="B245" i="2"/>
  <c r="A245" i="2"/>
  <c r="M244" i="2"/>
  <c r="L244" i="2"/>
  <c r="F244" i="2"/>
  <c r="D244" i="2"/>
  <c r="C244" i="2"/>
  <c r="B244" i="2"/>
  <c r="A244" i="2"/>
  <c r="M243" i="2"/>
  <c r="L243" i="2"/>
  <c r="F243" i="2"/>
  <c r="D243" i="2"/>
  <c r="C243" i="2"/>
  <c r="B243" i="2"/>
  <c r="A243" i="2"/>
  <c r="M242" i="2"/>
  <c r="L242" i="2"/>
  <c r="F242" i="2"/>
  <c r="D242" i="2"/>
  <c r="C242" i="2"/>
  <c r="B242" i="2"/>
  <c r="A242" i="2"/>
  <c r="M241" i="2"/>
  <c r="L241" i="2"/>
  <c r="F241" i="2"/>
  <c r="D241" i="2"/>
  <c r="C241" i="2"/>
  <c r="B241" i="2"/>
  <c r="A241" i="2"/>
  <c r="M240" i="2"/>
  <c r="L240" i="2"/>
  <c r="F240" i="2"/>
  <c r="D240" i="2"/>
  <c r="C240" i="2"/>
  <c r="B240" i="2"/>
  <c r="A240" i="2"/>
  <c r="M239" i="2"/>
  <c r="L239" i="2"/>
  <c r="F239" i="2"/>
  <c r="D239" i="2"/>
  <c r="C239" i="2"/>
  <c r="B239" i="2"/>
  <c r="A239" i="2"/>
  <c r="M238" i="2"/>
  <c r="L238" i="2"/>
  <c r="F238" i="2"/>
  <c r="D238" i="2"/>
  <c r="C238" i="2"/>
  <c r="B238" i="2"/>
  <c r="A238" i="2"/>
  <c r="M237" i="2"/>
  <c r="L237" i="2"/>
  <c r="F237" i="2"/>
  <c r="D237" i="2"/>
  <c r="C237" i="2"/>
  <c r="B237" i="2"/>
  <c r="A237" i="2"/>
  <c r="M236" i="2"/>
  <c r="L236" i="2"/>
  <c r="F236" i="2"/>
  <c r="D236" i="2"/>
  <c r="C236" i="2"/>
  <c r="B236" i="2"/>
  <c r="A236" i="2"/>
  <c r="M235" i="2"/>
  <c r="L235" i="2"/>
  <c r="F235" i="2"/>
  <c r="D235" i="2"/>
  <c r="C235" i="2"/>
  <c r="B235" i="2"/>
  <c r="A235" i="2"/>
  <c r="M234" i="2"/>
  <c r="L234" i="2"/>
  <c r="F234" i="2"/>
  <c r="D234" i="2"/>
  <c r="C234" i="2"/>
  <c r="B234" i="2"/>
  <c r="A234" i="2"/>
  <c r="M233" i="2"/>
  <c r="L233" i="2"/>
  <c r="F233" i="2"/>
  <c r="D233" i="2"/>
  <c r="C233" i="2"/>
  <c r="B233" i="2"/>
  <c r="A233" i="2"/>
  <c r="M232" i="2"/>
  <c r="L232" i="2"/>
  <c r="F232" i="2"/>
  <c r="D232" i="2"/>
  <c r="C232" i="2"/>
  <c r="B232" i="2"/>
  <c r="A232" i="2"/>
  <c r="M231" i="2"/>
  <c r="L231" i="2"/>
  <c r="F231" i="2"/>
  <c r="D231" i="2"/>
  <c r="C231" i="2"/>
  <c r="B231" i="2"/>
  <c r="A231" i="2"/>
  <c r="M230" i="2"/>
  <c r="L230" i="2"/>
  <c r="F230" i="2"/>
  <c r="D230" i="2"/>
  <c r="C230" i="2"/>
  <c r="B230" i="2"/>
  <c r="A230" i="2"/>
  <c r="M229" i="2"/>
  <c r="L229" i="2"/>
  <c r="F229" i="2"/>
  <c r="D229" i="2"/>
  <c r="C229" i="2"/>
  <c r="B229" i="2"/>
  <c r="A229" i="2"/>
  <c r="M228" i="2"/>
  <c r="L228" i="2"/>
  <c r="F228" i="2"/>
  <c r="D228" i="2"/>
  <c r="C228" i="2"/>
  <c r="B228" i="2"/>
  <c r="A228" i="2"/>
  <c r="M227" i="2"/>
  <c r="L227" i="2"/>
  <c r="F227" i="2"/>
  <c r="D227" i="2"/>
  <c r="C227" i="2"/>
  <c r="B227" i="2"/>
  <c r="A227" i="2"/>
  <c r="M226" i="2"/>
  <c r="L226" i="2"/>
  <c r="F226" i="2"/>
  <c r="D226" i="2"/>
  <c r="C226" i="2"/>
  <c r="B226" i="2"/>
  <c r="A226" i="2"/>
  <c r="M225" i="2"/>
  <c r="L225" i="2"/>
  <c r="F225" i="2"/>
  <c r="D225" i="2"/>
  <c r="C225" i="2"/>
  <c r="B225" i="2"/>
  <c r="A225" i="2"/>
  <c r="M224" i="2"/>
  <c r="L224" i="2"/>
  <c r="F224" i="2"/>
  <c r="D224" i="2"/>
  <c r="C224" i="2"/>
  <c r="B224" i="2"/>
  <c r="A224" i="2"/>
  <c r="M223" i="2"/>
  <c r="L223" i="2"/>
  <c r="F223" i="2"/>
  <c r="D223" i="2"/>
  <c r="C223" i="2"/>
  <c r="B223" i="2"/>
  <c r="A223" i="2"/>
  <c r="M222" i="2"/>
  <c r="L222" i="2"/>
  <c r="F222" i="2"/>
  <c r="D222" i="2"/>
  <c r="C222" i="2"/>
  <c r="B222" i="2"/>
  <c r="A222" i="2"/>
  <c r="M221" i="2"/>
  <c r="L221" i="2"/>
  <c r="F221" i="2"/>
  <c r="D221" i="2"/>
  <c r="C221" i="2"/>
  <c r="B221" i="2"/>
  <c r="A221" i="2"/>
  <c r="M220" i="2"/>
  <c r="L220" i="2"/>
  <c r="F220" i="2"/>
  <c r="D220" i="2"/>
  <c r="C220" i="2"/>
  <c r="B220" i="2"/>
  <c r="A220" i="2"/>
  <c r="M219" i="2"/>
  <c r="L219" i="2"/>
  <c r="F219" i="2"/>
  <c r="D219" i="2"/>
  <c r="C219" i="2"/>
  <c r="B219" i="2"/>
  <c r="A219" i="2"/>
  <c r="M218" i="2"/>
  <c r="L218" i="2"/>
  <c r="F218" i="2"/>
  <c r="D218" i="2"/>
  <c r="C218" i="2"/>
  <c r="B218" i="2"/>
  <c r="A218" i="2"/>
  <c r="M217" i="2"/>
  <c r="L217" i="2"/>
  <c r="F217" i="2"/>
  <c r="D217" i="2"/>
  <c r="C217" i="2"/>
  <c r="B217" i="2"/>
  <c r="A217" i="2"/>
  <c r="M216" i="2"/>
  <c r="L216" i="2"/>
  <c r="F216" i="2"/>
  <c r="D216" i="2"/>
  <c r="C216" i="2"/>
  <c r="B216" i="2"/>
  <c r="A216" i="2"/>
  <c r="M215" i="2"/>
  <c r="L215" i="2"/>
  <c r="F215" i="2"/>
  <c r="D215" i="2"/>
  <c r="C215" i="2"/>
  <c r="B215" i="2"/>
  <c r="A215" i="2"/>
  <c r="M214" i="2"/>
  <c r="L214" i="2"/>
  <c r="F214" i="2"/>
  <c r="D214" i="2"/>
  <c r="C214" i="2"/>
  <c r="B214" i="2"/>
  <c r="A214" i="2"/>
  <c r="M213" i="2"/>
  <c r="L213" i="2"/>
  <c r="F213" i="2"/>
  <c r="D213" i="2"/>
  <c r="C213" i="2"/>
  <c r="B213" i="2"/>
  <c r="A213" i="2"/>
  <c r="M212" i="2"/>
  <c r="L212" i="2"/>
  <c r="F212" i="2"/>
  <c r="D212" i="2"/>
  <c r="C212" i="2"/>
  <c r="B212" i="2"/>
  <c r="A212" i="2"/>
  <c r="M211" i="2"/>
  <c r="L211" i="2"/>
  <c r="F211" i="2"/>
  <c r="D211" i="2"/>
  <c r="C211" i="2"/>
  <c r="B211" i="2"/>
  <c r="A211" i="2"/>
  <c r="M210" i="2"/>
  <c r="L210" i="2"/>
  <c r="F210" i="2"/>
  <c r="D210" i="2"/>
  <c r="C210" i="2"/>
  <c r="B210" i="2"/>
  <c r="A210" i="2"/>
  <c r="M209" i="2"/>
  <c r="L209" i="2"/>
  <c r="F209" i="2"/>
  <c r="D209" i="2"/>
  <c r="C209" i="2"/>
  <c r="B209" i="2"/>
  <c r="A209" i="2"/>
  <c r="M208" i="2"/>
  <c r="L208" i="2"/>
  <c r="F208" i="2"/>
  <c r="D208" i="2"/>
  <c r="C208" i="2"/>
  <c r="B208" i="2"/>
  <c r="A208" i="2"/>
  <c r="M207" i="2"/>
  <c r="L207" i="2"/>
  <c r="F207" i="2"/>
  <c r="D207" i="2"/>
  <c r="C207" i="2"/>
  <c r="B207" i="2"/>
  <c r="A207" i="2"/>
  <c r="M206" i="2"/>
  <c r="L206" i="2"/>
  <c r="F206" i="2"/>
  <c r="D206" i="2"/>
  <c r="C206" i="2"/>
  <c r="B206" i="2"/>
  <c r="A206" i="2"/>
  <c r="M205" i="2"/>
  <c r="L205" i="2"/>
  <c r="F205" i="2"/>
  <c r="D205" i="2"/>
  <c r="C205" i="2"/>
  <c r="B205" i="2"/>
  <c r="A205" i="2"/>
  <c r="M204" i="2"/>
  <c r="L204" i="2"/>
  <c r="F204" i="2"/>
  <c r="D204" i="2"/>
  <c r="C204" i="2"/>
  <c r="B204" i="2"/>
  <c r="A204" i="2"/>
  <c r="M203" i="2"/>
  <c r="L203" i="2"/>
  <c r="F203" i="2"/>
  <c r="D203" i="2"/>
  <c r="C203" i="2"/>
  <c r="B203" i="2"/>
  <c r="A203" i="2"/>
  <c r="M202" i="2"/>
  <c r="L202" i="2"/>
  <c r="F202" i="2"/>
  <c r="D202" i="2"/>
  <c r="C202" i="2"/>
  <c r="B202" i="2"/>
  <c r="A202" i="2"/>
  <c r="M201" i="2"/>
  <c r="L201" i="2"/>
  <c r="F201" i="2"/>
  <c r="D201" i="2"/>
  <c r="C201" i="2"/>
  <c r="B201" i="2"/>
  <c r="A201" i="2"/>
  <c r="M200" i="2"/>
  <c r="L200" i="2"/>
  <c r="F200" i="2"/>
  <c r="D200" i="2"/>
  <c r="C200" i="2"/>
  <c r="B200" i="2"/>
  <c r="A200" i="2"/>
  <c r="M199" i="2"/>
  <c r="L199" i="2"/>
  <c r="F199" i="2"/>
  <c r="D199" i="2"/>
  <c r="C199" i="2"/>
  <c r="B199" i="2"/>
  <c r="A199" i="2"/>
  <c r="M198" i="2"/>
  <c r="L198" i="2"/>
  <c r="F198" i="2"/>
  <c r="D198" i="2"/>
  <c r="C198" i="2"/>
  <c r="B198" i="2"/>
  <c r="A198" i="2"/>
  <c r="M197" i="2"/>
  <c r="L197" i="2"/>
  <c r="F197" i="2"/>
  <c r="D197" i="2"/>
  <c r="C197" i="2"/>
  <c r="B197" i="2"/>
  <c r="A197" i="2"/>
  <c r="M196" i="2"/>
  <c r="L196" i="2"/>
  <c r="F196" i="2"/>
  <c r="D196" i="2"/>
  <c r="C196" i="2"/>
  <c r="B196" i="2"/>
  <c r="A196" i="2"/>
  <c r="M195" i="2"/>
  <c r="L195" i="2"/>
  <c r="F195" i="2"/>
  <c r="D195" i="2"/>
  <c r="C195" i="2"/>
  <c r="B195" i="2"/>
  <c r="A195" i="2"/>
  <c r="M194" i="2"/>
  <c r="L194" i="2"/>
  <c r="F194" i="2"/>
  <c r="D194" i="2"/>
  <c r="C194" i="2"/>
  <c r="B194" i="2"/>
  <c r="A194" i="2"/>
  <c r="M193" i="2"/>
  <c r="L193" i="2"/>
  <c r="F193" i="2"/>
  <c r="D193" i="2"/>
  <c r="C193" i="2"/>
  <c r="B193" i="2"/>
  <c r="A193" i="2"/>
  <c r="M192" i="2"/>
  <c r="L192" i="2"/>
  <c r="F192" i="2"/>
  <c r="D192" i="2"/>
  <c r="C192" i="2"/>
  <c r="B192" i="2"/>
  <c r="A192" i="2"/>
  <c r="M191" i="2"/>
  <c r="L191" i="2"/>
  <c r="F191" i="2"/>
  <c r="D191" i="2"/>
  <c r="C191" i="2"/>
  <c r="B191" i="2"/>
  <c r="A191" i="2"/>
  <c r="M190" i="2"/>
  <c r="L190" i="2"/>
  <c r="F190" i="2"/>
  <c r="D190" i="2"/>
  <c r="C190" i="2"/>
  <c r="B190" i="2"/>
  <c r="A190" i="2"/>
  <c r="M189" i="2"/>
  <c r="L189" i="2"/>
  <c r="F189" i="2"/>
  <c r="D189" i="2"/>
  <c r="C189" i="2"/>
  <c r="B189" i="2"/>
  <c r="A189" i="2"/>
  <c r="M188" i="2"/>
  <c r="L188" i="2"/>
  <c r="F188" i="2"/>
  <c r="D188" i="2"/>
  <c r="C188" i="2"/>
  <c r="B188" i="2"/>
  <c r="A188" i="2"/>
  <c r="M187" i="2"/>
  <c r="L187" i="2"/>
  <c r="F187" i="2"/>
  <c r="D187" i="2"/>
  <c r="C187" i="2"/>
  <c r="B187" i="2"/>
  <c r="A187" i="2"/>
  <c r="M186" i="2"/>
  <c r="L186" i="2"/>
  <c r="F186" i="2"/>
  <c r="D186" i="2"/>
  <c r="C186" i="2"/>
  <c r="B186" i="2"/>
  <c r="A186" i="2"/>
  <c r="M185" i="2"/>
  <c r="L185" i="2"/>
  <c r="F185" i="2"/>
  <c r="D185" i="2"/>
  <c r="C185" i="2"/>
  <c r="B185" i="2"/>
  <c r="A185" i="2"/>
  <c r="M184" i="2"/>
  <c r="L184" i="2"/>
  <c r="F184" i="2"/>
  <c r="D184" i="2"/>
  <c r="C184" i="2"/>
  <c r="B184" i="2"/>
  <c r="A184" i="2"/>
  <c r="M183" i="2"/>
  <c r="L183" i="2"/>
  <c r="F183" i="2"/>
  <c r="D183" i="2"/>
  <c r="C183" i="2"/>
  <c r="B183" i="2"/>
  <c r="A183" i="2"/>
  <c r="M182" i="2"/>
  <c r="L182" i="2"/>
  <c r="F182" i="2"/>
  <c r="D182" i="2"/>
  <c r="C182" i="2"/>
  <c r="B182" i="2"/>
  <c r="A182" i="2"/>
  <c r="M181" i="2"/>
  <c r="L181" i="2"/>
  <c r="F181" i="2"/>
  <c r="D181" i="2"/>
  <c r="C181" i="2"/>
  <c r="B181" i="2"/>
  <c r="A181" i="2"/>
  <c r="M180" i="2"/>
  <c r="L180" i="2"/>
  <c r="F180" i="2"/>
  <c r="D180" i="2"/>
  <c r="C180" i="2"/>
  <c r="B180" i="2"/>
  <c r="A180" i="2"/>
  <c r="M179" i="2"/>
  <c r="L179" i="2"/>
  <c r="F179" i="2"/>
  <c r="D179" i="2"/>
  <c r="C179" i="2"/>
  <c r="B179" i="2"/>
  <c r="A179" i="2"/>
  <c r="M178" i="2"/>
  <c r="L178" i="2"/>
  <c r="F178" i="2"/>
  <c r="D178" i="2"/>
  <c r="C178" i="2"/>
  <c r="B178" i="2"/>
  <c r="A178" i="2"/>
  <c r="M177" i="2"/>
  <c r="L177" i="2"/>
  <c r="F177" i="2"/>
  <c r="D177" i="2"/>
  <c r="C177" i="2"/>
  <c r="B177" i="2"/>
  <c r="A177" i="2"/>
  <c r="M176" i="2"/>
  <c r="L176" i="2"/>
  <c r="F176" i="2"/>
  <c r="D176" i="2"/>
  <c r="C176" i="2"/>
  <c r="B176" i="2"/>
  <c r="A176" i="2"/>
  <c r="M175" i="2"/>
  <c r="L175" i="2"/>
  <c r="F175" i="2"/>
  <c r="D175" i="2"/>
  <c r="C175" i="2"/>
  <c r="B175" i="2"/>
  <c r="A175" i="2"/>
  <c r="M174" i="2"/>
  <c r="L174" i="2"/>
  <c r="F174" i="2"/>
  <c r="D174" i="2"/>
  <c r="C174" i="2"/>
  <c r="B174" i="2"/>
  <c r="A174" i="2"/>
  <c r="M173" i="2"/>
  <c r="L173" i="2"/>
  <c r="F173" i="2"/>
  <c r="D173" i="2"/>
  <c r="C173" i="2"/>
  <c r="B173" i="2"/>
  <c r="A173" i="2"/>
  <c r="M172" i="2"/>
  <c r="L172" i="2"/>
  <c r="F172" i="2"/>
  <c r="D172" i="2"/>
  <c r="C172" i="2"/>
  <c r="B172" i="2"/>
  <c r="A172" i="2"/>
  <c r="M171" i="2"/>
  <c r="L171" i="2"/>
  <c r="F171" i="2"/>
  <c r="D171" i="2"/>
  <c r="C171" i="2"/>
  <c r="B171" i="2"/>
  <c r="A171" i="2"/>
  <c r="M170" i="2"/>
  <c r="L170" i="2"/>
  <c r="F170" i="2"/>
  <c r="D170" i="2"/>
  <c r="C170" i="2"/>
  <c r="B170" i="2"/>
  <c r="A170" i="2"/>
  <c r="M169" i="2"/>
  <c r="L169" i="2"/>
  <c r="F169" i="2"/>
  <c r="D169" i="2"/>
  <c r="C169" i="2"/>
  <c r="B169" i="2"/>
  <c r="A169" i="2"/>
  <c r="M168" i="2"/>
  <c r="L168" i="2"/>
  <c r="F168" i="2"/>
  <c r="D168" i="2"/>
  <c r="C168" i="2"/>
  <c r="B168" i="2"/>
  <c r="A168" i="2"/>
  <c r="M167" i="2"/>
  <c r="L167" i="2"/>
  <c r="F167" i="2"/>
  <c r="D167" i="2"/>
  <c r="C167" i="2"/>
  <c r="B167" i="2"/>
  <c r="A167" i="2"/>
  <c r="M166" i="2"/>
  <c r="L166" i="2"/>
  <c r="F166" i="2"/>
  <c r="D166" i="2"/>
  <c r="C166" i="2"/>
  <c r="B166" i="2"/>
  <c r="A166" i="2"/>
  <c r="M165" i="2"/>
  <c r="L165" i="2"/>
  <c r="F165" i="2"/>
  <c r="D165" i="2"/>
  <c r="C165" i="2"/>
  <c r="B165" i="2"/>
  <c r="A165" i="2"/>
  <c r="M164" i="2"/>
  <c r="L164" i="2"/>
  <c r="F164" i="2"/>
  <c r="D164" i="2"/>
  <c r="C164" i="2"/>
  <c r="B164" i="2"/>
  <c r="A164" i="2"/>
  <c r="M163" i="2"/>
  <c r="L163" i="2"/>
  <c r="F163" i="2"/>
  <c r="D163" i="2"/>
  <c r="C163" i="2"/>
  <c r="B163" i="2"/>
  <c r="A163" i="2"/>
  <c r="M162" i="2"/>
  <c r="L162" i="2"/>
  <c r="F162" i="2"/>
  <c r="D162" i="2"/>
  <c r="C162" i="2"/>
  <c r="B162" i="2"/>
  <c r="A162" i="2"/>
  <c r="M161" i="2"/>
  <c r="L161" i="2"/>
  <c r="F161" i="2"/>
  <c r="D161" i="2"/>
  <c r="C161" i="2"/>
  <c r="B161" i="2"/>
  <c r="A161" i="2"/>
  <c r="M160" i="2"/>
  <c r="L160" i="2"/>
  <c r="F160" i="2"/>
  <c r="D160" i="2"/>
  <c r="C160" i="2"/>
  <c r="B160" i="2"/>
  <c r="A160" i="2"/>
  <c r="M159" i="2"/>
  <c r="L159" i="2"/>
  <c r="F159" i="2"/>
  <c r="D159" i="2"/>
  <c r="C159" i="2"/>
  <c r="B159" i="2"/>
  <c r="A159" i="2"/>
  <c r="M158" i="2"/>
  <c r="L158" i="2"/>
  <c r="F158" i="2"/>
  <c r="D158" i="2"/>
  <c r="C158" i="2"/>
  <c r="B158" i="2"/>
  <c r="A158" i="2"/>
  <c r="M157" i="2"/>
  <c r="L157" i="2"/>
  <c r="F157" i="2"/>
  <c r="D157" i="2"/>
  <c r="C157" i="2"/>
  <c r="B157" i="2"/>
  <c r="A157" i="2"/>
  <c r="M156" i="2"/>
  <c r="L156" i="2"/>
  <c r="F156" i="2"/>
  <c r="D156" i="2"/>
  <c r="C156" i="2"/>
  <c r="B156" i="2"/>
  <c r="A156" i="2"/>
  <c r="M155" i="2"/>
  <c r="L155" i="2"/>
  <c r="F155" i="2"/>
  <c r="D155" i="2"/>
  <c r="C155" i="2"/>
  <c r="B155" i="2"/>
  <c r="A155" i="2"/>
  <c r="M154" i="2"/>
  <c r="L154" i="2"/>
  <c r="F154" i="2"/>
  <c r="D154" i="2"/>
  <c r="C154" i="2"/>
  <c r="B154" i="2"/>
  <c r="A154" i="2"/>
  <c r="M153" i="2"/>
  <c r="L153" i="2"/>
  <c r="F153" i="2"/>
  <c r="D153" i="2"/>
  <c r="C153" i="2"/>
  <c r="B153" i="2"/>
  <c r="A153" i="2"/>
  <c r="M152" i="2"/>
  <c r="L152" i="2"/>
  <c r="F152" i="2"/>
  <c r="D152" i="2"/>
  <c r="C152" i="2"/>
  <c r="B152" i="2"/>
  <c r="A152" i="2"/>
  <c r="M151" i="2"/>
  <c r="L151" i="2"/>
  <c r="F151" i="2"/>
  <c r="D151" i="2"/>
  <c r="C151" i="2"/>
  <c r="B151" i="2"/>
  <c r="A151" i="2"/>
  <c r="M150" i="2"/>
  <c r="L150" i="2"/>
  <c r="F150" i="2"/>
  <c r="D150" i="2"/>
  <c r="C150" i="2"/>
  <c r="B150" i="2"/>
  <c r="A150" i="2"/>
  <c r="M149" i="2"/>
  <c r="L149" i="2"/>
  <c r="F149" i="2"/>
  <c r="D149" i="2"/>
  <c r="C149" i="2"/>
  <c r="B149" i="2"/>
  <c r="A149" i="2"/>
  <c r="M148" i="2"/>
  <c r="L148" i="2"/>
  <c r="F148" i="2"/>
  <c r="D148" i="2"/>
  <c r="C148" i="2"/>
  <c r="B148" i="2"/>
  <c r="A148" i="2"/>
  <c r="M147" i="2"/>
  <c r="L147" i="2"/>
  <c r="F147" i="2"/>
  <c r="D147" i="2"/>
  <c r="C147" i="2"/>
  <c r="B147" i="2"/>
  <c r="A147" i="2"/>
  <c r="M146" i="2"/>
  <c r="L146" i="2"/>
  <c r="F146" i="2"/>
  <c r="D146" i="2"/>
  <c r="C146" i="2"/>
  <c r="B146" i="2"/>
  <c r="A146" i="2"/>
  <c r="M145" i="2"/>
  <c r="L145" i="2"/>
  <c r="F145" i="2"/>
  <c r="D145" i="2"/>
  <c r="C145" i="2"/>
  <c r="B145" i="2"/>
  <c r="A145" i="2"/>
  <c r="M144" i="2"/>
  <c r="L144" i="2"/>
  <c r="F144" i="2"/>
  <c r="D144" i="2"/>
  <c r="C144" i="2"/>
  <c r="B144" i="2"/>
  <c r="A144" i="2"/>
  <c r="M143" i="2"/>
  <c r="L143" i="2"/>
  <c r="F143" i="2"/>
  <c r="D143" i="2"/>
  <c r="C143" i="2"/>
  <c r="B143" i="2"/>
  <c r="A143" i="2"/>
  <c r="M142" i="2"/>
  <c r="L142" i="2"/>
  <c r="F142" i="2"/>
  <c r="D142" i="2"/>
  <c r="C142" i="2"/>
  <c r="B142" i="2"/>
  <c r="A142" i="2"/>
  <c r="M141" i="2"/>
  <c r="L141" i="2"/>
  <c r="F141" i="2"/>
  <c r="D141" i="2"/>
  <c r="C141" i="2"/>
  <c r="B141" i="2"/>
  <c r="A141" i="2"/>
  <c r="M140" i="2"/>
  <c r="L140" i="2"/>
  <c r="F140" i="2"/>
  <c r="D140" i="2"/>
  <c r="C140" i="2"/>
  <c r="B140" i="2"/>
  <c r="A140" i="2"/>
  <c r="M139" i="2"/>
  <c r="L139" i="2"/>
  <c r="F139" i="2"/>
  <c r="D139" i="2"/>
  <c r="C139" i="2"/>
  <c r="B139" i="2"/>
  <c r="A139" i="2"/>
  <c r="M138" i="2"/>
  <c r="L138" i="2"/>
  <c r="F138" i="2"/>
  <c r="D138" i="2"/>
  <c r="C138" i="2"/>
  <c r="B138" i="2"/>
  <c r="A138" i="2"/>
  <c r="M137" i="2"/>
  <c r="L137" i="2"/>
  <c r="F137" i="2"/>
  <c r="D137" i="2"/>
  <c r="C137" i="2"/>
  <c r="B137" i="2"/>
  <c r="A137" i="2"/>
  <c r="M136" i="2"/>
  <c r="L136" i="2"/>
  <c r="F136" i="2"/>
  <c r="D136" i="2"/>
  <c r="C136" i="2"/>
  <c r="B136" i="2"/>
  <c r="A136" i="2"/>
  <c r="M135" i="2"/>
  <c r="L135" i="2"/>
  <c r="F135" i="2"/>
  <c r="D135" i="2"/>
  <c r="C135" i="2"/>
  <c r="B135" i="2"/>
  <c r="A135" i="2"/>
  <c r="M134" i="2"/>
  <c r="L134" i="2"/>
  <c r="F134" i="2"/>
  <c r="D134" i="2"/>
  <c r="C134" i="2"/>
  <c r="B134" i="2"/>
  <c r="A134" i="2"/>
  <c r="M133" i="2"/>
  <c r="L133" i="2"/>
  <c r="F133" i="2"/>
  <c r="D133" i="2"/>
  <c r="C133" i="2"/>
  <c r="B133" i="2"/>
  <c r="A133" i="2"/>
  <c r="M132" i="2"/>
  <c r="L132" i="2"/>
  <c r="F132" i="2"/>
  <c r="D132" i="2"/>
  <c r="C132" i="2"/>
  <c r="B132" i="2"/>
  <c r="A132" i="2"/>
  <c r="M131" i="2"/>
  <c r="L131" i="2"/>
  <c r="F131" i="2"/>
  <c r="D131" i="2"/>
  <c r="C131" i="2"/>
  <c r="B131" i="2"/>
  <c r="A131" i="2"/>
  <c r="M130" i="2"/>
  <c r="L130" i="2"/>
  <c r="F130" i="2"/>
  <c r="D130" i="2"/>
  <c r="C130" i="2"/>
  <c r="B130" i="2"/>
  <c r="A130" i="2"/>
  <c r="M129" i="2"/>
  <c r="L129" i="2"/>
  <c r="F129" i="2"/>
  <c r="D129" i="2"/>
  <c r="C129" i="2"/>
  <c r="B129" i="2"/>
  <c r="A129" i="2"/>
  <c r="M128" i="2"/>
  <c r="L128" i="2"/>
  <c r="F128" i="2"/>
  <c r="D128" i="2"/>
  <c r="C128" i="2"/>
  <c r="B128" i="2"/>
  <c r="A128" i="2"/>
  <c r="M127" i="2"/>
  <c r="L127" i="2"/>
  <c r="F127" i="2"/>
  <c r="D127" i="2"/>
  <c r="C127" i="2"/>
  <c r="B127" i="2"/>
  <c r="A127" i="2"/>
  <c r="M126" i="2"/>
  <c r="L126" i="2"/>
  <c r="F126" i="2"/>
  <c r="D126" i="2"/>
  <c r="C126" i="2"/>
  <c r="B126" i="2"/>
  <c r="A126" i="2"/>
  <c r="M125" i="2"/>
  <c r="L125" i="2"/>
  <c r="F125" i="2"/>
  <c r="D125" i="2"/>
  <c r="C125" i="2"/>
  <c r="B125" i="2"/>
  <c r="A125" i="2"/>
  <c r="M124" i="2"/>
  <c r="L124" i="2"/>
  <c r="F124" i="2"/>
  <c r="D124" i="2"/>
  <c r="C124" i="2"/>
  <c r="B124" i="2"/>
  <c r="A124" i="2"/>
  <c r="M123" i="2"/>
  <c r="L123" i="2"/>
  <c r="F123" i="2"/>
  <c r="D123" i="2"/>
  <c r="C123" i="2"/>
  <c r="B123" i="2"/>
  <c r="A123" i="2"/>
  <c r="M122" i="2"/>
  <c r="L122" i="2"/>
  <c r="F122" i="2"/>
  <c r="D122" i="2"/>
  <c r="C122" i="2"/>
  <c r="B122" i="2"/>
  <c r="A122" i="2"/>
  <c r="M121" i="2"/>
  <c r="L121" i="2"/>
  <c r="F121" i="2"/>
  <c r="D121" i="2"/>
  <c r="C121" i="2"/>
  <c r="B121" i="2"/>
  <c r="A121" i="2"/>
  <c r="M120" i="2"/>
  <c r="L120" i="2"/>
  <c r="F120" i="2"/>
  <c r="D120" i="2"/>
  <c r="C120" i="2"/>
  <c r="B120" i="2"/>
  <c r="A120" i="2"/>
  <c r="M119" i="2"/>
  <c r="L119" i="2"/>
  <c r="F119" i="2"/>
  <c r="D119" i="2"/>
  <c r="C119" i="2"/>
  <c r="B119" i="2"/>
  <c r="A119" i="2"/>
  <c r="M118" i="2"/>
  <c r="L118" i="2"/>
  <c r="F118" i="2"/>
  <c r="D118" i="2"/>
  <c r="C118" i="2"/>
  <c r="B118" i="2"/>
  <c r="A118" i="2"/>
  <c r="M117" i="2"/>
  <c r="L117" i="2"/>
  <c r="F117" i="2"/>
  <c r="D117" i="2"/>
  <c r="C117" i="2"/>
  <c r="B117" i="2"/>
  <c r="A117" i="2"/>
  <c r="M116" i="2"/>
  <c r="L116" i="2"/>
  <c r="F116" i="2"/>
  <c r="D116" i="2"/>
  <c r="C116" i="2"/>
  <c r="B116" i="2"/>
  <c r="A116" i="2"/>
  <c r="M115" i="2"/>
  <c r="L115" i="2"/>
  <c r="F115" i="2"/>
  <c r="D115" i="2"/>
  <c r="C115" i="2"/>
  <c r="B115" i="2"/>
  <c r="A115" i="2"/>
  <c r="M114" i="2"/>
  <c r="L114" i="2"/>
  <c r="F114" i="2"/>
  <c r="D114" i="2"/>
  <c r="C114" i="2"/>
  <c r="B114" i="2"/>
  <c r="A114" i="2"/>
  <c r="M113" i="2"/>
  <c r="L113" i="2"/>
  <c r="F113" i="2"/>
  <c r="D113" i="2"/>
  <c r="C113" i="2"/>
  <c r="B113" i="2"/>
  <c r="A113" i="2"/>
  <c r="M112" i="2"/>
  <c r="L112" i="2"/>
  <c r="F112" i="2"/>
  <c r="D112" i="2"/>
  <c r="C112" i="2"/>
  <c r="B112" i="2"/>
  <c r="A112" i="2"/>
  <c r="M111" i="2"/>
  <c r="L111" i="2"/>
  <c r="F111" i="2"/>
  <c r="D111" i="2"/>
  <c r="C111" i="2"/>
  <c r="B111" i="2"/>
  <c r="A111" i="2"/>
  <c r="M110" i="2"/>
  <c r="L110" i="2"/>
  <c r="F110" i="2"/>
  <c r="D110" i="2"/>
  <c r="C110" i="2"/>
  <c r="B110" i="2"/>
  <c r="A110" i="2"/>
  <c r="M109" i="2"/>
  <c r="L109" i="2"/>
  <c r="F109" i="2"/>
  <c r="D109" i="2"/>
  <c r="C109" i="2"/>
  <c r="B109" i="2"/>
  <c r="A109" i="2"/>
  <c r="M108" i="2"/>
  <c r="L108" i="2"/>
  <c r="F108" i="2"/>
  <c r="D108" i="2"/>
  <c r="C108" i="2"/>
  <c r="B108" i="2"/>
  <c r="A108" i="2"/>
  <c r="M107" i="2"/>
  <c r="L107" i="2"/>
  <c r="F107" i="2"/>
  <c r="D107" i="2"/>
  <c r="C107" i="2"/>
  <c r="B107" i="2"/>
  <c r="A107" i="2"/>
  <c r="M106" i="2"/>
  <c r="L106" i="2"/>
  <c r="F106" i="2"/>
  <c r="D106" i="2"/>
  <c r="C106" i="2"/>
  <c r="B106" i="2"/>
  <c r="A106" i="2"/>
  <c r="M105" i="2"/>
  <c r="L105" i="2"/>
  <c r="F105" i="2"/>
  <c r="D105" i="2"/>
  <c r="C105" i="2"/>
  <c r="B105" i="2"/>
  <c r="A105" i="2"/>
  <c r="M104" i="2"/>
  <c r="L104" i="2"/>
  <c r="F104" i="2"/>
  <c r="D104" i="2"/>
  <c r="C104" i="2"/>
  <c r="B104" i="2"/>
  <c r="A104" i="2"/>
  <c r="M103" i="2"/>
  <c r="L103" i="2"/>
  <c r="F103" i="2"/>
  <c r="D103" i="2"/>
  <c r="C103" i="2"/>
  <c r="B103" i="2"/>
  <c r="A103" i="2"/>
  <c r="M102" i="2"/>
  <c r="L102" i="2"/>
  <c r="F102" i="2"/>
  <c r="D102" i="2"/>
  <c r="C102" i="2"/>
  <c r="B102" i="2"/>
  <c r="A102" i="2"/>
  <c r="M101" i="2"/>
  <c r="L101" i="2"/>
  <c r="F101" i="2"/>
  <c r="D101" i="2"/>
  <c r="C101" i="2"/>
  <c r="B101" i="2"/>
  <c r="A101" i="2"/>
  <c r="M100" i="2"/>
  <c r="L100" i="2"/>
  <c r="F100" i="2"/>
  <c r="D100" i="2"/>
  <c r="C100" i="2"/>
  <c r="B100" i="2"/>
  <c r="A100" i="2"/>
  <c r="M99" i="2"/>
  <c r="L99" i="2"/>
  <c r="F99" i="2"/>
  <c r="D99" i="2"/>
  <c r="C99" i="2"/>
  <c r="B99" i="2"/>
  <c r="A99" i="2"/>
  <c r="M98" i="2"/>
  <c r="L98" i="2"/>
  <c r="F98" i="2"/>
  <c r="D98" i="2"/>
  <c r="C98" i="2"/>
  <c r="B98" i="2"/>
  <c r="A98" i="2"/>
  <c r="M97" i="2"/>
  <c r="L97" i="2"/>
  <c r="F97" i="2"/>
  <c r="D97" i="2"/>
  <c r="C97" i="2"/>
  <c r="B97" i="2"/>
  <c r="A97" i="2"/>
  <c r="M96" i="2"/>
  <c r="L96" i="2"/>
  <c r="F96" i="2"/>
  <c r="D96" i="2"/>
  <c r="C96" i="2"/>
  <c r="B96" i="2"/>
  <c r="A96" i="2"/>
  <c r="M95" i="2"/>
  <c r="L95" i="2"/>
  <c r="F95" i="2"/>
  <c r="D95" i="2"/>
  <c r="C95" i="2"/>
  <c r="B95" i="2"/>
  <c r="A95" i="2"/>
  <c r="M94" i="2"/>
  <c r="L94" i="2"/>
  <c r="F94" i="2"/>
  <c r="D94" i="2"/>
  <c r="C94" i="2"/>
  <c r="B94" i="2"/>
  <c r="A94" i="2"/>
  <c r="M93" i="2"/>
  <c r="L93" i="2"/>
  <c r="F93" i="2"/>
  <c r="D93" i="2"/>
  <c r="C93" i="2"/>
  <c r="B93" i="2"/>
  <c r="A93" i="2"/>
  <c r="M92" i="2"/>
  <c r="L92" i="2"/>
  <c r="F92" i="2"/>
  <c r="D92" i="2"/>
  <c r="C92" i="2"/>
  <c r="B92" i="2"/>
  <c r="A92" i="2"/>
  <c r="M91" i="2"/>
  <c r="L91" i="2"/>
  <c r="F91" i="2"/>
  <c r="D91" i="2"/>
  <c r="C91" i="2"/>
  <c r="B91" i="2"/>
  <c r="A91" i="2"/>
  <c r="M90" i="2"/>
  <c r="L90" i="2"/>
  <c r="F90" i="2"/>
  <c r="D90" i="2"/>
  <c r="C90" i="2"/>
  <c r="B90" i="2"/>
  <c r="A90" i="2"/>
  <c r="M89" i="2"/>
  <c r="L89" i="2"/>
  <c r="F89" i="2"/>
  <c r="D89" i="2"/>
  <c r="C89" i="2"/>
  <c r="B89" i="2"/>
  <c r="A89" i="2"/>
  <c r="M88" i="2"/>
  <c r="L88" i="2"/>
  <c r="F88" i="2"/>
  <c r="D88" i="2"/>
  <c r="C88" i="2"/>
  <c r="B88" i="2"/>
  <c r="A88" i="2"/>
  <c r="M87" i="2"/>
  <c r="L87" i="2"/>
  <c r="F87" i="2"/>
  <c r="D87" i="2"/>
  <c r="C87" i="2"/>
  <c r="B87" i="2"/>
  <c r="A87" i="2"/>
  <c r="M86" i="2"/>
  <c r="L86" i="2"/>
  <c r="F86" i="2"/>
  <c r="D86" i="2"/>
  <c r="C86" i="2"/>
  <c r="B86" i="2"/>
  <c r="A86" i="2"/>
  <c r="M85" i="2"/>
  <c r="L85" i="2"/>
  <c r="F85" i="2"/>
  <c r="D85" i="2"/>
  <c r="C85" i="2"/>
  <c r="B85" i="2"/>
  <c r="A85" i="2"/>
  <c r="M84" i="2"/>
  <c r="L84" i="2"/>
  <c r="F84" i="2"/>
  <c r="D84" i="2"/>
  <c r="C84" i="2"/>
  <c r="B84" i="2"/>
  <c r="A84" i="2"/>
  <c r="M83" i="2"/>
  <c r="L83" i="2"/>
  <c r="F83" i="2"/>
  <c r="D83" i="2"/>
  <c r="C83" i="2"/>
  <c r="B83" i="2"/>
  <c r="A83" i="2"/>
  <c r="M82" i="2"/>
  <c r="L82" i="2"/>
  <c r="F82" i="2"/>
  <c r="D82" i="2"/>
  <c r="C82" i="2"/>
  <c r="B82" i="2"/>
  <c r="A82" i="2"/>
  <c r="M81" i="2"/>
  <c r="L81" i="2"/>
  <c r="F81" i="2"/>
  <c r="D81" i="2"/>
  <c r="C81" i="2"/>
  <c r="B81" i="2"/>
  <c r="A81" i="2"/>
  <c r="M80" i="2"/>
  <c r="L80" i="2"/>
  <c r="F80" i="2"/>
  <c r="D80" i="2"/>
  <c r="C80" i="2"/>
  <c r="B80" i="2"/>
  <c r="A80" i="2"/>
  <c r="M79" i="2"/>
  <c r="L79" i="2"/>
  <c r="F79" i="2"/>
  <c r="D79" i="2"/>
  <c r="C79" i="2"/>
  <c r="B79" i="2"/>
  <c r="A79" i="2"/>
  <c r="M78" i="2"/>
  <c r="L78" i="2"/>
  <c r="F78" i="2"/>
  <c r="D78" i="2"/>
  <c r="C78" i="2"/>
  <c r="B78" i="2"/>
  <c r="A78" i="2"/>
  <c r="M77" i="2"/>
  <c r="L77" i="2"/>
  <c r="F77" i="2"/>
  <c r="D77" i="2"/>
  <c r="C77" i="2"/>
  <c r="B77" i="2"/>
  <c r="A77" i="2"/>
  <c r="M76" i="2"/>
  <c r="L76" i="2"/>
  <c r="F76" i="2"/>
  <c r="D76" i="2"/>
  <c r="C76" i="2"/>
  <c r="B76" i="2"/>
  <c r="A76" i="2"/>
  <c r="M75" i="2"/>
  <c r="L75" i="2"/>
  <c r="F75" i="2"/>
  <c r="D75" i="2"/>
  <c r="C75" i="2"/>
  <c r="B75" i="2"/>
  <c r="A75" i="2"/>
  <c r="M74" i="2"/>
  <c r="L74" i="2"/>
  <c r="F74" i="2"/>
  <c r="D74" i="2"/>
  <c r="C74" i="2"/>
  <c r="B74" i="2"/>
  <c r="A74" i="2"/>
  <c r="M73" i="2"/>
  <c r="L73" i="2"/>
  <c r="F73" i="2"/>
  <c r="D73" i="2"/>
  <c r="C73" i="2"/>
  <c r="B73" i="2"/>
  <c r="A73" i="2"/>
  <c r="M72" i="2"/>
  <c r="L72" i="2"/>
  <c r="F72" i="2"/>
  <c r="D72" i="2"/>
  <c r="C72" i="2"/>
  <c r="B72" i="2"/>
  <c r="A72" i="2"/>
  <c r="M71" i="2"/>
  <c r="L71" i="2"/>
  <c r="F71" i="2"/>
  <c r="D71" i="2"/>
  <c r="C71" i="2"/>
  <c r="B71" i="2"/>
  <c r="A71" i="2"/>
  <c r="M70" i="2"/>
  <c r="L70" i="2"/>
  <c r="F70" i="2"/>
  <c r="D70" i="2"/>
  <c r="C70" i="2"/>
  <c r="B70" i="2"/>
  <c r="A70" i="2"/>
  <c r="M69" i="2"/>
  <c r="L69" i="2"/>
  <c r="F69" i="2"/>
  <c r="D69" i="2"/>
  <c r="C69" i="2"/>
  <c r="B69" i="2"/>
  <c r="A69" i="2"/>
  <c r="M68" i="2"/>
  <c r="L68" i="2"/>
  <c r="F68" i="2"/>
  <c r="D68" i="2"/>
  <c r="C68" i="2"/>
  <c r="B68" i="2"/>
  <c r="A68" i="2"/>
  <c r="M67" i="2"/>
  <c r="L67" i="2"/>
  <c r="F67" i="2"/>
  <c r="D67" i="2"/>
  <c r="C67" i="2"/>
  <c r="B67" i="2"/>
  <c r="A67" i="2"/>
  <c r="M66" i="2"/>
  <c r="L66" i="2"/>
  <c r="F66" i="2"/>
  <c r="D66" i="2"/>
  <c r="C66" i="2"/>
  <c r="B66" i="2"/>
  <c r="A66" i="2"/>
  <c r="M65" i="2"/>
  <c r="L65" i="2"/>
  <c r="F65" i="2"/>
  <c r="D65" i="2"/>
  <c r="C65" i="2"/>
  <c r="B65" i="2"/>
  <c r="A65" i="2"/>
  <c r="M64" i="2"/>
  <c r="L64" i="2"/>
  <c r="F64" i="2"/>
  <c r="D64" i="2"/>
  <c r="C64" i="2"/>
  <c r="B64" i="2"/>
  <c r="A64" i="2"/>
  <c r="M63" i="2"/>
  <c r="L63" i="2"/>
  <c r="F63" i="2"/>
  <c r="D63" i="2"/>
  <c r="C63" i="2"/>
  <c r="B63" i="2"/>
  <c r="A63" i="2"/>
  <c r="M62" i="2"/>
  <c r="L62" i="2"/>
  <c r="F62" i="2"/>
  <c r="D62" i="2"/>
  <c r="C62" i="2"/>
  <c r="B62" i="2"/>
  <c r="A62" i="2"/>
  <c r="M61" i="2"/>
  <c r="L61" i="2"/>
  <c r="F61" i="2"/>
  <c r="D61" i="2"/>
  <c r="C61" i="2"/>
  <c r="B61" i="2"/>
  <c r="A61" i="2"/>
  <c r="M60" i="2"/>
  <c r="L60" i="2"/>
  <c r="F60" i="2"/>
  <c r="D60" i="2"/>
  <c r="C60" i="2"/>
  <c r="B60" i="2"/>
  <c r="A60" i="2"/>
  <c r="M59" i="2"/>
  <c r="L59" i="2"/>
  <c r="F59" i="2"/>
  <c r="D59" i="2"/>
  <c r="C59" i="2"/>
  <c r="B59" i="2"/>
  <c r="A59" i="2"/>
  <c r="M58" i="2"/>
  <c r="L58" i="2"/>
  <c r="F58" i="2"/>
  <c r="D58" i="2"/>
  <c r="C58" i="2"/>
  <c r="B58" i="2"/>
  <c r="A58" i="2"/>
  <c r="M57" i="2"/>
  <c r="L57" i="2"/>
  <c r="F57" i="2"/>
  <c r="D57" i="2"/>
  <c r="C57" i="2"/>
  <c r="B57" i="2"/>
  <c r="A57" i="2"/>
  <c r="M56" i="2"/>
  <c r="L56" i="2"/>
  <c r="F56" i="2"/>
  <c r="D56" i="2"/>
  <c r="C56" i="2"/>
  <c r="B56" i="2"/>
  <c r="A56" i="2"/>
  <c r="M55" i="2"/>
  <c r="L55" i="2"/>
  <c r="F55" i="2"/>
  <c r="D55" i="2"/>
  <c r="C55" i="2"/>
  <c r="B55" i="2"/>
  <c r="A55" i="2"/>
  <c r="M54" i="2"/>
  <c r="L54" i="2"/>
  <c r="F54" i="2"/>
  <c r="D54" i="2"/>
  <c r="C54" i="2"/>
  <c r="B54" i="2"/>
  <c r="A54" i="2"/>
  <c r="M53" i="2"/>
  <c r="L53" i="2"/>
  <c r="F53" i="2"/>
  <c r="D53" i="2"/>
  <c r="C53" i="2"/>
  <c r="B53" i="2"/>
  <c r="A53" i="2"/>
  <c r="M52" i="2"/>
  <c r="L52" i="2"/>
  <c r="F52" i="2"/>
  <c r="D52" i="2"/>
  <c r="C52" i="2"/>
  <c r="B52" i="2"/>
  <c r="A52" i="2"/>
  <c r="M51" i="2"/>
  <c r="L51" i="2"/>
  <c r="F51" i="2"/>
  <c r="D51" i="2"/>
  <c r="C51" i="2"/>
  <c r="B51" i="2"/>
  <c r="A51" i="2"/>
  <c r="M50" i="2"/>
  <c r="L50" i="2"/>
  <c r="F50" i="2"/>
  <c r="D50" i="2"/>
  <c r="C50" i="2"/>
  <c r="B50" i="2"/>
  <c r="A50" i="2"/>
  <c r="M49" i="2"/>
  <c r="L49" i="2"/>
  <c r="F49" i="2"/>
  <c r="D49" i="2"/>
  <c r="C49" i="2"/>
  <c r="B49" i="2"/>
  <c r="A49" i="2"/>
  <c r="M48" i="2"/>
  <c r="L48" i="2"/>
  <c r="F48" i="2"/>
  <c r="D48" i="2"/>
  <c r="C48" i="2"/>
  <c r="B48" i="2"/>
  <c r="A48" i="2"/>
  <c r="M47" i="2"/>
  <c r="L47" i="2"/>
  <c r="F47" i="2"/>
  <c r="D47" i="2"/>
  <c r="C47" i="2"/>
  <c r="B47" i="2"/>
  <c r="A47" i="2"/>
  <c r="M46" i="2"/>
  <c r="L46" i="2"/>
  <c r="F46" i="2"/>
  <c r="D46" i="2"/>
  <c r="C46" i="2"/>
  <c r="B46" i="2"/>
  <c r="A46" i="2"/>
  <c r="M45" i="2"/>
  <c r="L45" i="2"/>
  <c r="F45" i="2"/>
  <c r="D45" i="2"/>
  <c r="C45" i="2"/>
  <c r="B45" i="2"/>
  <c r="A45" i="2"/>
  <c r="M44" i="2"/>
  <c r="L44" i="2"/>
  <c r="F44" i="2"/>
  <c r="D44" i="2"/>
  <c r="C44" i="2"/>
  <c r="B44" i="2"/>
  <c r="A44" i="2"/>
  <c r="M43" i="2"/>
  <c r="L43" i="2"/>
  <c r="F43" i="2"/>
  <c r="D43" i="2"/>
  <c r="C43" i="2"/>
  <c r="B43" i="2"/>
  <c r="A43" i="2"/>
  <c r="M42" i="2"/>
  <c r="L42" i="2"/>
  <c r="F42" i="2"/>
  <c r="D42" i="2"/>
  <c r="C42" i="2"/>
  <c r="B42" i="2"/>
  <c r="A42" i="2"/>
  <c r="M41" i="2"/>
  <c r="L41" i="2"/>
  <c r="F41" i="2"/>
  <c r="D41" i="2"/>
  <c r="C41" i="2"/>
  <c r="B41" i="2"/>
  <c r="A41" i="2"/>
  <c r="M40" i="2"/>
  <c r="L40" i="2"/>
  <c r="F40" i="2"/>
  <c r="D40" i="2"/>
  <c r="C40" i="2"/>
  <c r="B40" i="2"/>
  <c r="A40" i="2"/>
  <c r="M39" i="2"/>
  <c r="L39" i="2"/>
  <c r="F39" i="2"/>
  <c r="D39" i="2"/>
  <c r="C39" i="2"/>
  <c r="B39" i="2"/>
  <c r="A39" i="2"/>
  <c r="M38" i="2"/>
  <c r="L38" i="2"/>
  <c r="F38" i="2"/>
  <c r="D38" i="2"/>
  <c r="C38" i="2"/>
  <c r="B38" i="2"/>
  <c r="A38" i="2"/>
  <c r="M37" i="2"/>
  <c r="L37" i="2"/>
  <c r="F37" i="2"/>
  <c r="D37" i="2"/>
  <c r="C37" i="2"/>
  <c r="B37" i="2"/>
  <c r="A37" i="2"/>
  <c r="M36" i="2"/>
  <c r="L36" i="2"/>
  <c r="F36" i="2"/>
  <c r="D36" i="2"/>
  <c r="C36" i="2"/>
  <c r="B36" i="2"/>
  <c r="A36" i="2"/>
  <c r="M35" i="2"/>
  <c r="L35" i="2"/>
  <c r="F35" i="2"/>
  <c r="D35" i="2"/>
  <c r="C35" i="2"/>
  <c r="B35" i="2"/>
  <c r="A35" i="2"/>
  <c r="M34" i="2"/>
  <c r="L34" i="2"/>
  <c r="F34" i="2"/>
  <c r="D34" i="2"/>
  <c r="C34" i="2"/>
  <c r="B34" i="2"/>
  <c r="A34" i="2"/>
  <c r="M33" i="2"/>
  <c r="L33" i="2"/>
  <c r="F33" i="2"/>
  <c r="D33" i="2"/>
  <c r="C33" i="2"/>
  <c r="B33" i="2"/>
  <c r="A33" i="2"/>
  <c r="M32" i="2"/>
  <c r="L32" i="2"/>
  <c r="F32" i="2"/>
  <c r="D32" i="2"/>
  <c r="C32" i="2"/>
  <c r="B32" i="2"/>
  <c r="A32" i="2"/>
  <c r="M31" i="2"/>
  <c r="L31" i="2"/>
  <c r="F31" i="2"/>
  <c r="D31" i="2"/>
  <c r="C31" i="2"/>
  <c r="B31" i="2"/>
  <c r="A31" i="2"/>
  <c r="M30" i="2"/>
  <c r="L30" i="2"/>
  <c r="F30" i="2"/>
  <c r="D30" i="2"/>
  <c r="C30" i="2"/>
  <c r="B30" i="2"/>
  <c r="A30" i="2"/>
  <c r="M29" i="2"/>
  <c r="L29" i="2"/>
  <c r="F29" i="2"/>
  <c r="D29" i="2"/>
  <c r="C29" i="2"/>
  <c r="B29" i="2"/>
  <c r="A29" i="2"/>
  <c r="M28" i="2"/>
  <c r="L28" i="2"/>
  <c r="F28" i="2"/>
  <c r="D28" i="2"/>
  <c r="C28" i="2"/>
  <c r="B28" i="2"/>
  <c r="A28" i="2"/>
  <c r="M27" i="2"/>
  <c r="L27" i="2"/>
  <c r="F27" i="2"/>
  <c r="D27" i="2"/>
  <c r="C27" i="2"/>
  <c r="B27" i="2"/>
  <c r="A27" i="2"/>
  <c r="M26" i="2"/>
  <c r="L26" i="2"/>
  <c r="F26" i="2"/>
  <c r="D26" i="2"/>
  <c r="C26" i="2"/>
  <c r="B26" i="2"/>
  <c r="A26" i="2"/>
  <c r="M25" i="2"/>
  <c r="L25" i="2"/>
  <c r="F25" i="2"/>
  <c r="D25" i="2"/>
  <c r="C25" i="2"/>
  <c r="M24" i="2"/>
  <c r="L24" i="2"/>
  <c r="F24" i="2"/>
  <c r="D24" i="2"/>
  <c r="C24" i="2"/>
  <c r="M23" i="2"/>
  <c r="L23" i="2"/>
  <c r="F23" i="2"/>
  <c r="D23" i="2"/>
  <c r="C23" i="2"/>
  <c r="M21" i="2"/>
  <c r="L21" i="2"/>
  <c r="F21" i="2"/>
  <c r="D21" i="2"/>
  <c r="C21" i="2"/>
  <c r="M20" i="2"/>
  <c r="L20" i="2"/>
  <c r="F20" i="2"/>
  <c r="D20" i="2"/>
  <c r="C20" i="2"/>
  <c r="M19" i="2"/>
  <c r="L19" i="2"/>
  <c r="F19" i="2"/>
  <c r="D19" i="2"/>
  <c r="C19" i="2"/>
  <c r="M18" i="2"/>
  <c r="L18" i="2"/>
  <c r="F18" i="2"/>
  <c r="D18" i="2"/>
  <c r="C18" i="2"/>
  <c r="M17" i="2"/>
  <c r="L17" i="2"/>
  <c r="F17" i="2"/>
  <c r="D17" i="2"/>
  <c r="C17" i="2"/>
  <c r="M16" i="2"/>
  <c r="L16" i="2"/>
  <c r="F16" i="2"/>
  <c r="D16" i="2"/>
  <c r="C16" i="2"/>
  <c r="M15" i="2"/>
  <c r="L15" i="2"/>
  <c r="F15" i="2"/>
  <c r="D15" i="2"/>
  <c r="C15" i="2"/>
  <c r="M14" i="2"/>
  <c r="L14" i="2"/>
  <c r="F14" i="2"/>
  <c r="D14" i="2"/>
  <c r="C14" i="2"/>
  <c r="M13" i="2"/>
  <c r="L13" i="2"/>
  <c r="F13" i="2"/>
  <c r="D13" i="2"/>
  <c r="C13" i="2"/>
  <c r="M12" i="2"/>
  <c r="L12" i="2"/>
  <c r="F12" i="2"/>
  <c r="D12" i="2"/>
  <c r="C12" i="2"/>
  <c r="M11" i="2"/>
  <c r="L11" i="2"/>
  <c r="F11" i="2"/>
  <c r="D11" i="2"/>
  <c r="C11" i="2"/>
  <c r="M10" i="2"/>
  <c r="L10" i="2"/>
  <c r="F10" i="2"/>
  <c r="D10" i="2"/>
  <c r="C10" i="2"/>
  <c r="M9" i="2"/>
  <c r="L9" i="2"/>
  <c r="F9" i="2"/>
  <c r="D9" i="2"/>
  <c r="C9" i="2"/>
  <c r="M8" i="2"/>
  <c r="L8" i="2"/>
  <c r="F8" i="2"/>
  <c r="D8" i="2"/>
  <c r="C8" i="2"/>
  <c r="M7" i="2"/>
  <c r="L7" i="2"/>
  <c r="F7" i="2"/>
  <c r="D7" i="2"/>
  <c r="C7" i="2"/>
  <c r="M6" i="2"/>
  <c r="L6" i="2"/>
  <c r="F6" i="2"/>
  <c r="D6" i="2"/>
  <c r="C6" i="2"/>
  <c r="M5" i="2"/>
  <c r="L5" i="2"/>
  <c r="F5" i="2"/>
  <c r="D5" i="2"/>
  <c r="C5" i="2"/>
  <c r="M4" i="2"/>
  <c r="L4" i="2"/>
  <c r="F4" i="2"/>
  <c r="D4" i="2"/>
  <c r="C4" i="2"/>
  <c r="M3" i="2"/>
  <c r="L3" i="2"/>
  <c r="F3" i="2"/>
  <c r="D3" i="2"/>
  <c r="C3" i="2"/>
  <c r="E1" i="2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E30" i="1"/>
  <c r="E58" i="1" s="1"/>
  <c r="D30" i="1"/>
  <c r="D58" i="1" s="1"/>
  <c r="C30" i="1"/>
  <c r="C58" i="1" s="1"/>
  <c r="L29" i="1"/>
  <c r="C29" i="1"/>
  <c r="C57" i="1" s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8" i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L7" i="1"/>
  <c r="K7" i="1"/>
  <c r="R54" i="3" l="1"/>
  <c r="R57" i="3"/>
  <c r="R73" i="3"/>
  <c r="R166" i="3"/>
  <c r="R72" i="3"/>
  <c r="R176" i="3"/>
  <c r="R159" i="3"/>
  <c r="R51" i="3"/>
  <c r="R157" i="3"/>
  <c r="R165" i="3"/>
  <c r="R156" i="3"/>
  <c r="R172" i="3"/>
  <c r="R53" i="3"/>
  <c r="R155" i="3"/>
  <c r="R170" i="3"/>
  <c r="R178" i="3"/>
  <c r="R153" i="3"/>
  <c r="R169" i="3"/>
  <c r="R177" i="3"/>
  <c r="R160" i="3"/>
  <c r="R168" i="3"/>
  <c r="R175" i="3"/>
  <c r="R183" i="3"/>
  <c r="R174" i="3"/>
  <c r="R182" i="3"/>
  <c r="R173" i="3"/>
  <c r="R181" i="3"/>
  <c r="R180" i="3"/>
  <c r="R163" i="3"/>
  <c r="R171" i="3"/>
  <c r="R179" i="3"/>
  <c r="R66" i="3"/>
  <c r="R50" i="3"/>
  <c r="R58" i="3"/>
  <c r="R67" i="3"/>
  <c r="R61" i="3"/>
  <c r="R70" i="3"/>
  <c r="R86" i="3"/>
  <c r="R55" i="3"/>
  <c r="R63" i="3"/>
  <c r="R71" i="3"/>
  <c r="R79" i="3"/>
  <c r="R56" i="3"/>
  <c r="R64" i="3"/>
  <c r="R80" i="3"/>
  <c r="R88" i="3"/>
  <c r="R81" i="3"/>
  <c r="R74" i="3"/>
  <c r="R82" i="3"/>
  <c r="R75" i="3"/>
  <c r="R83" i="3"/>
  <c r="R60" i="3"/>
  <c r="R68" i="3"/>
  <c r="R76" i="3"/>
  <c r="R84" i="3"/>
  <c r="R69" i="3"/>
  <c r="R85" i="3"/>
  <c r="L22" i="10"/>
  <c r="N33" i="10"/>
  <c r="T131" i="4"/>
  <c r="T210" i="4"/>
  <c r="T141" i="4"/>
  <c r="T140" i="4"/>
  <c r="T139" i="4"/>
  <c r="T138" i="4"/>
  <c r="T145" i="4"/>
  <c r="T144" i="4"/>
  <c r="T143" i="4"/>
  <c r="T142" i="4"/>
  <c r="T202" i="4"/>
  <c r="U11" i="10"/>
  <c r="U33" i="10"/>
  <c r="Q33" i="10"/>
  <c r="T207" i="4"/>
  <c r="T213" i="4"/>
  <c r="T206" i="4"/>
  <c r="T161" i="4"/>
  <c r="T155" i="4"/>
  <c r="T158" i="4"/>
  <c r="T159" i="4"/>
  <c r="T154" i="4"/>
  <c r="L11" i="10"/>
  <c r="N22" i="10"/>
  <c r="T209" i="4"/>
  <c r="T216" i="4"/>
  <c r="T214" i="4"/>
  <c r="M22" i="10"/>
  <c r="P33" i="10"/>
  <c r="T201" i="4"/>
  <c r="T208" i="4"/>
  <c r="T160" i="4"/>
  <c r="T205" i="4"/>
  <c r="T204" i="4"/>
  <c r="T203" i="4"/>
  <c r="T211" i="4"/>
  <c r="T212" i="4"/>
  <c r="T156" i="4"/>
  <c r="T227" i="4"/>
  <c r="T237" i="4"/>
  <c r="T247" i="4"/>
  <c r="T226" i="4"/>
  <c r="T235" i="4"/>
  <c r="T236" i="4"/>
  <c r="T245" i="4"/>
  <c r="T246" i="4"/>
  <c r="T223" i="4"/>
  <c r="T224" i="4"/>
  <c r="T225" i="4"/>
  <c r="T234" i="4"/>
  <c r="T244" i="4"/>
  <c r="T253" i="4"/>
  <c r="T222" i="4"/>
  <c r="T233" i="4"/>
  <c r="T243" i="4"/>
  <c r="T252" i="4"/>
  <c r="T221" i="4"/>
  <c r="T231" i="4"/>
  <c r="T232" i="4"/>
  <c r="T242" i="4"/>
  <c r="T251" i="4"/>
  <c r="T219" i="4"/>
  <c r="T220" i="4"/>
  <c r="T230" i="4"/>
  <c r="T240" i="4"/>
  <c r="T250" i="4"/>
  <c r="T218" i="4"/>
  <c r="T229" i="4"/>
  <c r="T239" i="4"/>
  <c r="T249" i="4"/>
  <c r="T217" i="4"/>
  <c r="T228" i="4"/>
  <c r="T238" i="4"/>
  <c r="T241" i="4"/>
  <c r="T248" i="4"/>
  <c r="T186" i="4"/>
  <c r="P22" i="10"/>
  <c r="I22" i="10"/>
  <c r="P11" i="10"/>
  <c r="Q47" i="7"/>
  <c r="P47" i="7"/>
  <c r="N39" i="7"/>
  <c r="S22" i="10"/>
  <c r="H33" i="10"/>
  <c r="U13" i="7"/>
  <c r="H47" i="7"/>
  <c r="U47" i="7"/>
  <c r="H11" i="10"/>
  <c r="Q22" i="10"/>
  <c r="L33" i="10"/>
  <c r="I11" i="10"/>
  <c r="V11" i="10"/>
  <c r="W22" i="10"/>
  <c r="M33" i="10"/>
  <c r="N30" i="7"/>
  <c r="W22" i="7"/>
  <c r="S22" i="7"/>
  <c r="Q22" i="7"/>
  <c r="I39" i="7"/>
  <c r="I33" i="10"/>
  <c r="V33" i="10"/>
  <c r="S30" i="7"/>
  <c r="M11" i="10"/>
  <c r="N11" i="10"/>
  <c r="I22" i="7"/>
  <c r="M39" i="7"/>
  <c r="N47" i="7"/>
  <c r="M22" i="7"/>
  <c r="P30" i="7"/>
  <c r="H22" i="10"/>
  <c r="U22" i="10"/>
  <c r="I5" i="7"/>
  <c r="V5" i="7"/>
  <c r="Q5" i="7"/>
  <c r="Q30" i="7"/>
  <c r="M30" i="7"/>
  <c r="S47" i="7"/>
  <c r="V22" i="10"/>
  <c r="L5" i="7"/>
  <c r="N5" i="7"/>
  <c r="I13" i="7"/>
  <c r="S39" i="7"/>
  <c r="U30" i="7"/>
  <c r="U39" i="7"/>
  <c r="I47" i="7"/>
  <c r="V47" i="7"/>
  <c r="Q11" i="10"/>
  <c r="Q13" i="7"/>
  <c r="M13" i="7"/>
  <c r="L13" i="7"/>
  <c r="W13" i="7"/>
  <c r="I30" i="7"/>
  <c r="V30" i="7"/>
  <c r="V39" i="7"/>
  <c r="L47" i="7"/>
  <c r="S11" i="10"/>
  <c r="W33" i="10"/>
  <c r="S13" i="7"/>
  <c r="H22" i="7"/>
  <c r="U22" i="7"/>
  <c r="M47" i="7"/>
  <c r="M5" i="7"/>
  <c r="H39" i="7"/>
  <c r="S5" i="7"/>
  <c r="V13" i="7"/>
  <c r="P22" i="7"/>
  <c r="H5" i="7"/>
  <c r="P13" i="7"/>
  <c r="N13" i="7"/>
  <c r="V22" i="7"/>
  <c r="W39" i="7"/>
  <c r="Q39" i="7"/>
  <c r="Q38" i="7" s="1"/>
  <c r="W11" i="10"/>
  <c r="N22" i="7"/>
  <c r="W30" i="7"/>
  <c r="P39" i="7"/>
  <c r="L39" i="7"/>
  <c r="H30" i="7"/>
  <c r="W47" i="7"/>
  <c r="S33" i="10"/>
  <c r="W5" i="7"/>
  <c r="A176" i="3"/>
  <c r="B15" i="2"/>
  <c r="B8" i="2"/>
  <c r="A4" i="3"/>
  <c r="A5" i="3"/>
  <c r="A7" i="3"/>
  <c r="A13" i="3"/>
  <c r="A19" i="3"/>
  <c r="A29" i="3"/>
  <c r="A35" i="3"/>
  <c r="A41" i="3"/>
  <c r="A49" i="3"/>
  <c r="A64" i="3"/>
  <c r="A51" i="3"/>
  <c r="A92" i="3"/>
  <c r="A131" i="3"/>
  <c r="B133" i="3"/>
  <c r="A137" i="3"/>
  <c r="B175" i="3"/>
  <c r="A173" i="3"/>
  <c r="A98" i="3"/>
  <c r="A106" i="3"/>
  <c r="A110" i="3"/>
  <c r="B168" i="3"/>
  <c r="A7" i="2"/>
  <c r="B14" i="2"/>
  <c r="A15" i="3"/>
  <c r="A21" i="3"/>
  <c r="A23" i="3"/>
  <c r="A31" i="3"/>
  <c r="A39" i="3"/>
  <c r="A47" i="3"/>
  <c r="A50" i="3"/>
  <c r="A84" i="3"/>
  <c r="A76" i="3"/>
  <c r="A62" i="3"/>
  <c r="A58" i="3"/>
  <c r="A53" i="3"/>
  <c r="A52" i="3"/>
  <c r="B7" i="3"/>
  <c r="B11" i="3"/>
  <c r="B15" i="3"/>
  <c r="B19" i="3"/>
  <c r="B23" i="3"/>
  <c r="B27" i="3"/>
  <c r="B31" i="3"/>
  <c r="B35" i="3"/>
  <c r="B37" i="3"/>
  <c r="B39" i="3"/>
  <c r="B41" i="3"/>
  <c r="B43" i="3"/>
  <c r="B45" i="3"/>
  <c r="B47" i="3"/>
  <c r="B49" i="3"/>
  <c r="B56" i="3"/>
  <c r="B80" i="3"/>
  <c r="B64" i="3"/>
  <c r="B50" i="3"/>
  <c r="B54" i="3"/>
  <c r="B81" i="3"/>
  <c r="B51" i="3"/>
  <c r="B84" i="3"/>
  <c r="B57" i="3"/>
  <c r="B82" i="3"/>
  <c r="B76" i="3"/>
  <c r="B58" i="3"/>
  <c r="B52" i="3"/>
  <c r="B92" i="3"/>
  <c r="A95" i="3"/>
  <c r="A135" i="3"/>
  <c r="B137" i="3"/>
  <c r="A141" i="3"/>
  <c r="B170" i="3"/>
  <c r="B155" i="3"/>
  <c r="B21" i="2"/>
  <c r="A102" i="3"/>
  <c r="B182" i="3"/>
  <c r="B179" i="3"/>
  <c r="A11" i="3"/>
  <c r="A33" i="3"/>
  <c r="A45" i="3"/>
  <c r="A56" i="3"/>
  <c r="A54" i="3"/>
  <c r="A57" i="3"/>
  <c r="A89" i="3"/>
  <c r="A6" i="2"/>
  <c r="B7" i="2"/>
  <c r="A12" i="2"/>
  <c r="B13" i="2"/>
  <c r="A19" i="2"/>
  <c r="B5" i="3"/>
  <c r="B9" i="3"/>
  <c r="B13" i="3"/>
  <c r="B17" i="3"/>
  <c r="B21" i="3"/>
  <c r="B25" i="3"/>
  <c r="B29" i="3"/>
  <c r="B33" i="3"/>
  <c r="A5" i="2"/>
  <c r="B6" i="2"/>
  <c r="B12" i="2"/>
  <c r="A83" i="3"/>
  <c r="A72" i="3"/>
  <c r="A77" i="3"/>
  <c r="A87" i="3"/>
  <c r="A90" i="3"/>
  <c r="A139" i="3"/>
  <c r="B141" i="3"/>
  <c r="A145" i="3"/>
  <c r="A181" i="3"/>
  <c r="A158" i="3"/>
  <c r="A14" i="2"/>
  <c r="B78" i="3"/>
  <c r="B88" i="3"/>
  <c r="A114" i="3"/>
  <c r="A122" i="3"/>
  <c r="A126" i="3"/>
  <c r="A130" i="3"/>
  <c r="A133" i="3"/>
  <c r="A13" i="2"/>
  <c r="B20" i="2"/>
  <c r="A9" i="3"/>
  <c r="A17" i="3"/>
  <c r="A25" i="3"/>
  <c r="A27" i="3"/>
  <c r="A37" i="3"/>
  <c r="A43" i="3"/>
  <c r="A80" i="3"/>
  <c r="A81" i="3"/>
  <c r="A82" i="3"/>
  <c r="A4" i="2"/>
  <c r="B5" i="2"/>
  <c r="A11" i="2"/>
  <c r="B18" i="2"/>
  <c r="A25" i="2"/>
  <c r="B83" i="3"/>
  <c r="B77" i="3"/>
  <c r="B90" i="3"/>
  <c r="A96" i="3"/>
  <c r="A100" i="3"/>
  <c r="A104" i="3"/>
  <c r="A108" i="3"/>
  <c r="A112" i="3"/>
  <c r="A116" i="3"/>
  <c r="A120" i="3"/>
  <c r="A124" i="3"/>
  <c r="A128" i="3"/>
  <c r="A143" i="3"/>
  <c r="B145" i="3"/>
  <c r="A159" i="3"/>
  <c r="B161" i="3"/>
  <c r="B180" i="3"/>
  <c r="B172" i="3"/>
  <c r="B154" i="3"/>
  <c r="B9" i="2"/>
  <c r="A118" i="3"/>
  <c r="A17" i="2"/>
  <c r="A24" i="2"/>
  <c r="A14" i="3"/>
  <c r="A18" i="3"/>
  <c r="A22" i="3"/>
  <c r="A26" i="3"/>
  <c r="A30" i="3"/>
  <c r="A32" i="3"/>
  <c r="A34" i="3"/>
  <c r="A36" i="3"/>
  <c r="A38" i="3"/>
  <c r="A40" i="3"/>
  <c r="A42" i="3"/>
  <c r="A44" i="3"/>
  <c r="A46" i="3"/>
  <c r="A48" i="3"/>
  <c r="A71" i="3"/>
  <c r="A55" i="3"/>
  <c r="A63" i="3"/>
  <c r="A60" i="3"/>
  <c r="A70" i="3"/>
  <c r="A79" i="3"/>
  <c r="A69" i="3"/>
  <c r="A68" i="3"/>
  <c r="A65" i="3"/>
  <c r="A67" i="3"/>
  <c r="A61" i="3"/>
  <c r="A75" i="3"/>
  <c r="A74" i="3"/>
  <c r="A85" i="3"/>
  <c r="A59" i="3"/>
  <c r="A66" i="3"/>
  <c r="A93" i="3"/>
  <c r="A152" i="3"/>
  <c r="B159" i="3"/>
  <c r="A169" i="3"/>
  <c r="T153" i="4"/>
  <c r="T152" i="4"/>
  <c r="T151" i="4"/>
  <c r="T150" i="4"/>
  <c r="T149" i="4"/>
  <c r="T148" i="4"/>
  <c r="T147" i="4"/>
  <c r="T146" i="4"/>
  <c r="A8" i="2"/>
  <c r="A20" i="2"/>
  <c r="B3" i="3"/>
  <c r="A166" i="3"/>
  <c r="A172" i="3"/>
  <c r="A170" i="3"/>
  <c r="A182" i="3"/>
  <c r="A163" i="3"/>
  <c r="A161" i="3"/>
  <c r="A175" i="3"/>
  <c r="B160" i="3"/>
  <c r="B146" i="3"/>
  <c r="B142" i="3"/>
  <c r="B138" i="3"/>
  <c r="B134" i="3"/>
  <c r="B130" i="3"/>
  <c r="B128" i="3"/>
  <c r="B126" i="3"/>
  <c r="B124" i="3"/>
  <c r="B122" i="3"/>
  <c r="B120" i="3"/>
  <c r="B118" i="3"/>
  <c r="B116" i="3"/>
  <c r="B114" i="3"/>
  <c r="B112" i="3"/>
  <c r="B110" i="3"/>
  <c r="B108" i="3"/>
  <c r="B106" i="3"/>
  <c r="B104" i="3"/>
  <c r="B102" i="3"/>
  <c r="B100" i="3"/>
  <c r="B98" i="3"/>
  <c r="B96" i="3"/>
  <c r="B94" i="3"/>
  <c r="B176" i="3"/>
  <c r="B158" i="3"/>
  <c r="B173" i="3"/>
  <c r="B177" i="3"/>
  <c r="B169" i="3"/>
  <c r="B181" i="3"/>
  <c r="A160" i="3"/>
  <c r="A146" i="3"/>
  <c r="A142" i="3"/>
  <c r="A138" i="3"/>
  <c r="A134" i="3"/>
  <c r="A167" i="3"/>
  <c r="A154" i="3"/>
  <c r="A155" i="3"/>
  <c r="A179" i="3"/>
  <c r="A157" i="3"/>
  <c r="A180" i="3"/>
  <c r="B153" i="3"/>
  <c r="B156" i="3"/>
  <c r="B144" i="3"/>
  <c r="B140" i="3"/>
  <c r="B136" i="3"/>
  <c r="B132" i="3"/>
  <c r="B129" i="3"/>
  <c r="B127" i="3"/>
  <c r="B125" i="3"/>
  <c r="B123" i="3"/>
  <c r="B121" i="3"/>
  <c r="B119" i="3"/>
  <c r="B117" i="3"/>
  <c r="B115" i="3"/>
  <c r="B113" i="3"/>
  <c r="B111" i="3"/>
  <c r="B109" i="3"/>
  <c r="B107" i="3"/>
  <c r="B105" i="3"/>
  <c r="B103" i="3"/>
  <c r="B101" i="3"/>
  <c r="B99" i="3"/>
  <c r="B97" i="3"/>
  <c r="B95" i="3"/>
  <c r="B93" i="3"/>
  <c r="B91" i="3"/>
  <c r="B89" i="3"/>
  <c r="B87" i="3"/>
  <c r="B59" i="3"/>
  <c r="B73" i="3"/>
  <c r="B53" i="3"/>
  <c r="B72" i="3"/>
  <c r="B74" i="3"/>
  <c r="B86" i="3"/>
  <c r="B62" i="3"/>
  <c r="B162" i="3"/>
  <c r="B165" i="3"/>
  <c r="B178" i="3"/>
  <c r="B183" i="3"/>
  <c r="B164" i="3"/>
  <c r="B174" i="3"/>
  <c r="A153" i="3"/>
  <c r="B171" i="3"/>
  <c r="A156" i="3"/>
  <c r="A144" i="3"/>
  <c r="A140" i="3"/>
  <c r="A136" i="3"/>
  <c r="A132" i="3"/>
  <c r="A129" i="3"/>
  <c r="A127" i="3"/>
  <c r="A125" i="3"/>
  <c r="A123" i="3"/>
  <c r="A121" i="3"/>
  <c r="A119" i="3"/>
  <c r="A117" i="3"/>
  <c r="A115" i="3"/>
  <c r="A113" i="3"/>
  <c r="A111" i="3"/>
  <c r="A109" i="3"/>
  <c r="A107" i="3"/>
  <c r="A105" i="3"/>
  <c r="A103" i="3"/>
  <c r="A101" i="3"/>
  <c r="A99" i="3"/>
  <c r="A97" i="3"/>
  <c r="A162" i="3"/>
  <c r="A165" i="3"/>
  <c r="A178" i="3"/>
  <c r="A183" i="3"/>
  <c r="A164" i="3"/>
  <c r="A174" i="3"/>
  <c r="A171" i="3"/>
  <c r="B152" i="3"/>
  <c r="B143" i="3"/>
  <c r="B139" i="3"/>
  <c r="B135" i="3"/>
  <c r="B131" i="3"/>
  <c r="B4" i="3"/>
  <c r="B19" i="2"/>
  <c r="A18" i="2"/>
  <c r="B11" i="2"/>
  <c r="A10" i="2"/>
  <c r="B3" i="2"/>
  <c r="B25" i="2"/>
  <c r="A6" i="3"/>
  <c r="A8" i="3"/>
  <c r="A10" i="3"/>
  <c r="A12" i="3"/>
  <c r="A16" i="3"/>
  <c r="A20" i="3"/>
  <c r="A24" i="3"/>
  <c r="A28" i="3"/>
  <c r="A3" i="2"/>
  <c r="B10" i="2"/>
  <c r="A16" i="2"/>
  <c r="B17" i="2"/>
  <c r="A23" i="2"/>
  <c r="B24" i="2"/>
  <c r="E35" i="10"/>
  <c r="E13" i="10"/>
  <c r="E51" i="7"/>
  <c r="E49" i="7"/>
  <c r="E23" i="10"/>
  <c r="E12" i="10"/>
  <c r="E52" i="7"/>
  <c r="E50" i="7"/>
  <c r="E48" i="7"/>
  <c r="E46" i="7"/>
  <c r="E24" i="10"/>
  <c r="E34" i="10"/>
  <c r="E42" i="7"/>
  <c r="E40" i="7"/>
  <c r="E34" i="7"/>
  <c r="E32" i="7"/>
  <c r="E28" i="7"/>
  <c r="E26" i="7"/>
  <c r="E24" i="7"/>
  <c r="E18" i="7"/>
  <c r="E16" i="7"/>
  <c r="E44" i="7"/>
  <c r="E41" i="7"/>
  <c r="E35" i="7"/>
  <c r="E33" i="7"/>
  <c r="E31" i="7"/>
  <c r="E29" i="7"/>
  <c r="E27" i="7"/>
  <c r="E25" i="7"/>
  <c r="E23" i="7"/>
  <c r="E17" i="7"/>
  <c r="E15" i="7"/>
  <c r="E45" i="7"/>
  <c r="E43" i="7"/>
  <c r="E9" i="7"/>
  <c r="E14" i="7"/>
  <c r="E12" i="7"/>
  <c r="E11" i="7"/>
  <c r="E6" i="7"/>
  <c r="E10" i="7"/>
  <c r="E7" i="7"/>
  <c r="E8" i="7"/>
  <c r="B6" i="3"/>
  <c r="B8" i="3"/>
  <c r="B10" i="3"/>
  <c r="B12" i="3"/>
  <c r="B14" i="3"/>
  <c r="B16" i="3"/>
  <c r="B18" i="3"/>
  <c r="B20" i="3"/>
  <c r="B22" i="3"/>
  <c r="B24" i="3"/>
  <c r="B26" i="3"/>
  <c r="B28" i="3"/>
  <c r="B30" i="3"/>
  <c r="B34" i="3"/>
  <c r="B40" i="3"/>
  <c r="B44" i="3"/>
  <c r="B48" i="3"/>
  <c r="B71" i="3"/>
  <c r="B55" i="3"/>
  <c r="B63" i="3"/>
  <c r="B60" i="3"/>
  <c r="B70" i="3"/>
  <c r="B79" i="3"/>
  <c r="B69" i="3"/>
  <c r="B68" i="3"/>
  <c r="B65" i="3"/>
  <c r="B67" i="3"/>
  <c r="B61" i="3"/>
  <c r="B75" i="3"/>
  <c r="B85" i="3"/>
  <c r="B66" i="3"/>
  <c r="B163" i="3"/>
  <c r="B157" i="3"/>
  <c r="B166" i="3"/>
  <c r="B167" i="3"/>
  <c r="B4" i="2"/>
  <c r="B32" i="3"/>
  <c r="B36" i="3"/>
  <c r="B38" i="3"/>
  <c r="B42" i="3"/>
  <c r="B46" i="3"/>
  <c r="I31" i="10"/>
  <c r="I21" i="10"/>
  <c r="W18" i="10"/>
  <c r="W8" i="10"/>
  <c r="I18" i="10"/>
  <c r="I8" i="10"/>
  <c r="W30" i="10"/>
  <c r="W20" i="10"/>
  <c r="W10" i="10"/>
  <c r="I30" i="10"/>
  <c r="I20" i="10"/>
  <c r="I10" i="10"/>
  <c r="W7" i="10"/>
  <c r="W32" i="10"/>
  <c r="I32" i="10"/>
  <c r="W29" i="10"/>
  <c r="W19" i="10"/>
  <c r="W9" i="10"/>
  <c r="W31" i="10"/>
  <c r="W21" i="10"/>
  <c r="I29" i="10"/>
  <c r="I19" i="10"/>
  <c r="I9" i="10"/>
  <c r="U46" i="6"/>
  <c r="M46" i="6"/>
  <c r="E46" i="6"/>
  <c r="P45" i="6"/>
  <c r="H45" i="6"/>
  <c r="V43" i="6"/>
  <c r="N43" i="6"/>
  <c r="F43" i="6"/>
  <c r="Q42" i="6"/>
  <c r="I42" i="6"/>
  <c r="T41" i="6"/>
  <c r="L41" i="6"/>
  <c r="O40" i="6"/>
  <c r="G40" i="6"/>
  <c r="R39" i="6"/>
  <c r="J39" i="6"/>
  <c r="U38" i="6"/>
  <c r="M38" i="6"/>
  <c r="E38" i="6"/>
  <c r="P37" i="6"/>
  <c r="H37" i="6"/>
  <c r="Q32" i="6"/>
  <c r="I32" i="6"/>
  <c r="T31" i="6"/>
  <c r="L31" i="6"/>
  <c r="R29" i="6"/>
  <c r="J29" i="6"/>
  <c r="U28" i="6"/>
  <c r="M28" i="6"/>
  <c r="E28" i="6"/>
  <c r="P27" i="6"/>
  <c r="H27" i="6"/>
  <c r="S26" i="6"/>
  <c r="K26" i="6"/>
  <c r="V25" i="6"/>
  <c r="N25" i="6"/>
  <c r="F25" i="6"/>
  <c r="Q24" i="6"/>
  <c r="I24" i="6"/>
  <c r="T23" i="6"/>
  <c r="L23" i="6"/>
  <c r="U18" i="6"/>
  <c r="M18" i="6"/>
  <c r="E18" i="6"/>
  <c r="P17" i="6"/>
  <c r="H17" i="6"/>
  <c r="V15" i="6"/>
  <c r="N15" i="6"/>
  <c r="F15" i="6"/>
  <c r="Q14" i="6"/>
  <c r="I14" i="6"/>
  <c r="T13" i="6"/>
  <c r="L13" i="6"/>
  <c r="O12" i="6"/>
  <c r="G12" i="6"/>
  <c r="R11" i="6"/>
  <c r="J11" i="6"/>
  <c r="U10" i="6"/>
  <c r="M10" i="6"/>
  <c r="E10" i="6"/>
  <c r="P9" i="6"/>
  <c r="H9" i="6"/>
  <c r="R46" i="6"/>
  <c r="I46" i="6"/>
  <c r="S45" i="6"/>
  <c r="J45" i="6"/>
  <c r="T43" i="6"/>
  <c r="K43" i="6"/>
  <c r="U42" i="6"/>
  <c r="L42" i="6"/>
  <c r="V41" i="6"/>
  <c r="M41" i="6"/>
  <c r="V40" i="6"/>
  <c r="M40" i="6"/>
  <c r="N39" i="6"/>
  <c r="E39" i="6"/>
  <c r="O38" i="6"/>
  <c r="F38" i="6"/>
  <c r="O37" i="6"/>
  <c r="F37" i="6"/>
  <c r="R32" i="6"/>
  <c r="H32" i="6"/>
  <c r="R31" i="6"/>
  <c r="I31" i="6"/>
  <c r="T29" i="6"/>
  <c r="K29" i="6"/>
  <c r="T28" i="6"/>
  <c r="K28" i="6"/>
  <c r="U27" i="6"/>
  <c r="L27" i="6"/>
  <c r="V26" i="6"/>
  <c r="M26" i="6"/>
  <c r="M25" i="6"/>
  <c r="N24" i="6"/>
  <c r="E24" i="6"/>
  <c r="O23" i="6"/>
  <c r="F23" i="6"/>
  <c r="Q18" i="6"/>
  <c r="H18" i="6"/>
  <c r="R17" i="6"/>
  <c r="I17" i="6"/>
  <c r="S15" i="6"/>
  <c r="J15" i="6"/>
  <c r="T14" i="6"/>
  <c r="K14" i="6"/>
  <c r="U13" i="6"/>
  <c r="K13" i="6"/>
  <c r="U12" i="6"/>
  <c r="L12" i="6"/>
  <c r="V11" i="6"/>
  <c r="M11" i="6"/>
  <c r="N10" i="6"/>
  <c r="N9" i="6"/>
  <c r="E9" i="6"/>
  <c r="V46" i="6"/>
  <c r="K46" i="6"/>
  <c r="T45" i="6"/>
  <c r="I45" i="6"/>
  <c r="P43" i="6"/>
  <c r="E43" i="6"/>
  <c r="N42" i="6"/>
  <c r="K41" i="6"/>
  <c r="T40" i="6"/>
  <c r="J40" i="6"/>
  <c r="S39" i="6"/>
  <c r="H39" i="6"/>
  <c r="Q38" i="6"/>
  <c r="G38" i="6"/>
  <c r="N37" i="6"/>
  <c r="T32" i="6"/>
  <c r="J32" i="6"/>
  <c r="Q31" i="6"/>
  <c r="G31" i="6"/>
  <c r="N29" i="6"/>
  <c r="L28" i="6"/>
  <c r="T27" i="6"/>
  <c r="J27" i="6"/>
  <c r="R26" i="6"/>
  <c r="H26" i="6"/>
  <c r="Q25" i="6"/>
  <c r="G25" i="6"/>
  <c r="O24" i="6"/>
  <c r="M23" i="6"/>
  <c r="R18" i="6"/>
  <c r="G18" i="6"/>
  <c r="O17" i="6"/>
  <c r="E17" i="6"/>
  <c r="L15" i="6"/>
  <c r="U14" i="6"/>
  <c r="J14" i="6"/>
  <c r="R13" i="6"/>
  <c r="H13" i="6"/>
  <c r="Q12" i="6"/>
  <c r="F12" i="6"/>
  <c r="O11" i="6"/>
  <c r="E11" i="6"/>
  <c r="L10" i="6"/>
  <c r="U9" i="6"/>
  <c r="K9" i="6"/>
  <c r="T46" i="6"/>
  <c r="J46" i="6"/>
  <c r="R45" i="6"/>
  <c r="G45" i="6"/>
  <c r="O43" i="6"/>
  <c r="M42" i="6"/>
  <c r="U41" i="6"/>
  <c r="J41" i="6"/>
  <c r="S40" i="6"/>
  <c r="I40" i="6"/>
  <c r="Q39" i="6"/>
  <c r="G39" i="6"/>
  <c r="P38" i="6"/>
  <c r="M37" i="6"/>
  <c r="S32" i="6"/>
  <c r="S46" i="6"/>
  <c r="H46" i="6"/>
  <c r="Q45" i="6"/>
  <c r="F45" i="6"/>
  <c r="M43" i="6"/>
  <c r="V42" i="6"/>
  <c r="K42" i="6"/>
  <c r="S41" i="6"/>
  <c r="I41" i="6"/>
  <c r="R40" i="6"/>
  <c r="H40" i="6"/>
  <c r="P39" i="6"/>
  <c r="F39" i="6"/>
  <c r="N38" i="6"/>
  <c r="V37" i="6"/>
  <c r="L37" i="6"/>
  <c r="P32" i="6"/>
  <c r="F32" i="6"/>
  <c r="O31" i="6"/>
  <c r="E31" i="6"/>
  <c r="V29" i="6"/>
  <c r="L29" i="6"/>
  <c r="S28" i="6"/>
  <c r="I28" i="6"/>
  <c r="R27" i="6"/>
  <c r="G27" i="6"/>
  <c r="P26" i="6"/>
  <c r="F26" i="6"/>
  <c r="O25" i="6"/>
  <c r="V24" i="6"/>
  <c r="L24" i="6"/>
  <c r="U23" i="6"/>
  <c r="J23" i="6"/>
  <c r="O18" i="6"/>
  <c r="M17" i="6"/>
  <c r="T15" i="6"/>
  <c r="I15" i="6"/>
  <c r="R14" i="6"/>
  <c r="G14" i="6"/>
  <c r="P13" i="6"/>
  <c r="F13" i="6"/>
  <c r="N12" i="6"/>
  <c r="L11" i="6"/>
  <c r="T10" i="6"/>
  <c r="J10" i="6"/>
  <c r="S9" i="6"/>
  <c r="I9" i="6"/>
  <c r="P46" i="6"/>
  <c r="U45" i="6"/>
  <c r="U47" i="6" s="1"/>
  <c r="H43" i="6"/>
  <c r="H42" i="6"/>
  <c r="N41" i="6"/>
  <c r="N40" i="6"/>
  <c r="O39" i="6"/>
  <c r="S38" i="6"/>
  <c r="T37" i="6"/>
  <c r="E37" i="6"/>
  <c r="L32" i="6"/>
  <c r="P31" i="6"/>
  <c r="M29" i="6"/>
  <c r="Q28" i="6"/>
  <c r="I27" i="6"/>
  <c r="N26" i="6"/>
  <c r="S25" i="6"/>
  <c r="E25" i="6"/>
  <c r="J24" i="6"/>
  <c r="P23" i="6"/>
  <c r="P18" i="6"/>
  <c r="U17" i="6"/>
  <c r="G17" i="6"/>
  <c r="G19" i="6" s="1"/>
  <c r="Q15" i="6"/>
  <c r="H14" i="6"/>
  <c r="N13" i="6"/>
  <c r="S12" i="6"/>
  <c r="E12" i="6"/>
  <c r="I11" i="6"/>
  <c r="P10" i="6"/>
  <c r="T9" i="6"/>
  <c r="F9" i="6"/>
  <c r="O46" i="6"/>
  <c r="O45" i="6"/>
  <c r="U43" i="6"/>
  <c r="G43" i="6"/>
  <c r="G42" i="6"/>
  <c r="H41" i="6"/>
  <c r="L40" i="6"/>
  <c r="M39" i="6"/>
  <c r="R38" i="6"/>
  <c r="S37" i="6"/>
  <c r="K32" i="6"/>
  <c r="N31" i="6"/>
  <c r="I29" i="6"/>
  <c r="P28" i="6"/>
  <c r="V27" i="6"/>
  <c r="F27" i="6"/>
  <c r="L26" i="6"/>
  <c r="R25" i="6"/>
  <c r="U24" i="6"/>
  <c r="H24" i="6"/>
  <c r="N23" i="6"/>
  <c r="N18" i="6"/>
  <c r="T17" i="6"/>
  <c r="F17" i="6"/>
  <c r="P15" i="6"/>
  <c r="V14" i="6"/>
  <c r="F14" i="6"/>
  <c r="M13" i="6"/>
  <c r="R12" i="6"/>
  <c r="U11" i="6"/>
  <c r="H11" i="6"/>
  <c r="O10" i="6"/>
  <c r="R9" i="6"/>
  <c r="N46" i="6"/>
  <c r="N45" i="6"/>
  <c r="S43" i="6"/>
  <c r="T42" i="6"/>
  <c r="F42" i="6"/>
  <c r="G41" i="6"/>
  <c r="K40" i="6"/>
  <c r="L39" i="6"/>
  <c r="L38" i="6"/>
  <c r="R37" i="6"/>
  <c r="G32" i="6"/>
  <c r="M31" i="6"/>
  <c r="H29" i="6"/>
  <c r="O28" i="6"/>
  <c r="S27" i="6"/>
  <c r="E27" i="6"/>
  <c r="J26" i="6"/>
  <c r="P25" i="6"/>
  <c r="T24" i="6"/>
  <c r="G24" i="6"/>
  <c r="K23" i="6"/>
  <c r="L18" i="6"/>
  <c r="S17" i="6"/>
  <c r="O15" i="6"/>
  <c r="S14" i="6"/>
  <c r="E14" i="6"/>
  <c r="J13" i="6"/>
  <c r="P12" i="6"/>
  <c r="T11" i="6"/>
  <c r="G11" i="6"/>
  <c r="K10" i="6"/>
  <c r="Q9" i="6"/>
  <c r="L46" i="6"/>
  <c r="M45" i="6"/>
  <c r="R43" i="6"/>
  <c r="S42" i="6"/>
  <c r="E42" i="6"/>
  <c r="F41" i="6"/>
  <c r="F40" i="6"/>
  <c r="K39" i="6"/>
  <c r="K38" i="6"/>
  <c r="Q37" i="6"/>
  <c r="V32" i="6"/>
  <c r="E32" i="6"/>
  <c r="K31" i="6"/>
  <c r="U29" i="6"/>
  <c r="G29" i="6"/>
  <c r="N28" i="6"/>
  <c r="Q27" i="6"/>
  <c r="I26" i="6"/>
  <c r="L25" i="6"/>
  <c r="S24" i="6"/>
  <c r="F24" i="6"/>
  <c r="I23" i="6"/>
  <c r="K18" i="6"/>
  <c r="Q17" i="6"/>
  <c r="M15" i="6"/>
  <c r="P14" i="6"/>
  <c r="I13" i="6"/>
  <c r="M12" i="6"/>
  <c r="S11" i="6"/>
  <c r="F11" i="6"/>
  <c r="I10" i="6"/>
  <c r="O9" i="6"/>
  <c r="G46" i="6"/>
  <c r="L45" i="6"/>
  <c r="Q43" i="6"/>
  <c r="R42" i="6"/>
  <c r="R41" i="6"/>
  <c r="E41" i="6"/>
  <c r="E40" i="6"/>
  <c r="I39" i="6"/>
  <c r="J38" i="6"/>
  <c r="K37" i="6"/>
  <c r="U32" i="6"/>
  <c r="J31" i="6"/>
  <c r="S29" i="6"/>
  <c r="F29" i="6"/>
  <c r="J28" i="6"/>
  <c r="O27" i="6"/>
  <c r="U26" i="6"/>
  <c r="G26" i="6"/>
  <c r="K25" i="6"/>
  <c r="R24" i="6"/>
  <c r="V23" i="6"/>
  <c r="H23" i="6"/>
  <c r="J18" i="6"/>
  <c r="N17" i="6"/>
  <c r="K15" i="6"/>
  <c r="O14" i="6"/>
  <c r="V13" i="6"/>
  <c r="G13" i="6"/>
  <c r="K12" i="6"/>
  <c r="Q11" i="6"/>
  <c r="V10" i="6"/>
  <c r="H10" i="6"/>
  <c r="M9" i="6"/>
  <c r="K45" i="6"/>
  <c r="I43" i="6"/>
  <c r="Q40" i="6"/>
  <c r="I38" i="6"/>
  <c r="U31" i="6"/>
  <c r="Q29" i="6"/>
  <c r="F28" i="6"/>
  <c r="U25" i="6"/>
  <c r="S23" i="6"/>
  <c r="F18" i="6"/>
  <c r="L14" i="6"/>
  <c r="I12" i="6"/>
  <c r="G10" i="6"/>
  <c r="E45" i="6"/>
  <c r="P42" i="6"/>
  <c r="P40" i="6"/>
  <c r="H38" i="6"/>
  <c r="S31" i="6"/>
  <c r="P29" i="6"/>
  <c r="N27" i="6"/>
  <c r="T25" i="6"/>
  <c r="R23" i="6"/>
  <c r="V17" i="6"/>
  <c r="U15" i="6"/>
  <c r="S13" i="6"/>
  <c r="H12" i="6"/>
  <c r="F10" i="6"/>
  <c r="O42" i="6"/>
  <c r="V39" i="6"/>
  <c r="U37" i="6"/>
  <c r="H31" i="6"/>
  <c r="O29" i="6"/>
  <c r="M27" i="6"/>
  <c r="J25" i="6"/>
  <c r="Q23" i="6"/>
  <c r="L17" i="6"/>
  <c r="R15" i="6"/>
  <c r="Q13" i="6"/>
  <c r="P11" i="6"/>
  <c r="V9" i="6"/>
  <c r="J42" i="6"/>
  <c r="U39" i="6"/>
  <c r="J37" i="6"/>
  <c r="F31" i="6"/>
  <c r="F33" i="6" s="1"/>
  <c r="E29" i="6"/>
  <c r="K27" i="6"/>
  <c r="I25" i="6"/>
  <c r="G23" i="6"/>
  <c r="K17" i="6"/>
  <c r="H15" i="6"/>
  <c r="O13" i="6"/>
  <c r="N11" i="6"/>
  <c r="L9" i="6"/>
  <c r="Q46" i="6"/>
  <c r="Q41" i="6"/>
  <c r="T39" i="6"/>
  <c r="I37" i="6"/>
  <c r="O32" i="6"/>
  <c r="V28" i="6"/>
  <c r="T26" i="6"/>
  <c r="H25" i="6"/>
  <c r="E23" i="6"/>
  <c r="V18" i="6"/>
  <c r="J17" i="6"/>
  <c r="G15" i="6"/>
  <c r="E13" i="6"/>
  <c r="K11" i="6"/>
  <c r="J9" i="6"/>
  <c r="F46" i="6"/>
  <c r="P41" i="6"/>
  <c r="G37" i="6"/>
  <c r="N32" i="6"/>
  <c r="R28" i="6"/>
  <c r="Q26" i="6"/>
  <c r="P24" i="6"/>
  <c r="T18" i="6"/>
  <c r="E15" i="6"/>
  <c r="V12" i="6"/>
  <c r="S10" i="6"/>
  <c r="G9" i="6"/>
  <c r="V45" i="6"/>
  <c r="J43" i="6"/>
  <c r="U40" i="6"/>
  <c r="T38" i="6"/>
  <c r="V31" i="6"/>
  <c r="V33" i="6" s="1"/>
  <c r="G28" i="6"/>
  <c r="E26" i="6"/>
  <c r="K24" i="6"/>
  <c r="I18" i="6"/>
  <c r="M14" i="6"/>
  <c r="J12" i="6"/>
  <c r="Q10" i="6"/>
  <c r="M32" i="6"/>
  <c r="N14" i="6"/>
  <c r="T12" i="6"/>
  <c r="H28" i="6"/>
  <c r="R10" i="6"/>
  <c r="O26" i="6"/>
  <c r="L43" i="6"/>
  <c r="M24" i="6"/>
  <c r="O41" i="6"/>
  <c r="V38" i="6"/>
  <c r="S18" i="6"/>
  <c r="A9" i="2"/>
  <c r="A15" i="2"/>
  <c r="B16" i="2"/>
  <c r="A21" i="2"/>
  <c r="B23" i="2"/>
  <c r="A3" i="3"/>
  <c r="R34" i="10"/>
  <c r="R35" i="10"/>
  <c r="R24" i="10"/>
  <c r="R13" i="10"/>
  <c r="R51" i="7"/>
  <c r="R49" i="7"/>
  <c r="R45" i="7"/>
  <c r="R23" i="10"/>
  <c r="R12" i="10"/>
  <c r="R52" i="7"/>
  <c r="R50" i="7"/>
  <c r="R48" i="7"/>
  <c r="R46" i="7"/>
  <c r="R44" i="7"/>
  <c r="R42" i="7"/>
  <c r="R41" i="7"/>
  <c r="R35" i="7"/>
  <c r="R33" i="7"/>
  <c r="R31" i="7"/>
  <c r="R29" i="7"/>
  <c r="R27" i="7"/>
  <c r="R25" i="7"/>
  <c r="R23" i="7"/>
  <c r="R17" i="7"/>
  <c r="R15" i="7"/>
  <c r="R11" i="7"/>
  <c r="R9" i="7"/>
  <c r="R43" i="7"/>
  <c r="R40" i="7"/>
  <c r="R34" i="7"/>
  <c r="R32" i="7"/>
  <c r="R28" i="7"/>
  <c r="R26" i="7"/>
  <c r="R14" i="7"/>
  <c r="R24" i="7"/>
  <c r="R18" i="7"/>
  <c r="R8" i="7"/>
  <c r="R16" i="7"/>
  <c r="R6" i="7"/>
  <c r="R7" i="7"/>
  <c r="R12" i="7"/>
  <c r="R10" i="7"/>
  <c r="A86" i="3"/>
  <c r="A78" i="3"/>
  <c r="A73" i="3"/>
  <c r="A88" i="3"/>
  <c r="A91" i="3"/>
  <c r="A94" i="3"/>
  <c r="A168" i="3"/>
  <c r="A177" i="3"/>
  <c r="G35" i="10"/>
  <c r="G12" i="10"/>
  <c r="G52" i="7"/>
  <c r="G50" i="7"/>
  <c r="G48" i="7"/>
  <c r="G46" i="7"/>
  <c r="G44" i="7"/>
  <c r="G24" i="10"/>
  <c r="G23" i="10"/>
  <c r="G13" i="10"/>
  <c r="G51" i="7"/>
  <c r="G49" i="7"/>
  <c r="G41" i="7"/>
  <c r="G35" i="7"/>
  <c r="G33" i="7"/>
  <c r="G34" i="10"/>
  <c r="G42" i="7"/>
  <c r="G40" i="7"/>
  <c r="G34" i="7"/>
  <c r="G32" i="7"/>
  <c r="G28" i="7"/>
  <c r="G26" i="7"/>
  <c r="G24" i="7"/>
  <c r="G18" i="7"/>
  <c r="G16" i="7"/>
  <c r="G14" i="7"/>
  <c r="G12" i="7"/>
  <c r="G10" i="7"/>
  <c r="G8" i="7"/>
  <c r="G6" i="7"/>
  <c r="G45" i="7"/>
  <c r="G43" i="7"/>
  <c r="G29" i="7"/>
  <c r="G31" i="7"/>
  <c r="G15" i="7"/>
  <c r="G17" i="7"/>
  <c r="G27" i="7"/>
  <c r="G25" i="7"/>
  <c r="G23" i="7"/>
  <c r="G9" i="7"/>
  <c r="G11" i="7"/>
  <c r="G7" i="7"/>
  <c r="K34" i="10"/>
  <c r="K13" i="10"/>
  <c r="K51" i="7"/>
  <c r="K49" i="7"/>
  <c r="K45" i="7"/>
  <c r="K23" i="10"/>
  <c r="K35" i="10"/>
  <c r="K24" i="10"/>
  <c r="K44" i="7"/>
  <c r="K12" i="10"/>
  <c r="K11" i="10" s="1"/>
  <c r="K52" i="7"/>
  <c r="K43" i="7"/>
  <c r="K50" i="7"/>
  <c r="K40" i="7"/>
  <c r="K34" i="7"/>
  <c r="K32" i="7"/>
  <c r="K48" i="7"/>
  <c r="K42" i="7"/>
  <c r="K46" i="7"/>
  <c r="K41" i="7"/>
  <c r="K35" i="7"/>
  <c r="K33" i="7"/>
  <c r="K31" i="7"/>
  <c r="K29" i="7"/>
  <c r="K27" i="7"/>
  <c r="K25" i="7"/>
  <c r="K23" i="7"/>
  <c r="K17" i="7"/>
  <c r="K15" i="7"/>
  <c r="K11" i="7"/>
  <c r="K9" i="7"/>
  <c r="K7" i="7"/>
  <c r="K16" i="7"/>
  <c r="K24" i="7"/>
  <c r="K8" i="7"/>
  <c r="K28" i="7"/>
  <c r="K26" i="7"/>
  <c r="K18" i="7"/>
  <c r="K10" i="7"/>
  <c r="K14" i="7"/>
  <c r="K6" i="7"/>
  <c r="K12" i="7"/>
  <c r="J34" i="10"/>
  <c r="J35" i="10"/>
  <c r="J24" i="10"/>
  <c r="J13" i="10"/>
  <c r="J51" i="7"/>
  <c r="J49" i="7"/>
  <c r="J45" i="7"/>
  <c r="J23" i="10"/>
  <c r="J12" i="10"/>
  <c r="J52" i="7"/>
  <c r="J50" i="7"/>
  <c r="J48" i="7"/>
  <c r="J46" i="7"/>
  <c r="J44" i="7"/>
  <c r="J42" i="7"/>
  <c r="J41" i="7"/>
  <c r="J35" i="7"/>
  <c r="J33" i="7"/>
  <c r="J31" i="7"/>
  <c r="J29" i="7"/>
  <c r="J27" i="7"/>
  <c r="J25" i="7"/>
  <c r="J23" i="7"/>
  <c r="J17" i="7"/>
  <c r="J15" i="7"/>
  <c r="J11" i="7"/>
  <c r="J9" i="7"/>
  <c r="J43" i="7"/>
  <c r="J40" i="7"/>
  <c r="J34" i="7"/>
  <c r="J32" i="7"/>
  <c r="J28" i="7"/>
  <c r="J26" i="7"/>
  <c r="J7" i="7"/>
  <c r="J16" i="7"/>
  <c r="J18" i="7"/>
  <c r="J12" i="7"/>
  <c r="J10" i="7"/>
  <c r="J8" i="7"/>
  <c r="J24" i="7"/>
  <c r="J14" i="7"/>
  <c r="J6" i="7"/>
  <c r="T187" i="4"/>
  <c r="T188" i="4"/>
  <c r="T157" i="4"/>
  <c r="T189" i="4"/>
  <c r="O35" i="10"/>
  <c r="O34" i="10"/>
  <c r="O12" i="10"/>
  <c r="O52" i="7"/>
  <c r="O50" i="7"/>
  <c r="O48" i="7"/>
  <c r="O46" i="7"/>
  <c r="O44" i="7"/>
  <c r="O24" i="10"/>
  <c r="O23" i="10"/>
  <c r="O45" i="7"/>
  <c r="O42" i="7"/>
  <c r="O13" i="10"/>
  <c r="O51" i="7"/>
  <c r="O41" i="7"/>
  <c r="O35" i="7"/>
  <c r="O33" i="7"/>
  <c r="O49" i="7"/>
  <c r="O40" i="7"/>
  <c r="O34" i="7"/>
  <c r="O32" i="7"/>
  <c r="O28" i="7"/>
  <c r="O26" i="7"/>
  <c r="O24" i="7"/>
  <c r="O18" i="7"/>
  <c r="O16" i="7"/>
  <c r="O14" i="7"/>
  <c r="O12" i="7"/>
  <c r="O10" i="7"/>
  <c r="O8" i="7"/>
  <c r="O6" i="7"/>
  <c r="O25" i="7"/>
  <c r="O43" i="7"/>
  <c r="O9" i="7"/>
  <c r="O29" i="7"/>
  <c r="O31" i="7"/>
  <c r="O15" i="7"/>
  <c r="O27" i="7"/>
  <c r="O23" i="7"/>
  <c r="O11" i="7"/>
  <c r="O17" i="7"/>
  <c r="O7" i="7"/>
  <c r="T182" i="4"/>
  <c r="T190" i="4"/>
  <c r="F35" i="10"/>
  <c r="F34" i="10"/>
  <c r="F23" i="10"/>
  <c r="F12" i="10"/>
  <c r="F52" i="7"/>
  <c r="F50" i="7"/>
  <c r="F48" i="7"/>
  <c r="F46" i="7"/>
  <c r="F24" i="10"/>
  <c r="F13" i="10"/>
  <c r="F51" i="7"/>
  <c r="F49" i="7"/>
  <c r="F45" i="7"/>
  <c r="F43" i="7"/>
  <c r="F42" i="7"/>
  <c r="F40" i="7"/>
  <c r="F34" i="7"/>
  <c r="F32" i="7"/>
  <c r="F28" i="7"/>
  <c r="F26" i="7"/>
  <c r="F24" i="7"/>
  <c r="F18" i="7"/>
  <c r="F16" i="7"/>
  <c r="F14" i="7"/>
  <c r="F12" i="7"/>
  <c r="F10" i="7"/>
  <c r="F44" i="7"/>
  <c r="F41" i="7"/>
  <c r="F35" i="7"/>
  <c r="F33" i="7"/>
  <c r="F31" i="7"/>
  <c r="F29" i="7"/>
  <c r="F27" i="7"/>
  <c r="F25" i="7"/>
  <c r="F23" i="7"/>
  <c r="F17" i="7"/>
  <c r="F6" i="7"/>
  <c r="F15" i="7"/>
  <c r="F9" i="7"/>
  <c r="F7" i="7"/>
  <c r="F8" i="7"/>
  <c r="F11" i="7"/>
  <c r="T183" i="4"/>
  <c r="T191" i="4"/>
  <c r="T184" i="4"/>
  <c r="T34" i="10"/>
  <c r="T35" i="10"/>
  <c r="T13" i="10"/>
  <c r="T51" i="7"/>
  <c r="T49" i="7"/>
  <c r="T45" i="7"/>
  <c r="T23" i="10"/>
  <c r="T12" i="10"/>
  <c r="T52" i="7"/>
  <c r="T50" i="7"/>
  <c r="T48" i="7"/>
  <c r="T46" i="7"/>
  <c r="T44" i="7"/>
  <c r="T43" i="7"/>
  <c r="T40" i="7"/>
  <c r="T34" i="7"/>
  <c r="T32" i="7"/>
  <c r="T28" i="7"/>
  <c r="T26" i="7"/>
  <c r="T24" i="7"/>
  <c r="T18" i="7"/>
  <c r="T16" i="7"/>
  <c r="T14" i="7"/>
  <c r="T12" i="7"/>
  <c r="T10" i="7"/>
  <c r="T24" i="10"/>
  <c r="T42" i="7"/>
  <c r="T35" i="7"/>
  <c r="T33" i="7"/>
  <c r="T31" i="7"/>
  <c r="T15" i="7"/>
  <c r="T27" i="7"/>
  <c r="T23" i="7"/>
  <c r="T17" i="7"/>
  <c r="T25" i="7"/>
  <c r="T9" i="7"/>
  <c r="T29" i="7"/>
  <c r="T8" i="7"/>
  <c r="T7" i="7"/>
  <c r="T41" i="7"/>
  <c r="T11" i="7"/>
  <c r="T6" i="7"/>
  <c r="D13" i="5"/>
  <c r="D29" i="1" s="1"/>
  <c r="D57" i="1" s="1"/>
  <c r="U5" i="7"/>
  <c r="D21" i="5"/>
  <c r="E29" i="1" s="1"/>
  <c r="E57" i="1" s="1"/>
  <c r="P5" i="7"/>
  <c r="H13" i="7"/>
  <c r="H4" i="7" s="1"/>
  <c r="L22" i="7"/>
  <c r="L30" i="7"/>
  <c r="U19" i="6" l="1"/>
  <c r="M47" i="6"/>
  <c r="H33" i="6"/>
  <c r="Q19" i="6"/>
  <c r="R33" i="6"/>
  <c r="D20" i="10"/>
  <c r="D10" i="10"/>
  <c r="K33" i="6"/>
  <c r="V47" i="6"/>
  <c r="U33" i="6"/>
  <c r="J33" i="6"/>
  <c r="M19" i="6"/>
  <c r="K19" i="6"/>
  <c r="J19" i="6"/>
  <c r="L16" i="6"/>
  <c r="N19" i="6"/>
  <c r="I47" i="6"/>
  <c r="R19" i="6"/>
  <c r="L19" i="6"/>
  <c r="W17" i="10"/>
  <c r="W14" i="5" s="1"/>
  <c r="W16" i="5" s="1"/>
  <c r="D21" i="10"/>
  <c r="K47" i="6"/>
  <c r="G16" i="6"/>
  <c r="G8" i="6" s="1"/>
  <c r="G6" i="5" s="1"/>
  <c r="G8" i="5" s="1"/>
  <c r="G30" i="6"/>
  <c r="V16" i="6"/>
  <c r="M16" i="6"/>
  <c r="S44" i="6"/>
  <c r="O47" i="6"/>
  <c r="M30" i="6"/>
  <c r="O44" i="6"/>
  <c r="D19" i="10"/>
  <c r="G44" i="6"/>
  <c r="O16" i="6"/>
  <c r="Q16" i="6"/>
  <c r="H19" i="6"/>
  <c r="D8" i="10"/>
  <c r="U4" i="7"/>
  <c r="U9" i="5" s="1"/>
  <c r="P4" i="7"/>
  <c r="C21" i="8" s="1"/>
  <c r="N4" i="7"/>
  <c r="N9" i="5" s="1"/>
  <c r="V21" i="7"/>
  <c r="V17" i="5" s="1"/>
  <c r="D49" i="9"/>
  <c r="D81" i="9"/>
  <c r="W21" i="7"/>
  <c r="D31" i="8" s="1"/>
  <c r="D30" i="8" s="1"/>
  <c r="L38" i="7"/>
  <c r="E17" i="8" s="1"/>
  <c r="I38" i="7"/>
  <c r="I25" i="5" s="1"/>
  <c r="U21" i="7"/>
  <c r="U17" i="5" s="1"/>
  <c r="P38" i="7"/>
  <c r="L4" i="7"/>
  <c r="C17" i="8" s="1"/>
  <c r="S21" i="7"/>
  <c r="D24" i="8" s="1"/>
  <c r="M4" i="7"/>
  <c r="U38" i="7"/>
  <c r="E27" i="8" s="1"/>
  <c r="N38" i="7"/>
  <c r="N25" i="5" s="1"/>
  <c r="M38" i="7"/>
  <c r="E18" i="8" s="1"/>
  <c r="H38" i="7"/>
  <c r="H25" i="5" s="1"/>
  <c r="H21" i="7"/>
  <c r="H17" i="5" s="1"/>
  <c r="M21" i="7"/>
  <c r="D18" i="8" s="1"/>
  <c r="Q21" i="7"/>
  <c r="D22" i="8" s="1"/>
  <c r="N21" i="7"/>
  <c r="V38" i="7"/>
  <c r="V25" i="5" s="1"/>
  <c r="V4" i="7"/>
  <c r="C29" i="8" s="1"/>
  <c r="C28" i="8" s="1"/>
  <c r="Q4" i="7"/>
  <c r="Q9" i="5" s="1"/>
  <c r="T11" i="10"/>
  <c r="W4" i="7"/>
  <c r="C31" i="8" s="1"/>
  <c r="C30" i="8" s="1"/>
  <c r="S38" i="7"/>
  <c r="F33" i="10"/>
  <c r="K22" i="10"/>
  <c r="P21" i="7"/>
  <c r="D21" i="8" s="1"/>
  <c r="R11" i="10"/>
  <c r="I4" i="7"/>
  <c r="I21" i="7"/>
  <c r="S4" i="7"/>
  <c r="O11" i="10"/>
  <c r="J33" i="10"/>
  <c r="G47" i="7"/>
  <c r="J22" i="10"/>
  <c r="K47" i="7"/>
  <c r="T30" i="7"/>
  <c r="F22" i="7"/>
  <c r="F22" i="10"/>
  <c r="O22" i="7"/>
  <c r="O5" i="7"/>
  <c r="J39" i="7"/>
  <c r="K30" i="7"/>
  <c r="G22" i="10"/>
  <c r="R30" i="7"/>
  <c r="K39" i="7"/>
  <c r="R13" i="7"/>
  <c r="D7" i="7"/>
  <c r="D33" i="7"/>
  <c r="E22" i="8"/>
  <c r="Q25" i="5"/>
  <c r="O30" i="7"/>
  <c r="W38" i="7"/>
  <c r="C12" i="8"/>
  <c r="H9" i="5"/>
  <c r="D36" i="9"/>
  <c r="C24" i="9"/>
  <c r="C38" i="9"/>
  <c r="D73" i="9"/>
  <c r="T5" i="7"/>
  <c r="F30" i="7"/>
  <c r="F47" i="7"/>
  <c r="O13" i="7"/>
  <c r="O39" i="7"/>
  <c r="J13" i="7"/>
  <c r="J11" i="10"/>
  <c r="K22" i="7"/>
  <c r="K21" i="7" s="1"/>
  <c r="R5" i="7"/>
  <c r="R22" i="7"/>
  <c r="J16" i="6"/>
  <c r="V30" i="6"/>
  <c r="V22" i="6" s="1"/>
  <c r="V14" i="5" s="1"/>
  <c r="V16" i="5" s="1"/>
  <c r="D42" i="6"/>
  <c r="K30" i="6"/>
  <c r="G47" i="6"/>
  <c r="D17" i="6"/>
  <c r="E19" i="6"/>
  <c r="D38" i="6"/>
  <c r="D46" i="6"/>
  <c r="C50" i="9"/>
  <c r="E76" i="9"/>
  <c r="C42" i="9"/>
  <c r="E25" i="9"/>
  <c r="E49" i="9"/>
  <c r="E73" i="9"/>
  <c r="D18" i="9"/>
  <c r="D42" i="9"/>
  <c r="D66" i="9"/>
  <c r="D13" i="9"/>
  <c r="E34" i="9"/>
  <c r="D61" i="9"/>
  <c r="D8" i="9"/>
  <c r="D32" i="9"/>
  <c r="C59" i="9"/>
  <c r="D80" i="9"/>
  <c r="E24" i="9"/>
  <c r="E48" i="9"/>
  <c r="E72" i="9"/>
  <c r="C17" i="9"/>
  <c r="C41" i="9"/>
  <c r="E67" i="9"/>
  <c r="D9" i="9"/>
  <c r="C36" i="9"/>
  <c r="C60" i="9"/>
  <c r="D12" i="7"/>
  <c r="D25" i="7"/>
  <c r="D16" i="7"/>
  <c r="D42" i="7"/>
  <c r="D23" i="10"/>
  <c r="E22" i="10"/>
  <c r="J30" i="6"/>
  <c r="K16" i="6"/>
  <c r="D24" i="6"/>
  <c r="E52" i="9"/>
  <c r="C53" i="9"/>
  <c r="D11" i="9"/>
  <c r="D25" i="9"/>
  <c r="T22" i="7"/>
  <c r="T33" i="10"/>
  <c r="O22" i="10"/>
  <c r="O33" i="10"/>
  <c r="J44" i="6"/>
  <c r="Q30" i="6"/>
  <c r="D32" i="6"/>
  <c r="M33" i="6"/>
  <c r="N30" i="6"/>
  <c r="D31" i="6"/>
  <c r="E33" i="6"/>
  <c r="F47" i="6"/>
  <c r="R47" i="6"/>
  <c r="O19" i="6"/>
  <c r="D9" i="6"/>
  <c r="E16" i="6"/>
  <c r="J47" i="6"/>
  <c r="D30" i="10"/>
  <c r="C26" i="9"/>
  <c r="D71" i="9"/>
  <c r="D15" i="9"/>
  <c r="D63" i="9"/>
  <c r="D28" i="9"/>
  <c r="D52" i="9"/>
  <c r="D76" i="9"/>
  <c r="C21" i="9"/>
  <c r="C45" i="9"/>
  <c r="C16" i="9"/>
  <c r="C40" i="9"/>
  <c r="C64" i="9"/>
  <c r="C11" i="9"/>
  <c r="C35" i="9"/>
  <c r="E61" i="9"/>
  <c r="C83" i="9"/>
  <c r="C30" i="9"/>
  <c r="C54" i="9"/>
  <c r="D75" i="9"/>
  <c r="E19" i="9"/>
  <c r="E43" i="9"/>
  <c r="D70" i="9"/>
  <c r="C12" i="9"/>
  <c r="E38" i="9"/>
  <c r="E62" i="9"/>
  <c r="D14" i="7"/>
  <c r="E13" i="7"/>
  <c r="D27" i="7"/>
  <c r="D18" i="7"/>
  <c r="D34" i="10"/>
  <c r="E33" i="10"/>
  <c r="D49" i="7"/>
  <c r="C18" i="9"/>
  <c r="E79" i="9"/>
  <c r="E69" i="9"/>
  <c r="D54" i="9"/>
  <c r="F5" i="7"/>
  <c r="J22" i="7"/>
  <c r="K5" i="7"/>
  <c r="K33" i="10"/>
  <c r="R39" i="7"/>
  <c r="D13" i="6"/>
  <c r="S33" i="6"/>
  <c r="N33" i="6"/>
  <c r="D12" i="6"/>
  <c r="P30" i="6"/>
  <c r="P33" i="6"/>
  <c r="O33" i="6"/>
  <c r="Q47" i="6"/>
  <c r="N44" i="6"/>
  <c r="N16" i="6"/>
  <c r="F30" i="6"/>
  <c r="F22" i="6" s="1"/>
  <c r="F14" i="5" s="1"/>
  <c r="F16" i="5" s="1"/>
  <c r="S47" i="6"/>
  <c r="L30" i="6"/>
  <c r="L33" i="6"/>
  <c r="W28" i="10"/>
  <c r="W22" i="5" s="1"/>
  <c r="W24" i="5" s="1"/>
  <c r="D31" i="10"/>
  <c r="D47" i="9"/>
  <c r="E36" i="9"/>
  <c r="C7" i="9"/>
  <c r="C31" i="9"/>
  <c r="C55" i="9"/>
  <c r="C79" i="9"/>
  <c r="E23" i="9"/>
  <c r="E47" i="9"/>
  <c r="E71" i="9"/>
  <c r="E18" i="9"/>
  <c r="E42" i="9"/>
  <c r="E66" i="9"/>
  <c r="E13" i="9"/>
  <c r="D40" i="9"/>
  <c r="D64" i="9"/>
  <c r="C6" i="9"/>
  <c r="E32" i="9"/>
  <c r="E56" i="9"/>
  <c r="C78" i="9"/>
  <c r="D22" i="9"/>
  <c r="D46" i="9"/>
  <c r="C73" i="9"/>
  <c r="D17" i="9"/>
  <c r="D41" i="9"/>
  <c r="C68" i="9"/>
  <c r="D9" i="7"/>
  <c r="D29" i="7"/>
  <c r="D24" i="7"/>
  <c r="D24" i="10"/>
  <c r="D51" i="7"/>
  <c r="D23" i="9"/>
  <c r="C29" i="9"/>
  <c r="E45" i="9"/>
  <c r="D30" i="9"/>
  <c r="D35" i="10"/>
  <c r="L21" i="7"/>
  <c r="T13" i="7"/>
  <c r="T39" i="7"/>
  <c r="T22" i="10"/>
  <c r="F11" i="10"/>
  <c r="K13" i="7"/>
  <c r="G30" i="7"/>
  <c r="G13" i="7"/>
  <c r="G39" i="7"/>
  <c r="G11" i="10"/>
  <c r="R47" i="7"/>
  <c r="I44" i="6"/>
  <c r="S30" i="6"/>
  <c r="K44" i="6"/>
  <c r="L47" i="6"/>
  <c r="Q44" i="6"/>
  <c r="D14" i="6"/>
  <c r="R44" i="6"/>
  <c r="N47" i="6"/>
  <c r="D43" i="6"/>
  <c r="O30" i="6"/>
  <c r="F44" i="6"/>
  <c r="T30" i="6"/>
  <c r="T33" i="6"/>
  <c r="D9" i="10"/>
  <c r="D32" i="10"/>
  <c r="E68" i="9"/>
  <c r="D31" i="9"/>
  <c r="D79" i="9"/>
  <c r="E9" i="9"/>
  <c r="E33" i="9"/>
  <c r="E57" i="9"/>
  <c r="E81" i="9"/>
  <c r="D26" i="9"/>
  <c r="D50" i="9"/>
  <c r="C77" i="9"/>
  <c r="D21" i="9"/>
  <c r="D45" i="9"/>
  <c r="D69" i="9"/>
  <c r="D16" i="9"/>
  <c r="C43" i="9"/>
  <c r="C67" i="9"/>
  <c r="E8" i="9"/>
  <c r="D35" i="9"/>
  <c r="D59" i="9"/>
  <c r="E80" i="9"/>
  <c r="C25" i="9"/>
  <c r="C49" i="9"/>
  <c r="E75" i="9"/>
  <c r="E22" i="9"/>
  <c r="E46" i="9"/>
  <c r="E70" i="9"/>
  <c r="D8" i="7"/>
  <c r="D43" i="7"/>
  <c r="E30" i="7"/>
  <c r="D31" i="7"/>
  <c r="D26" i="7"/>
  <c r="D46" i="7"/>
  <c r="D13" i="10"/>
  <c r="D37" i="6"/>
  <c r="E44" i="6"/>
  <c r="D7" i="10"/>
  <c r="I6" i="10"/>
  <c r="D60" i="9"/>
  <c r="C72" i="9"/>
  <c r="D78" i="9"/>
  <c r="E47" i="7"/>
  <c r="D48" i="7"/>
  <c r="J47" i="7"/>
  <c r="G33" i="10"/>
  <c r="D26" i="6"/>
  <c r="V19" i="6"/>
  <c r="D27" i="6"/>
  <c r="R16" i="6"/>
  <c r="T44" i="6"/>
  <c r="U30" i="6"/>
  <c r="L44" i="6"/>
  <c r="U16" i="6"/>
  <c r="H16" i="6"/>
  <c r="H8" i="6" s="1"/>
  <c r="H6" i="5" s="1"/>
  <c r="H8" i="5" s="1"/>
  <c r="D28" i="6"/>
  <c r="I28" i="10"/>
  <c r="D29" i="10"/>
  <c r="C66" i="9"/>
  <c r="E12" i="9"/>
  <c r="D39" i="9"/>
  <c r="C15" i="9"/>
  <c r="C39" i="9"/>
  <c r="C63" i="9"/>
  <c r="D10" i="9"/>
  <c r="E31" i="9"/>
  <c r="E55" i="9"/>
  <c r="D82" i="9"/>
  <c r="E26" i="9"/>
  <c r="E50" i="9"/>
  <c r="D77" i="9"/>
  <c r="E21" i="9"/>
  <c r="D48" i="9"/>
  <c r="D72" i="9"/>
  <c r="E16" i="9"/>
  <c r="E40" i="9"/>
  <c r="E64" i="9"/>
  <c r="D6" i="9"/>
  <c r="C33" i="9"/>
  <c r="C57" i="9"/>
  <c r="C81" i="9"/>
  <c r="C28" i="9"/>
  <c r="C52" i="9"/>
  <c r="C76" i="9"/>
  <c r="D10" i="7"/>
  <c r="D15" i="7"/>
  <c r="D35" i="7"/>
  <c r="D32" i="7"/>
  <c r="D50" i="7"/>
  <c r="E7" i="9"/>
  <c r="C19" i="9"/>
  <c r="D83" i="9"/>
  <c r="D28" i="7"/>
  <c r="O47" i="7"/>
  <c r="J30" i="7"/>
  <c r="G22" i="7"/>
  <c r="R33" i="10"/>
  <c r="D23" i="6"/>
  <c r="E30" i="6"/>
  <c r="U44" i="6"/>
  <c r="U36" i="6" s="1"/>
  <c r="U22" i="5" s="1"/>
  <c r="U24" i="5" s="1"/>
  <c r="R30" i="6"/>
  <c r="E47" i="6"/>
  <c r="D45" i="6"/>
  <c r="D40" i="6"/>
  <c r="S19" i="6"/>
  <c r="F19" i="6"/>
  <c r="F16" i="6"/>
  <c r="I16" i="6"/>
  <c r="V44" i="6"/>
  <c r="V36" i="6" s="1"/>
  <c r="V22" i="5" s="1"/>
  <c r="V24" i="5" s="1"/>
  <c r="M44" i="6"/>
  <c r="M36" i="6" s="1"/>
  <c r="M22" i="5" s="1"/>
  <c r="M24" i="5" s="1"/>
  <c r="G33" i="6"/>
  <c r="T47" i="6"/>
  <c r="I19" i="6"/>
  <c r="P16" i="6"/>
  <c r="P19" i="6"/>
  <c r="H44" i="6"/>
  <c r="H47" i="6"/>
  <c r="W6" i="10"/>
  <c r="W6" i="5" s="1"/>
  <c r="W8" i="5" s="1"/>
  <c r="D18" i="10"/>
  <c r="I17" i="10"/>
  <c r="D17" i="10" s="1"/>
  <c r="D27" i="1" s="1"/>
  <c r="D7" i="9"/>
  <c r="C34" i="9"/>
  <c r="E60" i="9"/>
  <c r="E17" i="9"/>
  <c r="E41" i="9"/>
  <c r="D68" i="9"/>
  <c r="C13" i="9"/>
  <c r="D34" i="9"/>
  <c r="C61" i="9"/>
  <c r="C8" i="9"/>
  <c r="D29" i="9"/>
  <c r="D53" i="9"/>
  <c r="C80" i="9"/>
  <c r="D24" i="9"/>
  <c r="E53" i="9"/>
  <c r="C75" i="9"/>
  <c r="D19" i="9"/>
  <c r="D43" i="9"/>
  <c r="D67" i="9"/>
  <c r="C9" i="9"/>
  <c r="E35" i="9"/>
  <c r="E59" i="9"/>
  <c r="E83" i="9"/>
  <c r="E30" i="9"/>
  <c r="E54" i="9"/>
  <c r="E78" i="9"/>
  <c r="D6" i="7"/>
  <c r="E5" i="7"/>
  <c r="D17" i="7"/>
  <c r="D41" i="7"/>
  <c r="D34" i="7"/>
  <c r="D52" i="7"/>
  <c r="D25" i="6"/>
  <c r="D12" i="9"/>
  <c r="C48" i="9"/>
  <c r="C62" i="9"/>
  <c r="D45" i="7"/>
  <c r="T47" i="7"/>
  <c r="F13" i="7"/>
  <c r="F39" i="7"/>
  <c r="J5" i="7"/>
  <c r="G5" i="7"/>
  <c r="R22" i="10"/>
  <c r="D15" i="6"/>
  <c r="D29" i="6"/>
  <c r="H30" i="6"/>
  <c r="H22" i="6" s="1"/>
  <c r="H14" i="5" s="1"/>
  <c r="H16" i="5" s="1"/>
  <c r="D41" i="6"/>
  <c r="I30" i="6"/>
  <c r="T19" i="6"/>
  <c r="T16" i="6"/>
  <c r="S16" i="6"/>
  <c r="D11" i="6"/>
  <c r="Q33" i="6"/>
  <c r="I33" i="6"/>
  <c r="D39" i="6"/>
  <c r="D10" i="6"/>
  <c r="D18" i="6"/>
  <c r="P44" i="6"/>
  <c r="P47" i="6"/>
  <c r="E28" i="9"/>
  <c r="D55" i="9"/>
  <c r="C82" i="9"/>
  <c r="C23" i="9"/>
  <c r="C47" i="9"/>
  <c r="C71" i="9"/>
  <c r="E15" i="9"/>
  <c r="E39" i="9"/>
  <c r="E63" i="9"/>
  <c r="E10" i="9"/>
  <c r="C32" i="9"/>
  <c r="C56" i="9"/>
  <c r="E82" i="9"/>
  <c r="E29" i="9"/>
  <c r="D56" i="9"/>
  <c r="E77" i="9"/>
  <c r="C22" i="9"/>
  <c r="C46" i="9"/>
  <c r="C70" i="9"/>
  <c r="E11" i="9"/>
  <c r="D38" i="9"/>
  <c r="D62" i="9"/>
  <c r="E6" i="9"/>
  <c r="D33" i="9"/>
  <c r="D57" i="9"/>
  <c r="D11" i="7"/>
  <c r="E22" i="7"/>
  <c r="D23" i="7"/>
  <c r="D44" i="7"/>
  <c r="D40" i="7"/>
  <c r="E39" i="7"/>
  <c r="E11" i="10"/>
  <c r="D12" i="10"/>
  <c r="U8" i="6" l="1"/>
  <c r="U6" i="5" s="1"/>
  <c r="U8" i="5" s="1"/>
  <c r="U10" i="5" s="1"/>
  <c r="Q8" i="6"/>
  <c r="Q6" i="5" s="1"/>
  <c r="Q8" i="5" s="1"/>
  <c r="Q10" i="5" s="1"/>
  <c r="R22" i="6"/>
  <c r="R14" i="5" s="1"/>
  <c r="R16" i="5" s="1"/>
  <c r="K22" i="6"/>
  <c r="K14" i="5" s="1"/>
  <c r="K16" i="5" s="1"/>
  <c r="Q22" i="6"/>
  <c r="Q14" i="5" s="1"/>
  <c r="Q16" i="5" s="1"/>
  <c r="C27" i="8"/>
  <c r="J8" i="6"/>
  <c r="J6" i="5" s="1"/>
  <c r="J8" i="5" s="1"/>
  <c r="S36" i="6"/>
  <c r="S22" i="5" s="1"/>
  <c r="S24" i="5" s="1"/>
  <c r="U22" i="6"/>
  <c r="U14" i="5" s="1"/>
  <c r="U16" i="5" s="1"/>
  <c r="U18" i="5" s="1"/>
  <c r="I36" i="6"/>
  <c r="I22" i="5" s="1"/>
  <c r="I24" i="5" s="1"/>
  <c r="I26" i="5" s="1"/>
  <c r="J22" i="6"/>
  <c r="J14" i="5" s="1"/>
  <c r="J16" i="5" s="1"/>
  <c r="K8" i="6"/>
  <c r="K6" i="5" s="1"/>
  <c r="K8" i="5" s="1"/>
  <c r="L8" i="6"/>
  <c r="L6" i="5" s="1"/>
  <c r="L8" i="5" s="1"/>
  <c r="N8" i="6"/>
  <c r="N6" i="5" s="1"/>
  <c r="N8" i="5" s="1"/>
  <c r="N10" i="5" s="1"/>
  <c r="M8" i="6"/>
  <c r="M6" i="5" s="1"/>
  <c r="M8" i="5" s="1"/>
  <c r="K36" i="6"/>
  <c r="K22" i="5" s="1"/>
  <c r="K24" i="5" s="1"/>
  <c r="M22" i="6"/>
  <c r="M14" i="5" s="1"/>
  <c r="M16" i="5" s="1"/>
  <c r="G22" i="6"/>
  <c r="G14" i="5" s="1"/>
  <c r="G16" i="5" s="1"/>
  <c r="R8" i="6"/>
  <c r="R6" i="5" s="1"/>
  <c r="R8" i="5" s="1"/>
  <c r="N36" i="6"/>
  <c r="N22" i="5" s="1"/>
  <c r="N24" i="5" s="1"/>
  <c r="N26" i="5" s="1"/>
  <c r="D28" i="10"/>
  <c r="E27" i="1" s="1"/>
  <c r="E55" i="1" s="1"/>
  <c r="I22" i="6"/>
  <c r="I14" i="5" s="1"/>
  <c r="I16" i="5" s="1"/>
  <c r="T36" i="6"/>
  <c r="T22" i="5" s="1"/>
  <c r="T24" i="5" s="1"/>
  <c r="V8" i="6"/>
  <c r="V6" i="5" s="1"/>
  <c r="V8" i="5" s="1"/>
  <c r="N22" i="6"/>
  <c r="N14" i="5" s="1"/>
  <c r="N16" i="5" s="1"/>
  <c r="G36" i="6"/>
  <c r="G22" i="5" s="1"/>
  <c r="G24" i="5" s="1"/>
  <c r="P36" i="6"/>
  <c r="P22" i="5" s="1"/>
  <c r="P24" i="5" s="1"/>
  <c r="H36" i="6"/>
  <c r="H22" i="5" s="1"/>
  <c r="H24" i="5" s="1"/>
  <c r="H26" i="5" s="1"/>
  <c r="T8" i="6"/>
  <c r="T6" i="5" s="1"/>
  <c r="T8" i="5" s="1"/>
  <c r="P8" i="6"/>
  <c r="P6" i="5" s="1"/>
  <c r="P8" i="5" s="1"/>
  <c r="D44" i="6"/>
  <c r="E17" i="1" s="1"/>
  <c r="E45" i="1" s="1"/>
  <c r="O8" i="6"/>
  <c r="O6" i="5" s="1"/>
  <c r="O8" i="5" s="1"/>
  <c r="I8" i="6"/>
  <c r="I6" i="5" s="1"/>
  <c r="I8" i="5" s="1"/>
  <c r="S8" i="6"/>
  <c r="S6" i="5" s="1"/>
  <c r="S8" i="5" s="1"/>
  <c r="O36" i="6"/>
  <c r="O22" i="5" s="1"/>
  <c r="O24" i="5" s="1"/>
  <c r="L22" i="6"/>
  <c r="L14" i="5" s="1"/>
  <c r="L16" i="5" s="1"/>
  <c r="C19" i="8"/>
  <c r="P9" i="5"/>
  <c r="D29" i="8"/>
  <c r="D28" i="8" s="1"/>
  <c r="J38" i="7"/>
  <c r="J25" i="5" s="1"/>
  <c r="O4" i="7"/>
  <c r="C20" i="8" s="1"/>
  <c r="H10" i="5"/>
  <c r="G4" i="7"/>
  <c r="G9" i="5" s="1"/>
  <c r="G10" i="5" s="1"/>
  <c r="D27" i="8"/>
  <c r="M17" i="5"/>
  <c r="W17" i="5"/>
  <c r="W18" i="5" s="1"/>
  <c r="G21" i="7"/>
  <c r="D10" i="8" s="1"/>
  <c r="D9" i="8" s="1"/>
  <c r="E20" i="9"/>
  <c r="L25" i="5"/>
  <c r="Q17" i="5"/>
  <c r="E13" i="8"/>
  <c r="M25" i="5"/>
  <c r="M26" i="5" s="1"/>
  <c r="D12" i="8"/>
  <c r="S17" i="5"/>
  <c r="E14" i="9"/>
  <c r="G38" i="7"/>
  <c r="E10" i="8" s="1"/>
  <c r="E9" i="8" s="1"/>
  <c r="L9" i="5"/>
  <c r="J4" i="7"/>
  <c r="C15" i="8" s="1"/>
  <c r="E19" i="8"/>
  <c r="C22" i="8"/>
  <c r="E21" i="8"/>
  <c r="P25" i="5"/>
  <c r="H18" i="5"/>
  <c r="R4" i="7"/>
  <c r="C23" i="8" s="1"/>
  <c r="U25" i="5"/>
  <c r="U26" i="5" s="1"/>
  <c r="F21" i="7"/>
  <c r="F17" i="5" s="1"/>
  <c r="F18" i="5" s="1"/>
  <c r="E12" i="8"/>
  <c r="V9" i="5"/>
  <c r="C18" i="8"/>
  <c r="M9" i="5"/>
  <c r="V26" i="5"/>
  <c r="D19" i="8"/>
  <c r="N17" i="5"/>
  <c r="E27" i="9"/>
  <c r="K38" i="7"/>
  <c r="O21" i="7"/>
  <c r="D11" i="10"/>
  <c r="C28" i="1" s="1"/>
  <c r="C56" i="1" s="1"/>
  <c r="T21" i="7"/>
  <c r="T17" i="5" s="1"/>
  <c r="D37" i="9"/>
  <c r="R21" i="7"/>
  <c r="D23" i="8" s="1"/>
  <c r="W9" i="5"/>
  <c r="W10" i="5" s="1"/>
  <c r="F38" i="7"/>
  <c r="E8" i="8" s="1"/>
  <c r="P17" i="5"/>
  <c r="C24" i="8"/>
  <c r="S9" i="5"/>
  <c r="S25" i="5"/>
  <c r="E24" i="8"/>
  <c r="D13" i="8"/>
  <c r="I17" i="5"/>
  <c r="C13" i="8"/>
  <c r="C11" i="8" s="1"/>
  <c r="I9" i="5"/>
  <c r="D58" i="9"/>
  <c r="D20" i="9"/>
  <c r="W25" i="5"/>
  <c r="W26" i="5" s="1"/>
  <c r="E29" i="8"/>
  <c r="E28" i="8" s="1"/>
  <c r="E31" i="8"/>
  <c r="E30" i="8" s="1"/>
  <c r="D33" i="10"/>
  <c r="E28" i="1" s="1"/>
  <c r="E56" i="1" s="1"/>
  <c r="C20" i="9"/>
  <c r="D65" i="9"/>
  <c r="T4" i="7"/>
  <c r="E5" i="9"/>
  <c r="C74" i="9"/>
  <c r="D55" i="1"/>
  <c r="C5" i="9"/>
  <c r="S22" i="6"/>
  <c r="S14" i="5" s="1"/>
  <c r="S16" i="5" s="1"/>
  <c r="J36" i="6"/>
  <c r="D16" i="8"/>
  <c r="K17" i="5"/>
  <c r="D5" i="9"/>
  <c r="C14" i="9"/>
  <c r="D47" i="7"/>
  <c r="E21" i="1" s="1"/>
  <c r="E49" i="1" s="1"/>
  <c r="D17" i="8"/>
  <c r="L17" i="5"/>
  <c r="Q36" i="6"/>
  <c r="Q22" i="5" s="1"/>
  <c r="Q24" i="5" s="1"/>
  <c r="Q26" i="5" s="1"/>
  <c r="D51" i="9"/>
  <c r="D16" i="6"/>
  <c r="C17" i="1" s="1"/>
  <c r="C45" i="1" s="1"/>
  <c r="D22" i="10"/>
  <c r="D28" i="1" s="1"/>
  <c r="D56" i="1" s="1"/>
  <c r="C58" i="9"/>
  <c r="C37" i="9"/>
  <c r="E38" i="7"/>
  <c r="D39" i="7"/>
  <c r="E20" i="1" s="1"/>
  <c r="V18" i="5"/>
  <c r="E58" i="9"/>
  <c r="E36" i="6"/>
  <c r="D47" i="6"/>
  <c r="E18" i="1" s="1"/>
  <c r="E46" i="1" s="1"/>
  <c r="O22" i="6"/>
  <c r="O14" i="5" s="1"/>
  <c r="O16" i="5" s="1"/>
  <c r="R38" i="7"/>
  <c r="D27" i="9"/>
  <c r="E74" i="9"/>
  <c r="D13" i="7"/>
  <c r="C21" i="1" s="1"/>
  <c r="C49" i="1" s="1"/>
  <c r="D74" i="9"/>
  <c r="E8" i="6"/>
  <c r="D19" i="6"/>
  <c r="C18" i="1" s="1"/>
  <c r="C46" i="1" s="1"/>
  <c r="O38" i="7"/>
  <c r="D22" i="7"/>
  <c r="D20" i="1" s="1"/>
  <c r="E21" i="7"/>
  <c r="D5" i="7"/>
  <c r="C20" i="1" s="1"/>
  <c r="E4" i="7"/>
  <c r="C51" i="9"/>
  <c r="C65" i="9"/>
  <c r="T22" i="6"/>
  <c r="T14" i="5" s="1"/>
  <c r="T16" i="5" s="1"/>
  <c r="E65" i="9"/>
  <c r="P22" i="6"/>
  <c r="P14" i="5" s="1"/>
  <c r="P16" i="5" s="1"/>
  <c r="K4" i="7"/>
  <c r="D14" i="9"/>
  <c r="R36" i="6"/>
  <c r="R22" i="5" s="1"/>
  <c r="R24" i="5" s="1"/>
  <c r="D30" i="6"/>
  <c r="D17" i="1" s="1"/>
  <c r="C27" i="9"/>
  <c r="D6" i="10"/>
  <c r="C27" i="1" s="1"/>
  <c r="D30" i="7"/>
  <c r="D21" i="1" s="1"/>
  <c r="D49" i="1" s="1"/>
  <c r="T38" i="7"/>
  <c r="J21" i="7"/>
  <c r="F36" i="6"/>
  <c r="F22" i="5" s="1"/>
  <c r="F24" i="5" s="1"/>
  <c r="E51" i="9"/>
  <c r="F8" i="6"/>
  <c r="F6" i="5" s="1"/>
  <c r="F8" i="5" s="1"/>
  <c r="D44" i="9"/>
  <c r="L36" i="6"/>
  <c r="L22" i="5" s="1"/>
  <c r="L24" i="5" s="1"/>
  <c r="E44" i="9"/>
  <c r="F4" i="7"/>
  <c r="E37" i="9"/>
  <c r="C44" i="9"/>
  <c r="E22" i="6"/>
  <c r="D33" i="6"/>
  <c r="D18" i="1" s="1"/>
  <c r="D46" i="1" s="1"/>
  <c r="G17" i="5" l="1"/>
  <c r="G18" i="5" s="1"/>
  <c r="K18" i="5"/>
  <c r="Q18" i="5"/>
  <c r="S26" i="5"/>
  <c r="M10" i="5"/>
  <c r="L10" i="5"/>
  <c r="M18" i="5"/>
  <c r="V10" i="5"/>
  <c r="I18" i="5"/>
  <c r="N18" i="5"/>
  <c r="L18" i="5"/>
  <c r="S10" i="5"/>
  <c r="P26" i="5"/>
  <c r="I10" i="5"/>
  <c r="P10" i="5"/>
  <c r="C10" i="8"/>
  <c r="C9" i="8" s="1"/>
  <c r="O9" i="5"/>
  <c r="O10" i="5" s="1"/>
  <c r="F25" i="5"/>
  <c r="F26" i="5" s="1"/>
  <c r="D8" i="8"/>
  <c r="L26" i="5"/>
  <c r="P18" i="5"/>
  <c r="R9" i="5"/>
  <c r="R10" i="5" s="1"/>
  <c r="E11" i="8"/>
  <c r="E31" i="1"/>
  <c r="G25" i="5"/>
  <c r="G26" i="5" s="1"/>
  <c r="J9" i="5"/>
  <c r="J10" i="5" s="1"/>
  <c r="S18" i="5"/>
  <c r="D26" i="8"/>
  <c r="D25" i="8" s="1"/>
  <c r="D11" i="8"/>
  <c r="K25" i="5"/>
  <c r="K26" i="5" s="1"/>
  <c r="E16" i="8"/>
  <c r="R17" i="5"/>
  <c r="R18" i="5" s="1"/>
  <c r="T18" i="5"/>
  <c r="D20" i="8"/>
  <c r="O17" i="5"/>
  <c r="O18" i="5" s="1"/>
  <c r="E44" i="1"/>
  <c r="E16" i="1"/>
  <c r="E59" i="1"/>
  <c r="D45" i="1"/>
  <c r="D44" i="1" s="1"/>
  <c r="D16" i="1"/>
  <c r="D48" i="1"/>
  <c r="D47" i="1" s="1"/>
  <c r="D19" i="1"/>
  <c r="E15" i="8"/>
  <c r="J22" i="5"/>
  <c r="J24" i="5" s="1"/>
  <c r="J26" i="5" s="1"/>
  <c r="D15" i="8"/>
  <c r="J17" i="5"/>
  <c r="J18" i="5" s="1"/>
  <c r="C44" i="1"/>
  <c r="C16" i="1"/>
  <c r="C4" i="9"/>
  <c r="E7" i="8"/>
  <c r="E6" i="8" s="1"/>
  <c r="D38" i="7"/>
  <c r="E25" i="5"/>
  <c r="E20" i="8"/>
  <c r="O25" i="5"/>
  <c r="O26" i="5" s="1"/>
  <c r="E6" i="5"/>
  <c r="D8" i="6"/>
  <c r="C19" i="1"/>
  <c r="C48" i="1"/>
  <c r="C47" i="1" s="1"/>
  <c r="C26" i="8"/>
  <c r="C25" i="8" s="1"/>
  <c r="T9" i="5"/>
  <c r="T10" i="5" s="1"/>
  <c r="D4" i="9"/>
  <c r="C8" i="8"/>
  <c r="F9" i="5"/>
  <c r="F10" i="5" s="1"/>
  <c r="C55" i="1"/>
  <c r="C59" i="1" s="1"/>
  <c r="C31" i="1"/>
  <c r="E23" i="8"/>
  <c r="R25" i="5"/>
  <c r="R26" i="5" s="1"/>
  <c r="C16" i="8"/>
  <c r="C14" i="8" s="1"/>
  <c r="K9" i="5"/>
  <c r="K10" i="5" s="1"/>
  <c r="E14" i="5"/>
  <c r="D22" i="6"/>
  <c r="E4" i="9"/>
  <c r="E26" i="8"/>
  <c r="E25" i="8" s="1"/>
  <c r="T25" i="5"/>
  <c r="T26" i="5" s="1"/>
  <c r="D59" i="1"/>
  <c r="E19" i="1"/>
  <c r="E48" i="1"/>
  <c r="E47" i="1" s="1"/>
  <c r="C7" i="8"/>
  <c r="D4" i="7"/>
  <c r="E9" i="5"/>
  <c r="D7" i="8"/>
  <c r="D21" i="7"/>
  <c r="E17" i="5"/>
  <c r="E22" i="5"/>
  <c r="D36" i="6"/>
  <c r="D31" i="1"/>
  <c r="E50" i="1" l="1"/>
  <c r="E61" i="1" s="1"/>
  <c r="E22" i="1"/>
  <c r="E33" i="1" s="1"/>
  <c r="C6" i="8"/>
  <c r="C5" i="8" s="1"/>
  <c r="D6" i="8"/>
  <c r="D14" i="8"/>
  <c r="E14" i="8"/>
  <c r="E5" i="8" s="1"/>
  <c r="D25" i="5"/>
  <c r="D9" i="5"/>
  <c r="D14" i="5"/>
  <c r="E16" i="5"/>
  <c r="D22" i="5"/>
  <c r="E24" i="5"/>
  <c r="D6" i="5"/>
  <c r="E8" i="5"/>
  <c r="D17" i="5"/>
  <c r="C22" i="1"/>
  <c r="C33" i="1" s="1"/>
  <c r="D22" i="1"/>
  <c r="D33" i="1" s="1"/>
  <c r="C50" i="1"/>
  <c r="C61" i="1" s="1"/>
  <c r="D50" i="1"/>
  <c r="D61" i="1" s="1"/>
  <c r="D5" i="8" l="1"/>
  <c r="D8" i="5"/>
  <c r="E10" i="5"/>
  <c r="D10" i="5" s="1"/>
  <c r="E26" i="5"/>
  <c r="D26" i="5" s="1"/>
  <c r="D24" i="5"/>
  <c r="E18" i="5"/>
  <c r="D18" i="5" s="1"/>
  <c r="D16" i="5"/>
</calcChain>
</file>

<file path=xl/sharedStrings.xml><?xml version="1.0" encoding="utf-8"?>
<sst xmlns="http://schemas.openxmlformats.org/spreadsheetml/2006/main" count="15678" uniqueCount="5414">
  <si>
    <t>RKP-NAZIV PRORAČUNSKOG KORISNIKA</t>
  </si>
  <si>
    <t>3041 INSTITUT RUĐER BOŠKOVIĆ</t>
  </si>
  <si>
    <t>MJESTO I DATUM</t>
  </si>
  <si>
    <t>OSOBA ZA KONTAKTIRANJE</t>
  </si>
  <si>
    <t>Hrvoje Matezović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</si>
  <si>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</si>
  <si>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</si>
  <si>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</si>
  <si>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</si>
  <si>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</si>
  <si>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</si>
  <si>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</si>
  <si>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</si>
  <si>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</si>
  <si>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</si>
  <si>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</si>
  <si>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</si>
  <si>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odaberite -</t>
  </si>
  <si>
    <t>-</t>
  </si>
  <si>
    <t>E-MAIL ZA KONTAKT</t>
  </si>
  <si>
    <t>hrvoje.matezovic@irb.hr</t>
  </si>
  <si>
    <t xml:space="preserve">MINISTARSTVO ZNANOSTI I OBRAZOVANJA </t>
  </si>
  <si>
    <t>DONJE SVETICE 38</t>
  </si>
  <si>
    <t>10000 ZAGREB</t>
  </si>
  <si>
    <t>49508397045</t>
  </si>
  <si>
    <t>MZO</t>
  </si>
  <si>
    <t>08005</t>
  </si>
  <si>
    <t>FAKULTET ORGANIZACIJE I INFORMATIKE U VARAŽDINU</t>
  </si>
  <si>
    <t>SVEUČILIŠTE U ZAGREBU</t>
  </si>
  <si>
    <t>PAVLINSKA 2</t>
  </si>
  <si>
    <t>42000 VARAŽDIN</t>
  </si>
  <si>
    <t>02024882310</t>
  </si>
  <si>
    <t>Sveučilišta i veleučilišta u Republici Hrvatskoj</t>
  </si>
  <si>
    <t>08006</t>
  </si>
  <si>
    <t>FINANCIJSKI PLAN
ZA 2023. I PROJEKCIJE ZA 2024. I 2025. GODINU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</si>
  <si>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</si>
  <si>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</si>
  <si>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</si>
  <si>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</si>
  <si>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</si>
  <si>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SVEUČILIŠTE J. J. STROSSMAYERA U OSIJEKU</t>
  </si>
  <si>
    <t>SVEUČILIŠTE J.J STROSSMAYERA U OSIJEKU</t>
  </si>
  <si>
    <t>TRG SV. TROJSTVA 3</t>
  </si>
  <si>
    <t>31000 OSIJEK</t>
  </si>
  <si>
    <t>78808975734</t>
  </si>
  <si>
    <t>OPĆI DIO</t>
  </si>
  <si>
    <t>SVEUČILIŠTE J. J. STROSSMAYERA U OSIJEKU - AKADEMIJA ZA UMJETNOST I KULTURU U OSIJEKU</t>
  </si>
  <si>
    <t>KRALJA PETRA SVAČIĆA 1/F</t>
  </si>
  <si>
    <t>60277424315</t>
  </si>
  <si>
    <t>SVEUČILIŠTE J. J. STROSSMAYERA U OSIJEKU - EKONOMSKI FAKULTET</t>
  </si>
  <si>
    <t>TRG LJUDEVITA GAJA 7</t>
  </si>
  <si>
    <t>52778515544</t>
  </si>
  <si>
    <t>A) SAŽETAK RAČUNA PRIHODA I RASHODA</t>
  </si>
  <si>
    <t>SVEUČILIŠTE J. J. STROSSMAYERA U OSIJEKU - FAKULTET AGROBIOTEHNIČKIH ZNANOSTI OSIJEK</t>
  </si>
  <si>
    <t>VLADIMIRA PRELOGA 1</t>
  </si>
  <si>
    <t>98816779821</t>
  </si>
  <si>
    <t>u EUR</t>
  </si>
  <si>
    <t>SVEUČILIŠTE J. J. STROSSMAYERA U OSIJEKU - FAKULTET ELEKTROTEHNIKE, RAČUNARSTVA I INFORMACIJSKIH TEHNOLOGIJA OSIJEK</t>
  </si>
  <si>
    <t>KNEZA TRPIMIRA 2 B</t>
  </si>
  <si>
    <t>95494259952</t>
  </si>
  <si>
    <t>Prijedlog plana 
za 2023.</t>
  </si>
  <si>
    <t>Projekcija plana 
za 2024.</t>
  </si>
  <si>
    <t>Projekcija plana 
za 2025.</t>
  </si>
  <si>
    <t>SVEUČILIŠTE J. J. STROSSMAYERA U OSIJEKU - FAKULTET ZA DENTALNU MEDICINU I ZDRAVSTVO</t>
  </si>
  <si>
    <t>CRKVENA 21</t>
  </si>
  <si>
    <t>83830458507</t>
  </si>
  <si>
    <t>PRIHODI UKUPNO</t>
  </si>
  <si>
    <t>SVEUČILIŠTE J. J. STROSSMAYERA U OSIJEKU - FAKULTET ZA ODGOJNE I OBRAZOVNE ZNANOSTI</t>
  </si>
  <si>
    <t>CARA HADRIJANA 10</t>
  </si>
  <si>
    <t>28082679513</t>
  </si>
  <si>
    <t>PRIHODI POSLOVANJA</t>
  </si>
  <si>
    <t>SVEUČILIŠTE J. J. STROSSMAYERA U OSIJEKU - FILOZOFSKI FAKULTET</t>
  </si>
  <si>
    <t>LORENZA JAGERA 9</t>
  </si>
  <si>
    <t>58868871646</t>
  </si>
  <si>
    <t>PRIHODI OD NEFINANCIJSKE IMOVINE</t>
  </si>
  <si>
    <t>SVEUČILIŠTE J. J. STROSSMAYERA U OSIJEKU - GRADSKA I SVEUČILIŠNA KNJIŽNICA</t>
  </si>
  <si>
    <t>EUROPSKA AVENIJA 24</t>
  </si>
  <si>
    <t>46627536930</t>
  </si>
  <si>
    <t>RASHODI UKUPNO</t>
  </si>
  <si>
    <t>SVEUČILIŠTE J. J. STROSSMAYERA U OSIJEKU - GRAĐEVINSKI I ARHITEKTONSKI FAKULTET OSIJEK</t>
  </si>
  <si>
    <t>ULICA VLADIMIRA PRELOGA 3</t>
  </si>
  <si>
    <t>04150850819</t>
  </si>
  <si>
    <t>RASHODI  POSLOVANJA</t>
  </si>
  <si>
    <t>SVEUČILIŠTE J. J. STROSSMAYERA U OSIJEKU - KATOLIČKI BOGOSLOVNI FAKULTET U ĐAKOVU</t>
  </si>
  <si>
    <t xml:space="preserve">PETRA PRERADOVIĆA 17 </t>
  </si>
  <si>
    <t>31400 ĐAKOVO</t>
  </si>
  <si>
    <t>05384220316</t>
  </si>
  <si>
    <t>RASHODI ZA NEFINANCIJSKU IMOVINU</t>
  </si>
  <si>
    <t>SVEUČILIŠTE J. J. STROSSMAYERA U OSIJEKU - KINEZIOLOŠKI FAKULTET OSIJEK</t>
  </si>
  <si>
    <t>DRINSKA 16/A</t>
  </si>
  <si>
    <t>70788591483</t>
  </si>
  <si>
    <t>RAZLIKA - VIŠAK / MANJAK</t>
  </si>
  <si>
    <t>SVEUČILIŠTE J. J. STROSSMAYERA U OSIJEKU - MEDICINSKI FAKULTET</t>
  </si>
  <si>
    <t>HUTTLEROVA 4</t>
  </si>
  <si>
    <t>16214165873</t>
  </si>
  <si>
    <t>SVEUČILIŠTE J. J. STROSSMAYERA U OSIJEKU - PRAVNI FAKULTET</t>
  </si>
  <si>
    <t>STJEPANA RADIĆA 13</t>
  </si>
  <si>
    <t>26416570803</t>
  </si>
  <si>
    <t>B) SAŽETAK RAČUNA FINANCIRANJA</t>
  </si>
  <si>
    <t>SVEUČILIŠTE J. J. STROSSMAYERA U OSIJEKU - PREHRAMBENO TEHNOLOŠKI FAKULTET</t>
  </si>
  <si>
    <t>FRANJE KUHAČA 18</t>
  </si>
  <si>
    <t>96371000697</t>
  </si>
  <si>
    <t>SVEUČILIŠTE J. J. STROSSMAYERA U OSIJEKU - FAKULTET TURIZMA I RURALNOG RAZVOJA U POŽEGI</t>
  </si>
  <si>
    <t>VUKOVARSKA 17</t>
  </si>
  <si>
    <t>11614501047</t>
  </si>
  <si>
    <t>SVEUČILIŠTE JURJA DOBRILE U PULI</t>
  </si>
  <si>
    <t>SVEUČILIŠTE U PULI</t>
  </si>
  <si>
    <t>ZAGREBAČKA 30</t>
  </si>
  <si>
    <t>52100 PULA</t>
  </si>
  <si>
    <t>61738073226</t>
  </si>
  <si>
    <t>PRIMICI OD FINANCIJSKE IMOVINE I ZADUŽIVANJA</t>
  </si>
  <si>
    <t>SVEUČILIŠTE SJEVER</t>
  </si>
  <si>
    <t>TRG DR. ŽARKA DOLINARA 1</t>
  </si>
  <si>
    <t>48000 KOPRIVNICA</t>
  </si>
  <si>
    <t>59624928052</t>
  </si>
  <si>
    <t>IZDACI ZA FINANCIJSKU IMOVINU I OTPLATE ZAJMOVA</t>
  </si>
  <si>
    <t>SVEUČILIŠTE U DUBROVNIKU</t>
  </si>
  <si>
    <t>BRANITELJA DUBROVNIKA 29</t>
  </si>
  <si>
    <t>20000 DUBROVNIK</t>
  </si>
  <si>
    <t>01338491514</t>
  </si>
  <si>
    <t>DONOS</t>
  </si>
  <si>
    <t>PRIJENOS SREDSTAVA IZ PRETHODNE GODINE</t>
  </si>
  <si>
    <t>SVEUČILIŠTE U RIJECI</t>
  </si>
  <si>
    <t>TRG BRAĆE MAŽURANIĆA 10</t>
  </si>
  <si>
    <t>51000 RIJEKA</t>
  </si>
  <si>
    <t>64218323816</t>
  </si>
  <si>
    <t>ODNOS</t>
  </si>
  <si>
    <t>PRIJENOS SREDSTAVA U SLJEDEĆU GODINU</t>
  </si>
  <si>
    <t>SVEUČILIŠTE U RIJECI - AKADEMIJA PRIMJENJENIH UMJETNOSTI</t>
  </si>
  <si>
    <t>SLAVKA KRAUTZEKA 83</t>
  </si>
  <si>
    <t>55704161999</t>
  </si>
  <si>
    <t>NETO FINANCIRANJE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</si>
  <si>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</si>
  <si>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</si>
  <si>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</si>
  <si>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</si>
  <si>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</si>
  <si>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</si>
  <si>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</si>
  <si>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VIŠAK / MANJAK + NETO FINANCIRANJE</t>
  </si>
  <si>
    <t>SVEUČILIŠTE U RIJECI - FAKULTET ZDRAVSTVENIH STUDIJA U RIJECI</t>
  </si>
  <si>
    <t>VIKTORA CARA EMINA 5</t>
  </si>
  <si>
    <t>04052510</t>
  </si>
  <si>
    <t>19213484918</t>
  </si>
  <si>
    <t>SVEUČILIŠTE U RIJECI - FILOZOFSKI FAKULTET</t>
  </si>
  <si>
    <t>SVEUČILIŠNA AVENIJA 4</t>
  </si>
  <si>
    <t>70505505759</t>
  </si>
  <si>
    <t>SVEUČILIŠTE U RIJECI - GRAĐEVINSKI FAKULTET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</si>
  <si>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</si>
  <si>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</si>
  <si>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</si>
  <si>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</si>
  <si>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</si>
  <si>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</si>
  <si>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</si>
  <si>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</si>
  <si>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</si>
  <si>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</si>
  <si>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</si>
  <si>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</si>
  <si>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</si>
  <si>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</si>
  <si>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</si>
  <si>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</si>
  <si>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</si>
  <si>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</si>
  <si>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</si>
  <si>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SLAVONSKOM BRODU</t>
  </si>
  <si>
    <t>TRG IVANE BRLIĆ MAŽURANIĆ 2</t>
  </si>
  <si>
    <t>35000 SLAVONSKI BROD</t>
  </si>
  <si>
    <t>33027834374</t>
  </si>
  <si>
    <t>SVEUČILIŠTE U SPLITU</t>
  </si>
  <si>
    <t>POLJIČKA CESTA 35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</si>
  <si>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</si>
  <si>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</si>
  <si>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</si>
  <si>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</si>
  <si>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</si>
  <si>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</si>
  <si>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</si>
  <si>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</si>
  <si>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FAKULTET GRAĐEVINARSTVA, ARHITEKTURE I GEODEZIJE</t>
  </si>
  <si>
    <t>MATICE HRVATSKE 15</t>
  </si>
  <si>
    <t>83615500218</t>
  </si>
  <si>
    <t>SVEUČILIŠTE U SPLITU - FILOZOFSKI FAKULTET</t>
  </si>
  <si>
    <t>98004523293</t>
  </si>
  <si>
    <t>SVEUČILIŠTE U SPLITU - KATOLIČKI BOGOSLOVNI FAKULTET</t>
  </si>
  <si>
    <t xml:space="preserve">ZRINSKOG FRANKOPANA 19 </t>
  </si>
  <si>
    <t>SVEUČILIŠTE U SPLITU - KEMIJSKO-TEHNOLOŠKI FAKULTET</t>
  </si>
  <si>
    <t>RUĐERA BOŠKOVIĆA 35</t>
  </si>
  <si>
    <t>99401575594</t>
  </si>
  <si>
    <t>SVEUČILIŠTE U SPLITU - KINEZIOLOŠKI FAKULTET</t>
  </si>
  <si>
    <t>NIKOLE TESLE 6</t>
  </si>
  <si>
    <t>57848936921</t>
  </si>
  <si>
    <t>SVEUČILIŠTE U SPLITU - MEDICINSKI FAKULTET</t>
  </si>
  <si>
    <t>ŠOLTANSKA 2</t>
  </si>
  <si>
    <t>02879747067</t>
  </si>
  <si>
    <t>SVEUČILIŠTE U SPLITU - POMORSKI FAKULTET</t>
  </si>
  <si>
    <t>RUĐERA BOŠKOVIĆA 37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</si>
  <si>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</si>
  <si>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</si>
  <si>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</si>
  <si>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</si>
  <si>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</si>
  <si>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RUĐERA BOŠKOVIĆA 33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</si>
  <si>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</si>
  <si>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</si>
  <si>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</si>
  <si>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</si>
  <si>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</si>
  <si>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</si>
  <si>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</si>
  <si>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ZADRU</t>
  </si>
  <si>
    <t>MIHOVILA PAVLINOVIĆA 1</t>
  </si>
  <si>
    <t>23000 ZADAR</t>
  </si>
  <si>
    <t>10839679016</t>
  </si>
  <si>
    <t>TRG REPUBLIKE HRVATSKE 14</t>
  </si>
  <si>
    <t>36612267447</t>
  </si>
  <si>
    <t>SVEUČILIŠTE U ZAGREBU - AGRONOMSKI FAKULTET</t>
  </si>
  <si>
    <t>SVETOŠIMUNSKA CESTA 25</t>
  </si>
  <si>
    <t>76023745044</t>
  </si>
  <si>
    <t>u HRK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</si>
  <si>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</si>
  <si>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</si>
  <si>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</si>
  <si>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</si>
  <si>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</si>
  <si>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</si>
  <si>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</si>
  <si>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</si>
  <si>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</si>
  <si>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</si>
  <si>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</si>
  <si>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</si>
  <si>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</si>
  <si>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 F. KENNEDEYA 6</t>
  </si>
  <si>
    <t>27208467122</t>
  </si>
  <si>
    <t>SVEUČILIŠTE U ZAGREBU - FAKULTET ELEKTROTEHNIKE I RAČUNARSTVA</t>
  </si>
  <si>
    <t>UNSKA 3</t>
  </si>
  <si>
    <t>57029260362</t>
  </si>
  <si>
    <t>SVEUČILIŠTE U ZAGREBU - FAKULTET FILOZOFIJE I RELIGIJSKIH ZNANOSTI</t>
  </si>
  <si>
    <t>JORDANOVAC 110</t>
  </si>
  <si>
    <t>26975482530</t>
  </si>
  <si>
    <t>SVEUČILIŠTE U ZAGREBU - FAKULTET HRVATSKIH STUDIJA</t>
  </si>
  <si>
    <t>BORONGAJSKA CESTA 83D</t>
  </si>
  <si>
    <t>99454315441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</si>
  <si>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</si>
  <si>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</si>
  <si>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</si>
  <si>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</si>
  <si>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</si>
  <si>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</si>
  <si>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</si>
  <si>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</si>
  <si>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</si>
  <si>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</si>
  <si>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</si>
  <si>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</si>
  <si>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</si>
  <si>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</si>
  <si>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</si>
  <si>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</si>
  <si>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</si>
  <si>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</si>
  <si>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</si>
  <si>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 KAČIĆA MIOŠIĆA 26</t>
  </si>
  <si>
    <t>43594593297</t>
  </si>
  <si>
    <t>SVEUČILIŠTE U ZAGREBU - GEOTEHNIČKI FAKULTET</t>
  </si>
  <si>
    <t>HALLEROVA ALEJA 7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</si>
  <si>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</si>
  <si>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</si>
  <si>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</si>
  <si>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</si>
  <si>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</si>
  <si>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</si>
  <si>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</si>
  <si>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 xml:space="preserve">SVEUČILIŠTE U ZAGREBU - KATOLIČKI BOGOSLOVNI FAKULTET </t>
  </si>
  <si>
    <t xml:space="preserve">VLAŠKA 38 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</si>
  <si>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</si>
  <si>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</si>
  <si>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</si>
  <si>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</si>
  <si>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</si>
  <si>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</si>
  <si>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</si>
  <si>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</si>
  <si>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44000 SISAK</t>
  </si>
  <si>
    <t>48006703414</t>
  </si>
  <si>
    <t>SVEUČILIŠTE U ZAGREBU - MUZIČKA AKADEMIJA</t>
  </si>
  <si>
    <t>TRG REPUBLIKE HRVATSKE 12</t>
  </si>
  <si>
    <t>18422925218</t>
  </si>
  <si>
    <t>SVEUČILIŠTE U ZAGREBU - PRAVNI FAKULTET</t>
  </si>
  <si>
    <t>38583303160</t>
  </si>
  <si>
    <t>SVEUČILIŠTE U ZAGREBU - PREHRAMBENO BIOTEHNOLOŠKI FAKULTET</t>
  </si>
  <si>
    <t>PIEROTTIJEVA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</si>
  <si>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</si>
  <si>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</si>
  <si>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</si>
  <si>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</si>
  <si>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</si>
  <si>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99534693762</t>
  </si>
  <si>
    <t>SVEUČILIŠTE U ZAGREBU - STOMATOLOŠKI FAKULTET</t>
  </si>
  <si>
    <t>GUNDULIĆEVA 5</t>
  </si>
  <si>
    <t>70221464726</t>
  </si>
  <si>
    <t>SVEUČILIŠTE U ZAGREBU - FAKULTET ŠUMARSTVA I DRVNE TEHNOLOGIJE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</si>
  <si>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</si>
  <si>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</si>
  <si>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</si>
  <si>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</si>
  <si>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</si>
  <si>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</si>
  <si>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</si>
  <si>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</si>
  <si>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</si>
  <si>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</si>
  <si>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TEHNIČKO VELEUČILIŠTE U ZAGREBU</t>
  </si>
  <si>
    <t>VRBIK 8</t>
  </si>
  <si>
    <t>08814003451</t>
  </si>
  <si>
    <t>VELEUČILIŠTE HRVATSKO ZAGORJE KRAPINA</t>
  </si>
  <si>
    <t>ŠETALIŠTE HRVATSKOG NARODNOG PREPORODA 6</t>
  </si>
  <si>
    <t>49000 KRAPINA</t>
  </si>
  <si>
    <t>16465214888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</si>
  <si>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</si>
  <si>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</si>
  <si>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</si>
  <si>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</si>
  <si>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</si>
  <si>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</si>
  <si>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</si>
  <si>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</si>
  <si>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</si>
  <si>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</si>
  <si>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</si>
  <si>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</si>
  <si>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</si>
  <si>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</si>
  <si>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</si>
  <si>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</si>
  <si>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</si>
  <si>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</si>
  <si>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</si>
  <si>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</si>
  <si>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</si>
  <si>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</si>
  <si>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</si>
  <si>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VELEUČILIŠTE U VIROVITICI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</si>
  <si>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</si>
  <si>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</si>
  <si>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</si>
  <si>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</si>
  <si>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</si>
  <si>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</si>
  <si>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</si>
  <si>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</si>
  <si>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</si>
  <si>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</si>
  <si>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EKONOMSKI INSTITUT ZAGREB</t>
  </si>
  <si>
    <t>TRG JOHNA KENNEDYA 7</t>
  </si>
  <si>
    <t>70925432731</t>
  </si>
  <si>
    <t>Javni instituti</t>
  </si>
  <si>
    <t>08008</t>
  </si>
  <si>
    <t xml:space="preserve">HRVATSKI GEOLOŠKI INSTITUT </t>
  </si>
  <si>
    <t>SACHSOVA 2</t>
  </si>
  <si>
    <t>43733878539</t>
  </si>
  <si>
    <t>HRVATSKI INSTITUT ZA POVIJEST</t>
  </si>
  <si>
    <t>OPATIČKA 10</t>
  </si>
  <si>
    <t>23296176633</t>
  </si>
  <si>
    <t>HRVATSKI ŠUMARSKI INSTITUT</t>
  </si>
  <si>
    <t>CVJETNO NASELJE 41</t>
  </si>
  <si>
    <t>10450 JASTREBARSKO</t>
  </si>
  <si>
    <t>13579392023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</si>
  <si>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</si>
  <si>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</si>
  <si>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</si>
  <si>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</si>
  <si>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</si>
  <si>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</si>
  <si>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</si>
  <si>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</si>
  <si>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</si>
  <si>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</si>
  <si>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</si>
  <si>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</si>
  <si>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</si>
  <si>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</si>
  <si>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</si>
  <si>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</si>
  <si>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</si>
  <si>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</si>
  <si>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</si>
  <si>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</si>
  <si>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</si>
  <si>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 GRADA VUKOVARA 54</t>
  </si>
  <si>
    <t>43667021597</t>
  </si>
  <si>
    <t>INSTITUT ZA FIZIKU</t>
  </si>
  <si>
    <t>77627408491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</si>
  <si>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</si>
  <si>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</si>
  <si>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</si>
  <si>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</si>
  <si>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</si>
  <si>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</si>
  <si>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</si>
  <si>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</si>
  <si>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</si>
  <si>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</si>
  <si>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</si>
  <si>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</si>
  <si>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MIGRACIJE I NARODNOSTI</t>
  </si>
  <si>
    <t>TRG STJEPANA RADIĆA 3</t>
  </si>
  <si>
    <t>80265403319</t>
  </si>
  <si>
    <t>INSTITUT ZA OCEANOGRAFIJU I RIBARSTVO</t>
  </si>
  <si>
    <t>ŠETALIŠTE I. 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</si>
  <si>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</si>
  <si>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</si>
  <si>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</si>
  <si>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</si>
  <si>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</si>
  <si>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</si>
  <si>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</si>
  <si>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</si>
  <si>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RAZVOJ I MEĐUNARODNE ODNOSE</t>
  </si>
  <si>
    <t>LJ. F. VUKOTINOVIĆA 2</t>
  </si>
  <si>
    <t>31120185175</t>
  </si>
  <si>
    <t>INSTITUT ZA TURIZAM</t>
  </si>
  <si>
    <t>VRHOVEC 5</t>
  </si>
  <si>
    <t>10264179101</t>
  </si>
  <si>
    <t>POLJOPRIVREDNI INSTITUT OSIJEK</t>
  </si>
  <si>
    <t>JUŽNO PREDGRAĐE 17</t>
  </si>
  <si>
    <t>03665720049</t>
  </si>
  <si>
    <t>STAROSLAVENSKI INSTITUT</t>
  </si>
  <si>
    <t>DEMETROVA 11</t>
  </si>
  <si>
    <t>15291942541</t>
  </si>
  <si>
    <t>DRŽAVNI ZAVOD ZA INTELEKTUALNO VLASNIŠTVO</t>
  </si>
  <si>
    <t>ULICA GRADA VUKOVARA 78</t>
  </si>
  <si>
    <t>89755384389</t>
  </si>
  <si>
    <t>DZIV</t>
  </si>
  <si>
    <t>08012</t>
  </si>
  <si>
    <t>AGENCIJA ZA MOBILNOST I PROGRAME EUROPSKE UNIJE</t>
  </si>
  <si>
    <t>FRANKOPANSKA 26</t>
  </si>
  <si>
    <t>25385906011</t>
  </si>
  <si>
    <t>Agencije</t>
  </si>
  <si>
    <t>08091</t>
  </si>
  <si>
    <t>AGENCIJA ZA ODGOJ I OBRAZOVANJE</t>
  </si>
  <si>
    <t>72193628411</t>
  </si>
  <si>
    <t>AGENCIJA ZA STRUKOVNO OBRAZOVANJE I OBRAZOVANJE ODRASLIH</t>
  </si>
  <si>
    <t>GARIĆGRADSKA ULICA 18</t>
  </si>
  <si>
    <t>40719411729</t>
  </si>
  <si>
    <t>AGENCIJA ZA ZNANOST I VISOKO OBRAZOVANJE</t>
  </si>
  <si>
    <t>DONJE SVETICE 38/5</t>
  </si>
  <si>
    <t>83358955356</t>
  </si>
  <si>
    <t>HRVATSKA AKADEMSKA I ISTRAŽIVAČKA MREŽA - CARNET</t>
  </si>
  <si>
    <t>JOSIPA MAROHNIĆA 5</t>
  </si>
  <si>
    <t>58101996540</t>
  </si>
  <si>
    <t>HRVATSKA ZAKLADA ZA ZNANOST</t>
  </si>
  <si>
    <t>ILICA 24</t>
  </si>
  <si>
    <t>08092</t>
  </si>
  <si>
    <t>LEKSIKOGRAFSKI ZAVOD MIROSLAV KRLEŽA</t>
  </si>
  <si>
    <t>49894241709</t>
  </si>
  <si>
    <t>NACIONALNA I SVEUČILIŠNA KNJIŽNICA U ZAGREBU</t>
  </si>
  <si>
    <t>HRVATSKE BRATSKE ZAJEDNICE 4</t>
  </si>
  <si>
    <t>84838770814</t>
  </si>
  <si>
    <t>NACIONALNI CENTAR ZA VANJSKO VREDNOVANJE OBRAZOVANJA</t>
  </si>
  <si>
    <t>ULICA D. TOMLJANOVIĆA GAVRANA 11</t>
  </si>
  <si>
    <t>10020 ZAGREB</t>
  </si>
  <si>
    <t>94833993984</t>
  </si>
  <si>
    <t>SVEUČILIŠTE U ZAGREBU - SVEUČILIŠNI RAČUNSKI CENTAR - SRCE</t>
  </si>
  <si>
    <t>34016189309</t>
  </si>
  <si>
    <t>Plan za unos u SAP - prihodi i primici</t>
  </si>
  <si>
    <t>GLAVA</t>
  </si>
  <si>
    <t>OPIS GLAVE</t>
  </si>
  <si>
    <t>IZVOR</t>
  </si>
  <si>
    <t>OPIS IZVORA</t>
  </si>
  <si>
    <t>Stavka
(odaberite)</t>
  </si>
  <si>
    <t>OPIS STAVKE</t>
  </si>
  <si>
    <t>Prijedlog plana
za 2023.</t>
  </si>
  <si>
    <t>Davatelj prijenosa</t>
  </si>
  <si>
    <t>left3</t>
  </si>
  <si>
    <t>left2</t>
  </si>
  <si>
    <t>671 - izvor 11</t>
  </si>
  <si>
    <t>glava za visoko 6</t>
  </si>
  <si>
    <t>671 - izvor 12</t>
  </si>
  <si>
    <t>Konto</t>
  </si>
  <si>
    <t>opis konta</t>
  </si>
  <si>
    <t>izvor</t>
  </si>
  <si>
    <t>3 konto</t>
  </si>
  <si>
    <t>2 konto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</si>
  <si>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</si>
  <si>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</si>
  <si>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</si>
  <si>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</si>
  <si>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Naknada za priređivanje lutrijskih igara, izvor 41</t>
  </si>
  <si>
    <t>Prihodi od igara na sreću</t>
  </si>
  <si>
    <t>Naknade za priređivanje igara na sreću u casinima, izvor 41</t>
  </si>
  <si>
    <t>HRVATSKA ZAKLADA ZA ZNANOST (52209)</t>
  </si>
  <si>
    <t>Ostali prihodi za posebne namjene</t>
  </si>
  <si>
    <t>Naknade za priređivanje klađenja, izvor 41</t>
  </si>
  <si>
    <t>Pomoći EU</t>
  </si>
  <si>
    <t>Naknade za priređivanje igara na sreću na automatima, izvor 41</t>
  </si>
  <si>
    <t>Ostale pomoći</t>
  </si>
  <si>
    <t>Tekuće pomoći od inozemnih vlada u EU</t>
  </si>
  <si>
    <t xml:space="preserve">Ostale pomoći i darovnice </t>
  </si>
  <si>
    <t>SVEUČILIŠTE U SPLITU (2469)</t>
  </si>
  <si>
    <t>Švicarski instrument</t>
  </si>
  <si>
    <t>Tekuće pomoći od inozemnih vlada izvan EU</t>
  </si>
  <si>
    <t>SVEUČILIŠTE U ZAGREBU - SVEUČILIŠNI RAČUNSKI CENTAR - SRCE (23665)</t>
  </si>
  <si>
    <t>Ostale refundacije iz pomoći EU</t>
  </si>
  <si>
    <t>Kapitalne pomoći od inozemnih vlada u EU</t>
  </si>
  <si>
    <t>SVEUČILIŠTE J. J. STROSSMAYERA U OSIJEKU (2452)</t>
  </si>
  <si>
    <t>Europski socijalni fond (ESF)</t>
  </si>
  <si>
    <t>Kapitalne pomoći od inozemnih vlada izvan EU</t>
  </si>
  <si>
    <t>SVEUČILIŠTE U DUBROVNIKU (24141)</t>
  </si>
  <si>
    <t>Europski fond za regionalni razvoj (ERDF)</t>
  </si>
  <si>
    <t>Tekuće pomoći od međunarodnih organizacija</t>
  </si>
  <si>
    <t>SVEUČILIŠTE U RIJECI - TEHNIČKI FAKULTET (2151)</t>
  </si>
  <si>
    <t>Instrumenti Europskog gospodarskog prostora i ostali instrumenti</t>
  </si>
  <si>
    <t xml:space="preserve">Kapitalne pomoći od međunarodnih organizacija </t>
  </si>
  <si>
    <t>SVEUČILIŠTE U ZAGREBU - GEOTEHNIČKI FAKULTET (2102)</t>
  </si>
  <si>
    <t>Fondovi za unutarnje poslove</t>
  </si>
  <si>
    <t>Tekuće pomoći od institucija i tijela EU Švicarski instrument</t>
  </si>
  <si>
    <t>Fond solidarnosti Europske unije – potres</t>
  </si>
  <si>
    <t>Tekuće pomoći od institucija i tijela EU – ostale refundacije</t>
  </si>
  <si>
    <t>Mehanizam za oporavak i otpornost</t>
  </si>
  <si>
    <t>Europski fond za regionalni razvoj (EFRR)</t>
  </si>
  <si>
    <t>Donacije</t>
  </si>
  <si>
    <t>Tekuće pomoći od institucija i tijela EU – Instrumenti europskog gospodarskog prostora</t>
  </si>
  <si>
    <t>Inozemne donacije</t>
  </si>
  <si>
    <t>Tek.pom.od instit. tijela EU - fondovi za unutarnje poslove</t>
  </si>
  <si>
    <t>Prihodi od nefin. imovine i nadoknade štete s osnova osig.</t>
  </si>
  <si>
    <t>Tekuće pomoći od institucija i tijela EU - Fond solidarnosti EU - potres ožujak 2020.</t>
  </si>
  <si>
    <t>Fond solidarnosti EU</t>
  </si>
  <si>
    <t>Namjenski primici od zaduživanja</t>
  </si>
  <si>
    <t>Tekuće pomoći od institucija i tijela EU - Fond solidarnosti EU - potres prosinac 2020.</t>
  </si>
  <si>
    <t>Tek.pom.od instit. tijela EU - Mehanizam za oporavak i otpornost</t>
  </si>
  <si>
    <t>Tekuće pomoći od institucija i tijela EU - ostalo</t>
  </si>
  <si>
    <t xml:space="preserve">Pomoći EU </t>
  </si>
  <si>
    <t>Tekuće pomoći od institucija i tijela EU - refundacije putnih troškova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</si>
  <si>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</si>
  <si>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</si>
  <si>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</si>
  <si>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</si>
  <si>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Kapitalne pomoći od institucija i tijela EU - Fond solidarnosti EU - potres ožujak 2020.</t>
  </si>
  <si>
    <t>Kapitalne pomoći od institucija i tijela EU - Fond solidarnosti EU - potres prosinac 2020.</t>
  </si>
  <si>
    <t>Kapitalne pom.od instit. tijela EU - Mehanizam za oporavak i otpornost</t>
  </si>
  <si>
    <t>Kapitalne pomoći od institucija i tijela EU - ostalo</t>
  </si>
  <si>
    <t xml:space="preserve">Tekuće pomoći od izvanproračunskih korisnika </t>
  </si>
  <si>
    <t>Kapitalne pomoći od izvanproračunskih korisnika</t>
  </si>
  <si>
    <t>Tekuće pomoći proračunskim korisnicima iz proračuna JLP(R)S koji im nije nadležan</t>
  </si>
  <si>
    <t>Kapitalne pomoći proračunskim korisnicima iz proračuna JLP(R)S koji im nije nadležan</t>
  </si>
  <si>
    <t>Tekuće pomoći temeljem prijenosa EU sredstava iz proračuna JLP(R)S, korisnika JLPRS ili izvanproračunskog korisnika</t>
  </si>
  <si>
    <t>Kapitalne pomoći temeljem prijenosa EU sredstava iz proračuna JLP(R)S, korisnika JLPRS ili izvanproračunskog korisnika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</si>
  <si>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</si>
  <si>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</si>
  <si>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</si>
  <si>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</si>
  <si>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Kamate za ostale vrijednosne papire izvor 31</t>
  </si>
  <si>
    <t>Kamate na oročena sredstva izvor 31</t>
  </si>
  <si>
    <t>Kamate na depozite po viđenju izvor 31</t>
  </si>
  <si>
    <t>Kamate na depozite po viđenju izvor 43</t>
  </si>
  <si>
    <t>Prihodi od pozitivnih tečajnih razlika izvor 31</t>
  </si>
  <si>
    <t>Prihodi od pozitivnih tečajnih razlika izvor 43</t>
  </si>
  <si>
    <t>Prihod od dividendi na dionice u kreditnim i ostalim financijskim institucijama izvan javnog sektora izvor 31</t>
  </si>
  <si>
    <t>Prihodi iz dobiti trgovačkih društava u javnom sektoru izvor 43</t>
  </si>
  <si>
    <t>Prihodi iz dobiti Hrvatske lutrije, izvor 41</t>
  </si>
  <si>
    <t>Ostali prihodi od financijske imovine izvor 43</t>
  </si>
  <si>
    <t>Prihodi od prodaje kratkotrajne nefinancijske imovine izvor 31</t>
  </si>
  <si>
    <t>Ostali prihodi od nefinancijske imovine izvor 31</t>
  </si>
  <si>
    <t>Ostale naknade i pristojbe za posebne namjene</t>
  </si>
  <si>
    <t xml:space="preserve">Ostali prihodi državne uprave za posebne namjene </t>
  </si>
  <si>
    <t>Sufinanciranje cijene usluge, participacije i slično</t>
  </si>
  <si>
    <t>Prihodi s naslova osiguranja, refundacije štete i totalne štete izvor 43</t>
  </si>
  <si>
    <t>Prihodi s naslova osiguranja, refundacije štete i totalne štete izvor 71</t>
  </si>
  <si>
    <t xml:space="preserve">Ostali prihodi za posebne namjene </t>
  </si>
  <si>
    <t>Prihodi od prodanih proizvoda i robe</t>
  </si>
  <si>
    <t>Prihodi od pruženih usluga</t>
  </si>
  <si>
    <t>Tekuće donacije od fizičkih osoba</t>
  </si>
  <si>
    <t xml:space="preserve">Donacije </t>
  </si>
  <si>
    <t>Tekuće donacije od neprofitnih organizacija</t>
  </si>
  <si>
    <t>Tekuće donacije od trgovačkih društava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</si>
  <si>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</si>
  <si>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</si>
  <si>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</si>
  <si>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</si>
  <si>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</si>
  <si>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Ostale nespomenute kazne izvor 43</t>
  </si>
  <si>
    <t>Ostali prihodi izvor 31</t>
  </si>
  <si>
    <t>Ostali prihodi izvor 43</t>
  </si>
  <si>
    <t>Poljoprivredno zemljište izvor 71</t>
  </si>
  <si>
    <t>Prihodi od prodaje ili zamjene nefinancijske imovine i naknade s naslova osiguranja</t>
  </si>
  <si>
    <t>Građevinsko zemljište izvor 71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</si>
  <si>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</si>
  <si>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</si>
  <si>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</si>
  <si>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</si>
  <si>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</si>
  <si>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</si>
  <si>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</si>
  <si>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Uredski namještaj izvor 71</t>
  </si>
  <si>
    <t>Ostala uredska oprema izvor 71</t>
  </si>
  <si>
    <t>Glazbeni instrumenti i oprema izvor 71</t>
  </si>
  <si>
    <t>Strojevi - izvor 71</t>
  </si>
  <si>
    <t>Oprema izvor 71</t>
  </si>
  <si>
    <t>Osobni automobili izvor 71</t>
  </si>
  <si>
    <t>Kombi vozila izvor 71</t>
  </si>
  <si>
    <t>Kamioni izvor 71</t>
  </si>
  <si>
    <t>Traktori izvor 71</t>
  </si>
  <si>
    <t>Terenska vozila (protupožarna, vojna i slično) izvor 71</t>
  </si>
  <si>
    <t>Ostala prijevozna sr. u cest.prometu - izvor 71</t>
  </si>
  <si>
    <t>Plovila izvor 71</t>
  </si>
  <si>
    <t>Osnovno stado izvor 71</t>
  </si>
  <si>
    <t>Primici od povr.depozita od tuz.kred.inst.-krat.43</t>
  </si>
  <si>
    <t>Primici od povrata depozita od tuzemnih kreditnih i ostalih institucija - dugoročni - namjenski</t>
  </si>
  <si>
    <t>Dionice i udjeli u glavnici trgovačkih društava u javnom sektoru - izvor 43</t>
  </si>
  <si>
    <t>Dionice i udjeli u glavnici tuzemnih kreditnih institucija izvan javnog sektora - izvor 43</t>
  </si>
  <si>
    <t>Primljeni zajmovi od međunarodnih organizacija - dugoročni</t>
  </si>
  <si>
    <t xml:space="preserve">Namjenski primici od zaduživanja </t>
  </si>
  <si>
    <t>Proj.održivog, prav. i učink.obrazov. IBRD 93030</t>
  </si>
  <si>
    <t>Primljeni krediti od kreditnih institucija u javnom sektoru - dugoročni - namjenski</t>
  </si>
  <si>
    <t>Plan za unos u SAP - rashodi i izdaci</t>
  </si>
  <si>
    <t>IZVOR
(odaberite)</t>
  </si>
  <si>
    <t>AKTIVNOST
(odaberite)</t>
  </si>
  <si>
    <t>OPIS AKTIVNOSTI</t>
  </si>
  <si>
    <t>FP</t>
  </si>
  <si>
    <t>Primatelj prijenosa</t>
  </si>
  <si>
    <t>leftIzvor</t>
  </si>
  <si>
    <t>A622000</t>
  </si>
  <si>
    <t>Plaće za redovan rad</t>
  </si>
  <si>
    <t>AKTIVNOST</t>
  </si>
  <si>
    <t>Plaće u naravi</t>
  </si>
  <si>
    <t>NOVA AKT</t>
  </si>
  <si>
    <t>A622002</t>
  </si>
  <si>
    <t>Plaće za prekovremeni rad</t>
  </si>
  <si>
    <t>A557041</t>
  </si>
  <si>
    <t>PREUZIMANJE OBVEZA ZA PROJEKTE JAVNO PRIVATNOG PARTNERSTVA U VARAŽDINSKOJ I KOPRIVNIČKO-KRIŽEVAČKOJ ŽUPANIJI</t>
  </si>
  <si>
    <t>0912</t>
  </si>
  <si>
    <t>Osnovno obrazovanje</t>
  </si>
  <si>
    <t>09</t>
  </si>
  <si>
    <t>091</t>
  </si>
  <si>
    <t>Plaće za posebne uvjete rada</t>
  </si>
  <si>
    <t>A557042</t>
  </si>
  <si>
    <t>PROGRAM DOKTORANADA I POSLIJEDOKTORANADA HRVATSKE ZAKLADE ZA ZNANOST</t>
  </si>
  <si>
    <t>0150</t>
  </si>
  <si>
    <t>Istraživanje i razvoj: Opće javne usluge</t>
  </si>
  <si>
    <t>01</t>
  </si>
  <si>
    <t>015</t>
  </si>
  <si>
    <t>Ostali rashodi za zaposlene</t>
  </si>
  <si>
    <t>A557043</t>
  </si>
  <si>
    <t>NACIONALNO VIJEĆE ZA ODGOJ I OBRAZOVANJE</t>
  </si>
  <si>
    <t>0970</t>
  </si>
  <si>
    <t>Istraživanje i razvoj obrazovanja</t>
  </si>
  <si>
    <t>097</t>
  </si>
  <si>
    <t>Doprinosi za obvezno zdravstveno osiguranje</t>
  </si>
  <si>
    <t>A577000</t>
  </si>
  <si>
    <t>ADMINISTRACIJA I UPRAVLJANJE</t>
  </si>
  <si>
    <t>A622137</t>
  </si>
  <si>
    <t>Službena putovanja</t>
  </si>
  <si>
    <t>0980</t>
  </si>
  <si>
    <t>Usluge obrazovanja koje nisu drugdje svrstane</t>
  </si>
  <si>
    <t>098</t>
  </si>
  <si>
    <t>Naknade za prijevoz, za rad na terenu i odvojeni život</t>
  </si>
  <si>
    <t>A577004</t>
  </si>
  <si>
    <t>PROVEDBA KURIKULARNE REFORME</t>
  </si>
  <si>
    <t>Stručno usavršavanje zaposlenika</t>
  </si>
  <si>
    <t>A577012</t>
  </si>
  <si>
    <t>OBRAZOVANJE DJECE HRVATSKIH GRAĐANA U INOZEMSTVU</t>
  </si>
  <si>
    <t>Ostale naknade troškova zaposlenima</t>
  </si>
  <si>
    <t>A577015</t>
  </si>
  <si>
    <t>DRŽAVNE NAGRADE ZA IZUZETNE REZULTATE U OBRAZOVANJU I TEHNIČKOJ KULTURI</t>
  </si>
  <si>
    <t>0942</t>
  </si>
  <si>
    <t>Drugi stupanj visoke naobrazbe</t>
  </si>
  <si>
    <t>094</t>
  </si>
  <si>
    <t>Uredski materijal i ostali materijalni rashodi</t>
  </si>
  <si>
    <t>A577016</t>
  </si>
  <si>
    <t>PREVENCIJA NASILJA I OVISNOSTI</t>
  </si>
  <si>
    <t>Materijal i sirovine</t>
  </si>
  <si>
    <t>A577028</t>
  </si>
  <si>
    <t>POTICAJI HRVATSKOJ ZAJEDNICI TEHNIČKE KULTURE</t>
  </si>
  <si>
    <t>0820</t>
  </si>
  <si>
    <t>Službe kulture</t>
  </si>
  <si>
    <t>08</t>
  </si>
  <si>
    <t>082</t>
  </si>
  <si>
    <t>Energija</t>
  </si>
  <si>
    <t>A577124</t>
  </si>
  <si>
    <t>HRVATSKA NASTAVA U INOZEMSTVU</t>
  </si>
  <si>
    <t>Materijal i dijelovi za tekuće i investicijsko održavanje</t>
  </si>
  <si>
    <t>A577130</t>
  </si>
  <si>
    <t>POTICAJI UDRUGAMA ZA IZVANINSTITUCIONALNI ODGOJ I OBRAZOVANJE DJECE I MLADIH</t>
  </si>
  <si>
    <t>Sitni inventar i auto gume</t>
  </si>
  <si>
    <t>A577131</t>
  </si>
  <si>
    <t>POTICAJI OBRAZOVANJA NACIONALNIH MANJINA</t>
  </si>
  <si>
    <t>Vojna sredstva za jednokratnu upotrebu</t>
  </si>
  <si>
    <t>A577132</t>
  </si>
  <si>
    <t>POTICANJE MEĐUNARODNE OBRAZOVNE SURADNJE ŠKOLA</t>
  </si>
  <si>
    <t>Službena, radna i zaštitna odjeća i obuća</t>
  </si>
  <si>
    <t>A577133</t>
  </si>
  <si>
    <t>POTICANJE PROGRAMA RADA S DAROVITIM UČENICIMA I STUDENTIMA</t>
  </si>
  <si>
    <t>Usluge telefona, pošte i prijevoza</t>
  </si>
  <si>
    <t>A577137</t>
  </si>
  <si>
    <t>POSEBNI PROGRAMI OBRAZOVANJA ZA PROVOĐENJE PROGRAMA NACIONALNIH MANJINA</t>
  </si>
  <si>
    <t>Usluge tekućeg i investicijskog održavanja</t>
  </si>
  <si>
    <t>A577143</t>
  </si>
  <si>
    <t>RAZVOJ I ODRŽAVANJE INFORMACIJSKE INFRASTRUKTURE MINISTARSTVA</t>
  </si>
  <si>
    <t>Usluge promidžbe i informiranja</t>
  </si>
  <si>
    <t>A578003</t>
  </si>
  <si>
    <t>ODGOJ I NAOBRAZBA DJECE PRIPADNIKA NACIONALNIH MANJINA</t>
  </si>
  <si>
    <t>0911</t>
  </si>
  <si>
    <t>Predškolsko obrazovanje</t>
  </si>
  <si>
    <t>Komunalne usluge</t>
  </si>
  <si>
    <t>A578004</t>
  </si>
  <si>
    <t>PREDŠKOLSKI ODGOJ I OBRAZOVANJE DJECE S TEŠKOĆAMA U RAZVOJU (SUFINANCIRANJE)</t>
  </si>
  <si>
    <t>Zakupnine i najamnine</t>
  </si>
  <si>
    <t>A578008</t>
  </si>
  <si>
    <t>ODGOJ I NAOBRAZBA DJECE U PROGRAMIMA PREDŠKOLE</t>
  </si>
  <si>
    <t>Zdravstvene i veterinarske usluge</t>
  </si>
  <si>
    <t>A578009</t>
  </si>
  <si>
    <t>ODGOJ I OBRAZOVANJE DAROVITE DJECE PREDŠKOLSKE DOBI U DJEČJIM VRTIĆIMA</t>
  </si>
  <si>
    <t>Intelektualne i osobne usluge</t>
  </si>
  <si>
    <t>A578041</t>
  </si>
  <si>
    <t>POMOĆNICI U NASTAVI ZA DJECU S TEŠKOĆAMA U RAZVOJU</t>
  </si>
  <si>
    <t>Računalne usluge</t>
  </si>
  <si>
    <t>A578042</t>
  </si>
  <si>
    <t>OSIGURANJE UČENIKA I STUDENATA NA PRAKTIČNOJ NASTAVI I STRUČNOJ PRAKSI</t>
  </si>
  <si>
    <t>Ostale usluge</t>
  </si>
  <si>
    <t>A578045</t>
  </si>
  <si>
    <t>SUFINANCIRANJE NASTAVNIH MATERIJALA I OPREME ZA UČENIKE OSNOVNIH I SREDNJIH ŠKOLA</t>
  </si>
  <si>
    <t>Naknade troškova osobama izvan radnog odnosa</t>
  </si>
  <si>
    <t>A578050</t>
  </si>
  <si>
    <t>POTPORA INOVACIJSKIM PROCESIMA</t>
  </si>
  <si>
    <t>Naknade za rad predstavničkih i izvršnih tijela, povjerensta</t>
  </si>
  <si>
    <t>A578055</t>
  </si>
  <si>
    <t>HRVATSKO-ŠVICARSKI ISTRAŽIVAČKI PROGRAM</t>
  </si>
  <si>
    <t>Premije osiguranja</t>
  </si>
  <si>
    <t>A578059</t>
  </si>
  <si>
    <t>EUROPSKA MREŽA ŠKOLA - EUROPEAN SCHOOLNET</t>
  </si>
  <si>
    <t>Reprezentacija</t>
  </si>
  <si>
    <t>A578061</t>
  </si>
  <si>
    <t>OBZOR 2020. - PROGRAM POTICANJA ISTRAŽIVANJA I RAZVOJA U PERSONALIZIRANOJ MEDICINI – ERA PERMED</t>
  </si>
  <si>
    <t xml:space="preserve">  Reprezentacija</t>
  </si>
  <si>
    <t>A578062</t>
  </si>
  <si>
    <t>ERASMUS+ SOCIJALNA I MEĐUNARODNA DIMENZIJA OBRAZOVANJA I PRIZNAVANJA PRETHODNOG UČENJA - SIDERAL</t>
  </si>
  <si>
    <t>Članarine i norme</t>
  </si>
  <si>
    <t>A578065</t>
  </si>
  <si>
    <t>ERASMUS+ PROJEKT BAQUAL - BOLJE AKADEMSKE KVALIFIKACIJE KROZ OSIGURAVANJE KVALITETE</t>
  </si>
  <si>
    <t>Pristojbe i naknade</t>
  </si>
  <si>
    <t>A578066</t>
  </si>
  <si>
    <t>ERASMUS PLUS - PROJEKT PROFFORMANCE - RAZVOJ SUSTAVA OCJENJIVANJA RADA I NAGRAĐIVANJA PROFESORA NA VISOKIM UČILIŠTIMA</t>
  </si>
  <si>
    <t>Troškovi sudskih postupaka</t>
  </si>
  <si>
    <t>A579000</t>
  </si>
  <si>
    <t>OSNOVNOŠKOLSKO OBRAZOVANJE</t>
  </si>
  <si>
    <t>0180</t>
  </si>
  <si>
    <t>Prijenosi općeg karaktera između različitih državnih razina</t>
  </si>
  <si>
    <t>018</t>
  </si>
  <si>
    <t>Ostali nespomenuti rashodi poslovanja</t>
  </si>
  <si>
    <t>Kamate za izdane trezorske zapise</t>
  </si>
  <si>
    <t>A579003</t>
  </si>
  <si>
    <t>ODGOJ I NAOBRAZBA UČENIKA S TEŠKOĆAMA U RAZVOJU U OSNOVNIM ŠKOLAMA</t>
  </si>
  <si>
    <t>Kamate za primljene kredite i zajmove od kreditnih i ostalih</t>
  </si>
  <si>
    <t>A579004</t>
  </si>
  <si>
    <t>POTICANJE IZVANNASTAVNIH AKTIVNOSTI U OŠ</t>
  </si>
  <si>
    <t>A579007</t>
  </si>
  <si>
    <t>PRAVOMOĆNE SUDSKE PRESUDE</t>
  </si>
  <si>
    <t>Kamate za primljene zajmove od trgovačkih društava i obrtnik</t>
  </si>
  <si>
    <t>A622120</t>
  </si>
  <si>
    <t>Bankarske usluge i usluge platnog prometa</t>
  </si>
  <si>
    <t>A579069</t>
  </si>
  <si>
    <t>RAZVOJ PREDŠKOLSKOG I OSNOVNOŠKOLSKOG SUSTAVA ODGOJA I OBRAZOVANJA</t>
  </si>
  <si>
    <t>Negativne tečajne razlike i razlike zbog primjene valutne kl</t>
  </si>
  <si>
    <t>A580000</t>
  </si>
  <si>
    <t>SREDNJOŠKOLSKO OBRAZOVANJE</t>
  </si>
  <si>
    <t>Zatezne kamate</t>
  </si>
  <si>
    <t>0922</t>
  </si>
  <si>
    <t>Više srednjoškolsko obrazovanje</t>
  </si>
  <si>
    <t>092</t>
  </si>
  <si>
    <t>Ostali nespomenuti financijski rashodi</t>
  </si>
  <si>
    <t>A580003</t>
  </si>
  <si>
    <t>POTICANJE IZVANNASTAVNIH AKTIVNOSTI U SREDNJIM ŠKOLAMA I VISOKOŠKOLSKOM OBRAZOVANJU</t>
  </si>
  <si>
    <t>Subvencije kreditnim i ostalim financijskim institucijama u</t>
  </si>
  <si>
    <t>A580004</t>
  </si>
  <si>
    <t>STANDARD UČENIKA S POSEBNIM POTREBAMA</t>
  </si>
  <si>
    <t>A622132</t>
  </si>
  <si>
    <t>Subvencije trgovačkim društvima u javnom sektoru</t>
  </si>
  <si>
    <t>A580007</t>
  </si>
  <si>
    <t>Subvencije trgovačkim društvima izvan javnog sektora</t>
  </si>
  <si>
    <t>A580014</t>
  </si>
  <si>
    <t>RAZVOJ SUSTAVA OBRAZOVANJA ODRASLIH</t>
  </si>
  <si>
    <t>Subvencije trgovačkim društvima, zadrugama, poljoprivrednici</t>
  </si>
  <si>
    <t>A580037</t>
  </si>
  <si>
    <t>JAVNI MEĐUMJESNI PRIJEVOZ ZA UČENIKE</t>
  </si>
  <si>
    <t>Tekuće pomoći inozemnim vladama</t>
  </si>
  <si>
    <t>A580044</t>
  </si>
  <si>
    <t>RAZVOJ SUSTAVA SREDNJOŠKOLSKOG ODGOJA I OBRAZOVANJA</t>
  </si>
  <si>
    <t>Tekuće pomoći međunarodnim organizacijama te institucijama i</t>
  </si>
  <si>
    <t>A621021</t>
  </si>
  <si>
    <t>SMJEŠTAJ I PREHRANA STUDENATA STUDENTSKOG CENTRA ZAGREB - SUFINANCIRANJE</t>
  </si>
  <si>
    <t>0960</t>
  </si>
  <si>
    <t>Dodatne usluge u obrazovanju</t>
  </si>
  <si>
    <t>096</t>
  </si>
  <si>
    <t>Tekuće pomoći unutar općeg proračuna</t>
  </si>
  <si>
    <t>A621022</t>
  </si>
  <si>
    <t>SMJEŠTAJ I PREHRANA STUDENATA STUDENTSKOG CENTRA OSIJEK - SUFINANCIRANJE</t>
  </si>
  <si>
    <t>Kapitalne pomoći unutar općeg proračuna</t>
  </si>
  <si>
    <t>A621023</t>
  </si>
  <si>
    <t>SMJEŠTAJ I PREHRANA STUDENATA STUDENTSKOG CENTRA RIJEKA - SUFINANCIRANJE</t>
  </si>
  <si>
    <t>Tekuće pomoći proračunskim korisnicima drugih proračuna</t>
  </si>
  <si>
    <t>A621024</t>
  </si>
  <si>
    <t>SMJEŠTAJ I PREHRANA STUDENATA STUDENTSKOG CENTRA SPLIT - SUFINANCIRANJE</t>
  </si>
  <si>
    <t>Kapitalne pomoći proračunskim korisnicima drugih proračuna</t>
  </si>
  <si>
    <t>A621026</t>
  </si>
  <si>
    <t>SMJEŠTAJ I PREHRANA STUDENATA STUDENTSKOG CENTRA ŠIBENIK - SUFINANCIRANJE</t>
  </si>
  <si>
    <t>Tekuće pomoći temeljem prijenosa EU sredstava</t>
  </si>
  <si>
    <t>A621028</t>
  </si>
  <si>
    <t>SMJEŠTAJ I PREHRANA STUDENATA STUDENTSKOG CENTRA VARAŽDIN - SUFINANCIRANJE</t>
  </si>
  <si>
    <t>Kapitalne pomoći temeljem prijenosa EU sredstava</t>
  </si>
  <si>
    <t>A621029</t>
  </si>
  <si>
    <t>SMJEŠTAJ I PREHRANA STUDENATA STUDENTSKOG CENTRA SLAVONSKI BROD - SUFINANCIRANJE</t>
  </si>
  <si>
    <t>Tekući prijenosi između proračunskih korisnika istog proraču</t>
  </si>
  <si>
    <t>A621030</t>
  </si>
  <si>
    <t>SMJEŠTAJ I PREHRANA STUDENATA STUDENTSKOG CENTRA POŽEGA - SUFINANCIRANJE</t>
  </si>
  <si>
    <t>Kapitalni prijenosi između proračunskih korisnika istog pror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</si>
  <si>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</si>
  <si>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</si>
  <si>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</si>
  <si>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</si>
  <si>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</si>
  <si>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</si>
  <si>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Naknade građ. i kuć. u novcu-neposr. ili putem ust.izvan js</t>
  </si>
  <si>
    <t>A621049</t>
  </si>
  <si>
    <t>KAMATE ZA STANOVE ZNANSTVENIH NOVAKA I ASISTENATA</t>
  </si>
  <si>
    <t>Naknade građ. i kuć. u naravi-neposr. ili putem ust.izvan js</t>
  </si>
  <si>
    <t>A621058</t>
  </si>
  <si>
    <t>PROGRAMI POBOLJŠANJA STUDENTSKOG STANDARDA</t>
  </si>
  <si>
    <t>Naknade građanima i kućanstvima u novcu - putem ustanova u j</t>
  </si>
  <si>
    <t>A621185</t>
  </si>
  <si>
    <t>POTPORA HRVATSKOM KATOLIČKOM SVEUČILIŠTU U ZAGREBU</t>
  </si>
  <si>
    <t>Naknade građanima i kućanstvima u naravi - putem ustanova u</t>
  </si>
  <si>
    <t>A622003</t>
  </si>
  <si>
    <t>UGOVORNO FINANCIRANJE ZNANSTVENE DJELATNOSTI</t>
  </si>
  <si>
    <t>Naknade građanima i kućanstvima na temelju osiguranja iz EU</t>
  </si>
  <si>
    <t>A622004</t>
  </si>
  <si>
    <t>IZDAVANJE DOMAĆIH ZNANSTVENIH ČASOPISA</t>
  </si>
  <si>
    <t>Naknade građanima i kućanstvima u novcu</t>
  </si>
  <si>
    <t>A622005</t>
  </si>
  <si>
    <t>ORGANIZIRANJE I ODRŽAVANJE ZNANSTVENIH SKUPOVA</t>
  </si>
  <si>
    <t>Naknade građanima i kućanstvima u naravi</t>
  </si>
  <si>
    <t>A622006</t>
  </si>
  <si>
    <t>IZDAVANJE  ZNANSTVENIH KNJIGA I UDŽBENIKA</t>
  </si>
  <si>
    <t>Naknade građanima i kućanstvima iz EU sredstava</t>
  </si>
  <si>
    <t>A622007</t>
  </si>
  <si>
    <t>FINANCIJSKA POTPORA ZNANSTVENIM UDRUGAMA I PROGRAMIMA POPULARIZACIJE ZNANOSTI</t>
  </si>
  <si>
    <t>Tekuće donacije u novcu</t>
  </si>
  <si>
    <t>A628003</t>
  </si>
  <si>
    <t>PROJEKTI PRIMJENE INFORMACIJSKE TEHNOLOGIJE</t>
  </si>
  <si>
    <t>Tekuće donacije u naravi</t>
  </si>
  <si>
    <t>A676059</t>
  </si>
  <si>
    <t>OBZOR 2020. - EUROPSKA NOĆ ISTRAŽIVAČA</t>
  </si>
  <si>
    <t>Tekuće donacije iz EU sredstava</t>
  </si>
  <si>
    <t>A676065</t>
  </si>
  <si>
    <t>ERASMUS+ PROJEKT BWSE FORWARD - BOLONJA OČIMA ZAINTERESIRANIH DIONIKA ZA SNAŽNIJU BUDUĆNOST BOLONJSKOG PROCESA</t>
  </si>
  <si>
    <t>Kapitalne donacije neprofitnim organizacijama</t>
  </si>
  <si>
    <t>A676070</t>
  </si>
  <si>
    <t>ERASMUS+ EUROPSKO ISTRAŽIVANJE PRAĆENJA OSOBA S DIPLOMOM (GT-HRVATSKA)</t>
  </si>
  <si>
    <t>Naknade šteta pravnim i fizičkim osobama</t>
  </si>
  <si>
    <t>A679005</t>
  </si>
  <si>
    <t>ČLANSTVO U MEĐUNARODNIM UDRUGAMA</t>
  </si>
  <si>
    <t>Penali, ležarine i drugo</t>
  </si>
  <si>
    <t>A679008</t>
  </si>
  <si>
    <t>PROGRAM RAZVOJNE SURADNJE</t>
  </si>
  <si>
    <t>Naknade šteta zaposlenicima</t>
  </si>
  <si>
    <t>A679009</t>
  </si>
  <si>
    <t>REDOVNA DJELATNOST LEKTORATA</t>
  </si>
  <si>
    <t>Ugovorene kazne i ostale naknade šteta</t>
  </si>
  <si>
    <t>A679047</t>
  </si>
  <si>
    <t>MEĐUNARODNA SURADNJA I EUROPSKI POSLOVI</t>
  </si>
  <si>
    <t>Ostale kazne</t>
  </si>
  <si>
    <t>A679049</t>
  </si>
  <si>
    <t>POMOĆI BIH U SUSTAVU ZNANOSTI I OBRAZOVANJA</t>
  </si>
  <si>
    <t>Kapitalne pomoći kreditnim i ostalim financijskim institucijama te trgovačkim društvima u javnom sektoru</t>
  </si>
  <si>
    <t>A679064</t>
  </si>
  <si>
    <t>ZNANSTVENO-UČILIŠNI KAMPUS BORONGAJ</t>
  </si>
  <si>
    <t>Kapitalne pomoći kreditnim i ostalim financijskim institucijama te trgovačkim društvima i zadrugama izvan javnog sektora</t>
  </si>
  <si>
    <t>A679065</t>
  </si>
  <si>
    <t>SMJEŠTAJ I PREHRANA STUDENATA STUDENTSKOG CENTRA PULA - SUFINANCIRANJE</t>
  </si>
  <si>
    <t>Kapitalne pomoći poljoprivrednicima i obrtnicima</t>
  </si>
  <si>
    <t>A679066</t>
  </si>
  <si>
    <t>POTPORE ROMSKIM STUDIJIMA I STUDENTIMA ROMIMA</t>
  </si>
  <si>
    <t>Zemljište</t>
  </si>
  <si>
    <t>A679067</t>
  </si>
  <si>
    <t>STIPENDIJE ZA STUDENTE SLABIJEGA SOCIO-EKONOMSKOG STATUSA</t>
  </si>
  <si>
    <t>Ostala prirodna materijalna imovina</t>
  </si>
  <si>
    <t>A679069</t>
  </si>
  <si>
    <t>SMJEŠTAJ I PREHRANA STUDENATA STUDENTSKOG CENTRA SISAK - SUFINANCIRANJE</t>
  </si>
  <si>
    <t>Koncesije</t>
  </si>
  <si>
    <t>A733049</t>
  </si>
  <si>
    <t>EUROPSKA AGENCIJA ZA POSEBNE POTREBE I INKLUZIVNO OBRAZOVANJE</t>
  </si>
  <si>
    <t>Licence</t>
  </si>
  <si>
    <t>A733050</t>
  </si>
  <si>
    <t>PRAĆENJE I IMPLEMENTACIJA POLITIKA EUROPSKOG ISTRAŽIVAČKOG PROSTORA (ERA)</t>
  </si>
  <si>
    <t>Ostala prava</t>
  </si>
  <si>
    <t>Ostala nematerijalna imovina</t>
  </si>
  <si>
    <t>A733051</t>
  </si>
  <si>
    <t>PROGRAMI IZRADE UDŽBENIKA ZA SLIJEPE I SLABOVIDNE UČENIKE I STUDENTE</t>
  </si>
  <si>
    <t>Stambeni objekti</t>
  </si>
  <si>
    <t>A733052</t>
  </si>
  <si>
    <t>DALJNJE UNAPREĐENJE SUSTAVA ZA RAZVOJ I PROVEDBU NACIONALNOGA KVALIFIKACIJSKOG OKVIRA (NKO)</t>
  </si>
  <si>
    <t>Poslovni objekti</t>
  </si>
  <si>
    <t>A733055</t>
  </si>
  <si>
    <t>PROGRAM IZVRSNOSTI U VISOKOM OBRAZOVANJU - TENURE-TRACK</t>
  </si>
  <si>
    <t>Ceste, željeznice i ostali prometni objekti</t>
  </si>
  <si>
    <t>A733056</t>
  </si>
  <si>
    <t>EUROPSKI ZNANSTVENI PROJEKTI</t>
  </si>
  <si>
    <t>Ostali građevinski objekti</t>
  </si>
  <si>
    <t>A733060</t>
  </si>
  <si>
    <t>OBZOR 2020. - PROGRAM POTICANJA ISTRAŽIVANJA I RAZVOJA MORSKIH BIO-RESURSA – ERA-NET BLUEBIOECONOMY</t>
  </si>
  <si>
    <t>Uredska oprema i namještaj</t>
  </si>
  <si>
    <t>A733063</t>
  </si>
  <si>
    <t>ERASMUS+ KORIŠTENJE PODATAKA S CILJEM UNAPRJEĐENJA KVALITETE U SUSTAVU ODGOJA I OBRAZOVANJA - DATA DRIVE</t>
  </si>
  <si>
    <t>Komunikacijska oprema</t>
  </si>
  <si>
    <t>A733064</t>
  </si>
  <si>
    <t>ERASMUS+ INTERDISCIPLINARNI STEM PRISTUP SVEMU OKO NAS - STE(A)M IT</t>
  </si>
  <si>
    <t>Oprema za održavanje i zaštitu</t>
  </si>
  <si>
    <t>A733065</t>
  </si>
  <si>
    <t>ERASMUS + PRIZNAVANJE PRETHODNOG UČENJA U PRAKSI</t>
  </si>
  <si>
    <t>Medicinska i laboratorijska oprema</t>
  </si>
  <si>
    <t>A733066</t>
  </si>
  <si>
    <t>ERASMUS PLUS - OSNAŽIVANJE NASTAVNIKA DILJEM EUROPE - KA3 - HAND IN HAND</t>
  </si>
  <si>
    <t>Instrumenti, uređaji i strojevi</t>
  </si>
  <si>
    <t>A767002</t>
  </si>
  <si>
    <t>IZRADA DEFICITARNIH UDŽBENIKA U ŠKOLSTVU</t>
  </si>
  <si>
    <t>Sportska i glazbena oprema</t>
  </si>
  <si>
    <t>A767003</t>
  </si>
  <si>
    <t>SREDNJOŠKOLSKE STIPENDIJE ZA UČENIKE ROME</t>
  </si>
  <si>
    <t>Uređaji, strojevi i oprema za ostale namjene</t>
  </si>
  <si>
    <t>A767004</t>
  </si>
  <si>
    <t>NAOBRAZBA DJECE U ALTERNATIVNIM ŠKOLAMA</t>
  </si>
  <si>
    <t>Prijevozna sredstva u cestovnom prometu</t>
  </si>
  <si>
    <t>A767008</t>
  </si>
  <si>
    <t>SUBVENCIONIRANJE KAMATA ZA STANOVE UČITELJA</t>
  </si>
  <si>
    <t>Prijevozna sredstva u pomorskom i riječnom prometu</t>
  </si>
  <si>
    <t>A767009</t>
  </si>
  <si>
    <t>ZNANSTVENI CENTRI IZVRSNOSTI - DRUŠTVENO HUMANISTIČKO PODRUČJE</t>
  </si>
  <si>
    <t>Knjige</t>
  </si>
  <si>
    <t>A767013</t>
  </si>
  <si>
    <t>RAZVOJ SUSTAVA OSIGURANJA KVALITETE</t>
  </si>
  <si>
    <t>Umjetnička djela (izložena u galerijama, muzejima i slično)</t>
  </si>
  <si>
    <t>A767015</t>
  </si>
  <si>
    <t>PROVEDBA PROGRAMA ZA UKLJUČIVANJE ROMA</t>
  </si>
  <si>
    <t>Ostale nespomenute izložbene vrijednosti</t>
  </si>
  <si>
    <t>A767035</t>
  </si>
  <si>
    <t>MEĐUNARODNA SURADNJA</t>
  </si>
  <si>
    <t>Višegodišnji nasadi</t>
  </si>
  <si>
    <t>A767038</t>
  </si>
  <si>
    <t>OBZOR 2020. - PROGRAM MEĐUNARODNE MOBILNOSTI ZA ISTRAŽIVAČE - NEWFELPRO</t>
  </si>
  <si>
    <t>Osnovno stado</t>
  </si>
  <si>
    <t>A767042</t>
  </si>
  <si>
    <t>OBRAZOVANJE OSOBA BEZ HRVATSKOG DRŽAVLJANSTVA</t>
  </si>
  <si>
    <t>Ulaganja u računalne programe</t>
  </si>
  <si>
    <t>A767043</t>
  </si>
  <si>
    <t>RAZVOJ VISOKOG OBRAZOVANJA</t>
  </si>
  <si>
    <t>Umjetnička, literarna i znanstvena djela</t>
  </si>
  <si>
    <t>A767056</t>
  </si>
  <si>
    <t>OBZOR 2020. - PARTNERSTVO ZA ISTRAŽIVANJA I INOVACIJE NA MEDITERANSKOM PODRUČJU - PRIMA</t>
  </si>
  <si>
    <t>Ostala nematerijalna proizvedena imovina</t>
  </si>
  <si>
    <t>A768053</t>
  </si>
  <si>
    <t>EUROPSKE ŠKOLE</t>
  </si>
  <si>
    <t>Pohranjene knjige, umjetnička djela i slične vrijednosti</t>
  </si>
  <si>
    <t>A768054</t>
  </si>
  <si>
    <t>DODATNA SREDSTVA IZRAVNANJA ZA DECENTRALIZIRANE FUNKCIJE</t>
  </si>
  <si>
    <t>Strateške zalihe</t>
  </si>
  <si>
    <t>A768058</t>
  </si>
  <si>
    <t>PREUZETE OBVEZE PO MEĐUNARODNIM UGOVORIMA</t>
  </si>
  <si>
    <t>Dodatna ulaganja na građevinskim objektima</t>
  </si>
  <si>
    <t>A768061</t>
  </si>
  <si>
    <t>ERASMUS+ UČINKOVITO PARTNERSTVO ZA UNAPRIJEĐENO PRIZNAVANJE - EPER</t>
  </si>
  <si>
    <t>Dodatna ulaganja na postrojenjima i opremi</t>
  </si>
  <si>
    <t>A768064</t>
  </si>
  <si>
    <t>ERASMUS+ PROJEKT TRACER - TRANSPARENTNOST HRVATSKIH KVALIFIKACIJA RADI LAKŠEG PRIZNAVANJA</t>
  </si>
  <si>
    <t>Dodatna ulaganja na prijevoznim sredstvima</t>
  </si>
  <si>
    <t>A768065</t>
  </si>
  <si>
    <t>OBZOR 2020 - MENTORSTVO ZA UNAPRJEĐENJE ŠKOLE - MENSI</t>
  </si>
  <si>
    <t>Dodatna ulaganja za ostalu nefinancijsku imovinu</t>
  </si>
  <si>
    <t>A768068</t>
  </si>
  <si>
    <t>OTKUP ZNANSTVENIH KNJIGA I VISOKOŠKOLSKIH UDŽBENIKA</t>
  </si>
  <si>
    <t>Dani zajmovi neprofitnim organizacijama, građanima i kućanst</t>
  </si>
  <si>
    <t>A818021</t>
  </si>
  <si>
    <t>PRIMJENA UDŽBENIČKOG STANDARDA</t>
  </si>
  <si>
    <t>Otplata glavnice primljenih kredita od tuzemnih kreditnih in</t>
  </si>
  <si>
    <t>A818034</t>
  </si>
  <si>
    <t>PROJEKT POVEZIVANJA S EUROPSKIM KVALIFIKACIJSKIM OKVIROM - EQF NCP GRANT</t>
  </si>
  <si>
    <t>Dani zajmovi neprofitnim organizacijama, građanima i kućanstvima u tuzemstvu</t>
  </si>
  <si>
    <t>A818035</t>
  </si>
  <si>
    <t>MENTORI I STRUČNI ISPITI U OSNOVNIM I SREDNJIM ŠKOLAMA</t>
  </si>
  <si>
    <t>Dani zajmovi neprofitnim organizacijama, građanima i kućanstvima u inozemstvu</t>
  </si>
  <si>
    <t>A818049</t>
  </si>
  <si>
    <t>REGIONALNI CENTAR ZA IMPLEMENTACIJU REGIONALNE STRATEGIJE ZNANOSTI I ISTRAŽIVANJA ZAPADNOG BALKANA ZA INOVACIJE (WISE)</t>
  </si>
  <si>
    <t>Dani zajmovi trgovačkim društvima u javnom sektoru</t>
  </si>
  <si>
    <t>K110283</t>
  </si>
  <si>
    <t>OPREMANJE OSNOVNOŠKOLSKIH KNJIŽNICA OBVEZNOM LEKTIROM I STRUČNOM LITERATUROM</t>
  </si>
  <si>
    <t>Izdaci za depozite u kreditnim i ostalim financijskim institucijama - tuzemni</t>
  </si>
  <si>
    <t>K110291</t>
  </si>
  <si>
    <t>OPREMANJE SREDNJOŠKOLSKIH KNJIŽNICA LEKTIROM I STRUČNOM LITERATUROM</t>
  </si>
  <si>
    <t xml:space="preserve">Izdaci za jamčevne pologe </t>
  </si>
  <si>
    <t>K252755</t>
  </si>
  <si>
    <t>RAČUNALNO KOMUNIKACIJSKA INFRASTRUKTURA U OSNOVNIM I SREDNJIM ŠKOLAMA</t>
  </si>
  <si>
    <t>Otplata glavnice primljenih kredita od kreditnih institucija u javnom sektoru</t>
  </si>
  <si>
    <t>K578010</t>
  </si>
  <si>
    <t>IZGRADNJA DJEČJEG CENTRA VOŠTARNICA</t>
  </si>
  <si>
    <t>Otplata glavnice primljenih zajmova od trgovačkih društava u javnom sektoru</t>
  </si>
  <si>
    <t>K578051</t>
  </si>
  <si>
    <t>OP KONKURENTNOST I KOHEZIJA 2014.-2020., PRIORITET 1, 9 i 10</t>
  </si>
  <si>
    <t>Otplata glavnice primljenih kredita od tuzemnih kreditnih institucija izvan javnog sektora</t>
  </si>
  <si>
    <t>K578063</t>
  </si>
  <si>
    <t>PROJEKT "HRVATSKA: USUSRET ODRŽIVOM, PRAVEDNOM I UČINKOVITOM OBRAZOVANJU"</t>
  </si>
  <si>
    <t>Otplata glavnice primljenih zajmova od ostalih tuzemnih financijskih institucija izvan javnog sektora</t>
  </si>
  <si>
    <t>K578064</t>
  </si>
  <si>
    <t>CENTAR ZA ODGOJ I OBRAZOVANJE ČAKOVEC</t>
  </si>
  <si>
    <t>Otplata glavnice primljenih zajmova od tuzemnih trgovačkih društava izvan javnog sektora</t>
  </si>
  <si>
    <t>K578068</t>
  </si>
  <si>
    <t>IZGRADNJA, DOGRADNJA, REKONSTRUKCIJA I OPREMANJE SREDNJIH ŠKOLA - NPOO (C3.1.R1-I3)</t>
  </si>
  <si>
    <t>Otplata glavnice primljenih zajmova od županijskih proračuna</t>
  </si>
  <si>
    <t>K578070</t>
  </si>
  <si>
    <t>POBOLJŠANJE UČINKOVITOSTI JAVNIH ULAGANJA NA PODRUČJU ISTRAŽIVANJA, RAZVOJA I INOVACIJA - NPOO (C3.2.R3)</t>
  </si>
  <si>
    <t>K579064</t>
  </si>
  <si>
    <t>KAPITALNE INVESTICIJE U OSNOVNOM I SREDNJEM ŠKOLSTVU</t>
  </si>
  <si>
    <t>K621173</t>
  </si>
  <si>
    <t>INFORMACIJSKA INFRASTRUKTURA SUSTAVA VISOKOG OBRAZOVANJA</t>
  </si>
  <si>
    <t>K622113</t>
  </si>
  <si>
    <t>ULAGANJE U ODRŽAVANJE ZNANSTVENOISTRAŽIVAČKE OPREME I INFRASTRUKTURE</t>
  </si>
  <si>
    <t>K676058</t>
  </si>
  <si>
    <t>PROSVJETNO-KULTURNI CENTAR MAĐARA - IZGRADNJA UČENIČKOG DOMA</t>
  </si>
  <si>
    <t>K676064</t>
  </si>
  <si>
    <t>TALIJANSKA SŠ LEONARDO DA VINCI BUJE-REKONSTRUKCIJA I DOGRADNJA</t>
  </si>
  <si>
    <t>K676066</t>
  </si>
  <si>
    <t>OBNOVA ZGRADA OŠTEĆENIH U POTRESU S ENERGETSKOM OBNOVOM - NPOO (C6.1.R1-I2)</t>
  </si>
  <si>
    <t>K676067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</si>
  <si>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</si>
  <si>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</si>
  <si>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</si>
  <si>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K733061</t>
  </si>
  <si>
    <t>OSNOVNA ŠKOLA MILAN AMRUŠ SLAVONSKI BROD</t>
  </si>
  <si>
    <t>K733067</t>
  </si>
  <si>
    <t>OP UČINKOVITI LJUDSKI POTENCIJALI 2021.-2027., PRIORITET 2</t>
  </si>
  <si>
    <t>0950</t>
  </si>
  <si>
    <t>Obrazovanje koje se ne može definirati po stupnju</t>
  </si>
  <si>
    <t>095</t>
  </si>
  <si>
    <t>K767031</t>
  </si>
  <si>
    <t>OŠ MIJATA STOJANOVIĆA U BABINOJ GREDI</t>
  </si>
  <si>
    <t>K767032</t>
  </si>
  <si>
    <t>OBRTNIČKA ŠKOLA SISAK</t>
  </si>
  <si>
    <t>K768066</t>
  </si>
  <si>
    <t>OBNOVA INFRASTRUKTURE I OPREME U PODRUČJU OBRAZOVANJA OŠTEĆENE POTRESOM</t>
  </si>
  <si>
    <t>K768067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</si>
  <si>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</si>
  <si>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</si>
  <si>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</si>
  <si>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K622138</t>
  </si>
  <si>
    <t>K768070</t>
  </si>
  <si>
    <t>OBNOVA INFRASTRUKTURE U PODRUČJU OBRAZOVANJA OŠTEĆENE POTRESOM FSEU.2022.MZO</t>
  </si>
  <si>
    <t>K818050</t>
  </si>
  <si>
    <t>OP UČINKOVITI LJUDSKI POTENCIJALI 2014.-2020., PRIORITET 3 i 4</t>
  </si>
  <si>
    <t>T580070</t>
  </si>
  <si>
    <t>SANACIJA POSLJEDICA POTRESA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</si>
  <si>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</si>
  <si>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</si>
  <si>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</si>
  <si>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</si>
  <si>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</si>
  <si>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</si>
  <si>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</si>
  <si>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</si>
  <si>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</si>
  <si>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</si>
  <si>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</si>
  <si>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</si>
  <si>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</si>
  <si>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</si>
  <si>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</si>
  <si>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</si>
  <si>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</si>
  <si>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</si>
  <si>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</si>
  <si>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</si>
  <si>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</si>
  <si>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A621183</t>
  </si>
  <si>
    <t>STIPENDIJE I ŠKOLARINE ZA DOKTORSKI STUDIJ</t>
  </si>
  <si>
    <t>A622012</t>
  </si>
  <si>
    <t>REDOVNA DJELATNOST SEIZMOLOŠKE SLUŽBE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</si>
  <si>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</si>
  <si>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</si>
  <si>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</si>
  <si>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</si>
  <si>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</si>
  <si>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</si>
  <si>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</si>
  <si>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</si>
  <si>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</si>
  <si>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</si>
  <si>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</si>
  <si>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</si>
  <si>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</si>
  <si>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</si>
  <si>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</si>
  <si>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</si>
  <si>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</si>
  <si>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</si>
  <si>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A679079</t>
  </si>
  <si>
    <t>SVEUČILIŠTE U ZAGREBU - BICRO BIOCentar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</si>
  <si>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</si>
  <si>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</si>
  <si>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</si>
  <si>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</si>
  <si>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</si>
  <si>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</si>
  <si>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</si>
  <si>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</si>
  <si>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</si>
  <si>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</si>
  <si>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</si>
  <si>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</si>
  <si>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</si>
  <si>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</si>
  <si>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</si>
  <si>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</si>
  <si>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</si>
  <si>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</si>
  <si>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</si>
  <si>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</si>
  <si>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</si>
  <si>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</si>
  <si>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</si>
  <si>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</si>
  <si>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</si>
  <si>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</si>
  <si>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</si>
  <si>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</si>
  <si>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</si>
  <si>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</si>
  <si>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</si>
  <si>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</si>
  <si>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</si>
  <si>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</si>
  <si>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A679123</t>
  </si>
  <si>
    <t>ERASMUS PLUS - EUROPSKO ISTRAŽIVANJE PRAĆENJA OSOBA S DIPLOMOM - GT HRVATSKA</t>
  </si>
  <si>
    <t>K621061</t>
  </si>
  <si>
    <t>ODRŽAVANJE OBJEKATA VISOKOOBRAZOVNIH USTANOVA</t>
  </si>
  <si>
    <t>K679084</t>
  </si>
  <si>
    <t>K679106</t>
  </si>
  <si>
    <t>OP UČINKOVITI LJUDSKI POTENCIJALI 2014.-2020., PRIORITET 3</t>
  </si>
  <si>
    <t>K679116</t>
  </si>
  <si>
    <t>K679119</t>
  </si>
  <si>
    <t>K679122</t>
  </si>
  <si>
    <t>RAZVOJ MREŽE SEIZMOLOŠKIH PODATAKA (C6.1.R4-I1)</t>
  </si>
  <si>
    <t>REDOVNA DJELATNOST JAVNIH INSTITUTA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</si>
  <si>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</si>
  <si>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</si>
  <si>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</si>
  <si>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</si>
  <si>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</si>
  <si>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A622125</t>
  </si>
  <si>
    <t>EU PROJEKTI JAVNIH INSTITUTA (IZ EVIDENCIJSKIH PRIHODA)</t>
  </si>
  <si>
    <t>REDOVNA DJELATNOST JAVNIH INSTITUTA (IZ EVIDENCIJSKIH PRIHODA)</t>
  </si>
  <si>
    <t>PROGRAMSKO FINANCIRANJE JAVNIH ZNANSTVENIH INSTITUTA</t>
  </si>
  <si>
    <t>K622128</t>
  </si>
  <si>
    <t>OP KONKURENTNOST I KOHEZIJA 2014.-2020., PRIORITET 1 i 10</t>
  </si>
  <si>
    <t>K622139</t>
  </si>
  <si>
    <t>K622142</t>
  </si>
  <si>
    <t>RAZVOJ ODRŽIVOG, INOVATIVNOG I OTPORNOG TURIZMA  (C1.6 R1) - NPOO</t>
  </si>
  <si>
    <t>A763000</t>
  </si>
  <si>
    <t>ADMINISTRACIJA I UPRAVLJANJE DRŽAVNOG ZAVODA ZA INTELEKTUALNO VLASNIŠTVO</t>
  </si>
  <si>
    <t>T763005</t>
  </si>
  <si>
    <t>SURADNJA DZIV-a S UREDOM EUROPSKE UNIJE ZA INTELEKTUALNO VLASNIŠTVO (EUIPO)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</si>
  <si>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</si>
  <si>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</si>
  <si>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</si>
  <si>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</si>
  <si>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</si>
  <si>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ADMINISTRACIJA I UPRAVLJANJE NACIONALNE SVEUČILIŠNE KNJIŽNICE (IZ EVIDENCIJSKIH PRIHODA)</t>
  </si>
  <si>
    <t>K622116</t>
  </si>
  <si>
    <t>KNJIGE, UMJETNIČKA DJELA I OSTALE IZLOŽBENE VRIJEDNOSTI</t>
  </si>
  <si>
    <t>A628009</t>
  </si>
  <si>
    <t>ADMINISTRACIJA I UPRAVLJANJE HRVATSKE AKADEMSKE I ISTRAŽIVAČKE MREŽE CARNET</t>
  </si>
  <si>
    <t>0133</t>
  </si>
  <si>
    <t>Ostale opće usluge</t>
  </si>
  <si>
    <t>013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</si>
  <si>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</si>
  <si>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</si>
  <si>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</si>
  <si>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</si>
  <si>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</si>
  <si>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</si>
  <si>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04</t>
  </si>
  <si>
    <t>046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</si>
  <si>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</si>
  <si>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</si>
  <si>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</si>
  <si>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</si>
  <si>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</si>
  <si>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</si>
  <si>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A628089</t>
  </si>
  <si>
    <t>JAČANJE KAPACITETA NACIONALNOG CERT-A I POBOLJŠANJE SURADNJE NA HR I EU RAZINI - GROWCERT</t>
  </si>
  <si>
    <t>A628090</t>
  </si>
  <si>
    <t>UNAPRJEĐENJE JEDNAKIH MOGUĆNOSTI U OBRAZOVANJU ZA UČENIKE S TEŠKOĆAMA U RAZVOJU</t>
  </si>
  <si>
    <t>A628091</t>
  </si>
  <si>
    <t>OBRAZOVANJE U RURALNIM PODRUČJIMA - LEARNING FROM THE EXTREMES, A RURAL SCHOOLS INNOVATION ROADMAP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</si>
  <si>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</si>
  <si>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</si>
  <si>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</si>
  <si>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</si>
  <si>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</si>
  <si>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</si>
  <si>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</si>
  <si>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K628093</t>
  </si>
  <si>
    <t>DIGITALNA PREOBRAZBA VISOKOG OBRAZOVANJA E-SVEUČILIŠTA</t>
  </si>
  <si>
    <t>A622107</t>
  </si>
  <si>
    <t>ADMINISTRACIJA I UPRAVLJANJE LEKSIKOGRAFSKOG ZAVODA MIROSLAV KRLEŽA</t>
  </si>
  <si>
    <t>A622136</t>
  </si>
  <si>
    <t>ADMINISTRACIJA I UPRAVLJANJE LEKSIKOGRAFSKOG ZAVODA MIROSLAV KRLEŽA (IZ EVIDENCIJSKIH PRIHODA)</t>
  </si>
  <si>
    <t>A628018</t>
  </si>
  <si>
    <t>ADMINISTRACIJA I UPRAVLJANJE SVEUČILIŠNOG RAČUNSKOG CENTRA SRCE</t>
  </si>
  <si>
    <t>A628084</t>
  </si>
  <si>
    <t>ADMINISTRACIJA I UPRAVLJANJE SVEUČILIŠNOG RAČUNSKOG CENTRA SRCE  (IZ EVIDENCIJSKIH PRIHODA)</t>
  </si>
  <si>
    <t>K628055</t>
  </si>
  <si>
    <t>SRCE -IZRAVNA KAPITALNA ULAGANJA</t>
  </si>
  <si>
    <t>K628085</t>
  </si>
  <si>
    <t>SRCE - IZRAVNA KAPITALNA ULAGANJA  (IZ EVIDENCIJSKIH PRIHODA)</t>
  </si>
  <si>
    <t>K628087</t>
  </si>
  <si>
    <t>OP KONKURENTNOST I KOHEZIJA 2014.-2020., PRIORITETI 1 i 10</t>
  </si>
  <si>
    <t>K628094</t>
  </si>
  <si>
    <t>INFORMACIJSKI SUSTAVI EVIDENCIJA U VISOKOM OBRAZOVANJU - ISEVO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</si>
  <si>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</si>
  <si>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</si>
  <si>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</si>
  <si>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</si>
  <si>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A733027</t>
  </si>
  <si>
    <t>STRUČNO USAVRŠAVANJE U OKVIRU ŽUPANIJSKIH STRUČNIH VIJEĆA</t>
  </si>
  <si>
    <t>A733032</t>
  </si>
  <si>
    <t>IZVANNASTAVNE AKTIVNOSTI U OSNOVNIM I SREDNJIM ŠKOLAMA-NATJECANJE</t>
  </si>
  <si>
    <t>A733058</t>
  </si>
  <si>
    <t>STRUČNO USAVRŠAVANJE UČITELJA I NASTAVNIKA TALIJANSKOG JEZIKA</t>
  </si>
  <si>
    <t>A767022</t>
  </si>
  <si>
    <t>STRUČNO USAVRŠAVANJE ODGOJNO-OBRAZOVNIH DJELATNIKA U SUSTAVU OSNOVNOG I SREDNJEG ŠKOLSTVA</t>
  </si>
  <si>
    <t>K733068</t>
  </si>
  <si>
    <t>OP UČINKOVITI LJUDSKI POTENCIJALI 2014.-2020. PRIORITET 3</t>
  </si>
  <si>
    <t>K767054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</si>
  <si>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</si>
  <si>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</si>
  <si>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</si>
  <si>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</si>
  <si>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</si>
  <si>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</si>
  <si>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</si>
  <si>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</si>
  <si>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</si>
  <si>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</si>
  <si>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</si>
  <si>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</si>
  <si>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</si>
  <si>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</si>
  <si>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</si>
  <si>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</si>
  <si>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</si>
  <si>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</si>
  <si>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</si>
  <si>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</si>
  <si>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</si>
  <si>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</si>
  <si>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</si>
  <si>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</si>
  <si>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</si>
  <si>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</si>
  <si>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A867014</t>
  </si>
  <si>
    <t>ERASMUS - JAČANJE MULTIPARTNERSKE SURADNJE U PRUŽANJU USLUGA CJELOŽIVOTNOG PROFESIONALNOG USMJERAVANJA - KEEP IN PACT</t>
  </si>
  <si>
    <t>A867015</t>
  </si>
  <si>
    <t>ERASMUS PLUS - ALOCIRANJE KREDITNIH BODOVA U EUROPSKIM STRUČNIM PROGRAMIMA - ACEPT</t>
  </si>
  <si>
    <t>A867016</t>
  </si>
  <si>
    <t>ERASMUS PLUS - KATALOG ONLINE PROGRAMA I BAZE PODATAKA ZA VIDLJIVOST I PRIZNAVANJE -OCTRA</t>
  </si>
  <si>
    <t>A867017</t>
  </si>
  <si>
    <t>ERASMUS PLUS - AUTOMATSKO PRIZNAVANJE U JADRANSKOJ REGIJI - ADREN</t>
  </si>
  <si>
    <t>A867018</t>
  </si>
  <si>
    <t>PRIMJENA HRVATSKOG KVALIFIKACIJSKOG OKVIRA U VISOKOM OBRAZOVANJU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</si>
  <si>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</si>
  <si>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</si>
  <si>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</si>
  <si>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</si>
  <si>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</si>
  <si>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A580046</t>
  </si>
  <si>
    <t>ADMINISTRACIJA I UPRAVLJANJE NACIONALNOG CENTRA ZA VANJSKO VREDNOVANJE OBRAZOVANJA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</si>
  <si>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</si>
  <si>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</si>
  <si>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</si>
  <si>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</si>
  <si>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</si>
  <si>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</si>
  <si>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</si>
  <si>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</si>
  <si>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K814011</t>
  </si>
  <si>
    <t>OP UČINKOVITI LJUDSKI POTENCIJALI, PRIORITET 10</t>
  </si>
  <si>
    <t>K814012</t>
  </si>
  <si>
    <t>OP UČNIKOVITI LJUDSKI POTENCIJALI 2014.-2020., PRIORITET 3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</si>
  <si>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</si>
  <si>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</si>
  <si>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</si>
  <si>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</si>
  <si>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</si>
  <si>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</si>
  <si>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</si>
  <si>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</si>
  <si>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</si>
  <si>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</si>
  <si>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</si>
  <si>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</si>
  <si>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</si>
  <si>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</si>
  <si>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</si>
  <si>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</si>
  <si>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</si>
  <si>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</si>
  <si>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</si>
  <si>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</si>
  <si>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</si>
  <si>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</si>
  <si>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</si>
  <si>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</si>
  <si>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</si>
  <si>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</si>
  <si>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</si>
  <si>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</si>
  <si>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</si>
  <si>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 2018. DO 2020.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</si>
  <si>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</si>
  <si>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</si>
  <si>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</si>
  <si>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</si>
  <si>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</si>
  <si>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</si>
  <si>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</si>
  <si>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</si>
  <si>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</si>
  <si>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</si>
  <si>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</si>
  <si>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</si>
  <si>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</si>
  <si>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</si>
  <si>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</si>
  <si>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</si>
  <si>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</si>
  <si>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</si>
  <si>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</si>
  <si>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</si>
  <si>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</si>
  <si>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</si>
  <si>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</si>
  <si>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</si>
  <si>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</si>
  <si>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</si>
  <si>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</si>
  <si>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</si>
  <si>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</si>
  <si>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</si>
  <si>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</si>
  <si>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</si>
  <si>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</si>
  <si>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</si>
  <si>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</si>
  <si>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</si>
  <si>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</si>
  <si>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A848045</t>
  </si>
  <si>
    <t>ERASMUS PLUS - KA2 - TRENING ZA VJEŠTINE U VIRTUALNOM OKRUŽENJU</t>
  </si>
  <si>
    <t>A848046</t>
  </si>
  <si>
    <t>ERASMUS PLUS - PILOTIRANJE VIRTUALNOG PRAKTIČNOG TEČAJA ZA KUHARSTVO U STRUKOVNOM OBRAZOVANJU</t>
  </si>
  <si>
    <t>A848047</t>
  </si>
  <si>
    <t>ERASMUS PLUS - KA - INKLUZIVNO DIGITALNO UČENJE U SVRHU SPREČAVANJA NAPUŠTANJA ŠKOLOVANJA U STRUKOVNOM OBRAZOVANJU I OSPOSOBLJAVANJU - 2BDIGITAL</t>
  </si>
  <si>
    <t>A848048</t>
  </si>
  <si>
    <t>EPALE - NACIONALNA SLUŽBA ZA PODRŠKU ZA REPUBLIKU HRVATSKU 2022.-2024. (EPALE V)</t>
  </si>
  <si>
    <t>K848038</t>
  </si>
  <si>
    <t>T848027</t>
  </si>
  <si>
    <t>OP UČINKOVITI LJUDSKI POTENCIJALI 2014. - 2020., PRIORITET 5</t>
  </si>
  <si>
    <t>A578069</t>
  </si>
  <si>
    <t>ADMINISTRACIJA I UPRAVLJANJE HRVATSKE ZAKLADE ZA ZNANOST</t>
  </si>
  <si>
    <t>A578071</t>
  </si>
  <si>
    <t>OBZOR ERA-NET QUANTERA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</si>
  <si>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</si>
  <si>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</si>
  <si>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</si>
  <si>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</si>
  <si>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</si>
  <si>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</si>
  <si>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A733072</t>
  </si>
  <si>
    <t>OBZOR ERA-NET PROGRAMI I PARTNERSTVA</t>
  </si>
  <si>
    <t>K733069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</si>
  <si>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</si>
  <si>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</si>
  <si>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</si>
  <si>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</si>
  <si>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</si>
  <si>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</si>
  <si>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</si>
  <si>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A622125.141</t>
  </si>
  <si>
    <t>Advancement and Innovation for Detectors at Accelerator - AIDAInnova</t>
  </si>
  <si>
    <t>Europska komisija putem Koordinatora projekta</t>
  </si>
  <si>
    <t>NOVI PODPROJEKT</t>
  </si>
  <si>
    <t>K578051.001</t>
  </si>
  <si>
    <t>Znanstveno i tehnologijsko predviđanje</t>
  </si>
  <si>
    <t>K578051.002</t>
  </si>
  <si>
    <t>Ulaganje u znanost i inovacije (SIIF)</t>
  </si>
  <si>
    <t>A622125.142</t>
  </si>
  <si>
    <t>Antimicrobial Integrated Methodologies for orthopaedic applications - AIMed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</si>
  <si>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</si>
  <si>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</si>
  <si>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</si>
  <si>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</si>
  <si>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</si>
  <si>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</si>
  <si>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</si>
  <si>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</si>
  <si>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K578051.008</t>
  </si>
  <si>
    <t>Poziv Centri kompetencija</t>
  </si>
  <si>
    <t>K578051.009</t>
  </si>
  <si>
    <t>Tehnička pomoć za MZO</t>
  </si>
  <si>
    <t>A622125.097</t>
  </si>
  <si>
    <t>Molecular origins of aneuploidies in healthy and diseased human tissues -ANEUPLOIDY</t>
  </si>
  <si>
    <t xml:space="preserve">Molecular origins of aneuploidies in healthy and diseased human tissues - ANEUPOLIDY 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</si>
  <si>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</si>
  <si>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</si>
  <si>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</si>
  <si>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</si>
  <si>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</si>
  <si>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</si>
  <si>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</si>
  <si>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</si>
  <si>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Fond solidarnosti Europske unije</t>
  </si>
  <si>
    <t>K818050.006</t>
  </si>
  <si>
    <t>Internacionalizacija visokog obrazovanja - razvoj studijskih programa na stranim jezicima u prioritetnim područjima i združenih studija</t>
  </si>
  <si>
    <t>SVEUČILIŠTE U ZAGREBU - PRIRODOSLOVNO-MATEMATIČKI FAKULTET (1781)</t>
  </si>
  <si>
    <t>K818050.007</t>
  </si>
  <si>
    <t>Provedba HKO-a na razini visokog obrazovanja</t>
  </si>
  <si>
    <t>K818050.008</t>
  </si>
  <si>
    <t>Razvoj, unapređenje i provedba stručne prakse u visokom obrazovanju</t>
  </si>
  <si>
    <t>A622125.143</t>
  </si>
  <si>
    <t>Disease defence in groups: the role of relatedness, risk and pathogen type — diseaseINgroups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</si>
  <si>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</si>
  <si>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</si>
  <si>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</si>
  <si>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</si>
  <si>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Namjenski primici od inozemnog zaduživanja</t>
  </si>
  <si>
    <t>K818050.011</t>
  </si>
  <si>
    <t>Uspostava regionalnih centara kompetencija u strukovnom obrazovanju u odabranim sektorima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</si>
  <si>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</si>
  <si>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</si>
  <si>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</si>
  <si>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</si>
  <si>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</si>
  <si>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</si>
  <si>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A622125.144</t>
  </si>
  <si>
    <t>EfficieNT Risk-bAsed iNspection of freight Crossing bordErs without disrupting business - ENTRANCE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</si>
  <si>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</si>
  <si>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</si>
  <si>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</si>
  <si>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</si>
  <si>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</si>
  <si>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</si>
  <si>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</si>
  <si>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</si>
  <si>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</si>
  <si>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</si>
  <si>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</si>
  <si>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</si>
  <si>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A622125.145</t>
  </si>
  <si>
    <t>EURopeAn MEDical application and Radiation prOteCtion Concept: strategic research agenda
aNd ROadmap interLinking to heaLth and digitisation aspects - EURAMED rocc-n-roll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</si>
  <si>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</si>
  <si>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</si>
  <si>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</si>
  <si>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</si>
  <si>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</si>
  <si>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</si>
  <si>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</si>
  <si>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</si>
  <si>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</si>
  <si>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</si>
  <si>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</si>
  <si>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</si>
  <si>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A622125.147</t>
  </si>
  <si>
    <t>Functionalized Tomato Products — FunTomP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</si>
  <si>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</si>
  <si>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</si>
  <si>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</si>
  <si>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</si>
  <si>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</si>
  <si>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</si>
  <si>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</si>
  <si>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</si>
  <si>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</si>
  <si>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</si>
  <si>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</si>
  <si>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</si>
  <si>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A622125.148</t>
  </si>
  <si>
    <t>Liquid-Assisted Grinding - from Fundaments to Applications, GrindCore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</si>
  <si>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</si>
  <si>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</si>
  <si>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</si>
  <si>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</si>
  <si>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</si>
  <si>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</si>
  <si>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</si>
  <si>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</si>
  <si>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</si>
  <si>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</si>
  <si>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A679071.017</t>
  </si>
  <si>
    <t>INTERREG Rescue</t>
  </si>
  <si>
    <t>A622125.149</t>
  </si>
  <si>
    <t>Joint European Research Infrastructure of Coastal Observatories - Design StudyJoint European Research Infrastructure of Coastal Observatories - Design Study -  JERICO-DS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</si>
  <si>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</si>
  <si>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</si>
  <si>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</si>
  <si>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</si>
  <si>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</si>
  <si>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</si>
  <si>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</si>
  <si>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</si>
  <si>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</si>
  <si>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</si>
  <si>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</si>
  <si>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</si>
  <si>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 xml:space="preserve"> JERICO-S3 Joint European Research Infrastructure of Coastal Observatories: Science, Service,
Sustainability - JERICO-S3</t>
  </si>
  <si>
    <t>Joint European Research Infrastructure of Coastal Observatories: Science, Service,
Sustainability - JERICO-S3</t>
  </si>
  <si>
    <t>A679071.025</t>
  </si>
  <si>
    <t>IRI PROJEKT - AGROSIMPA</t>
  </si>
  <si>
    <t>Joint European Research Infrastructure of Coastal Observatories: Science, Service,
Sustainability - JERICO-S4</t>
  </si>
  <si>
    <t>A679071.026</t>
  </si>
  <si>
    <t>IPA INTERREG CBC ESTABLISHING DEVELOPMENT OF SUSTAINABLE CROSS BORDER CLUSTERS</t>
  </si>
  <si>
    <t>Joint European Research Infrastructure of Coastal Observatories: Science, Service,
Sustainability - JERICO-S5</t>
  </si>
  <si>
    <t>A679071.027</t>
  </si>
  <si>
    <t>APPLERESIST</t>
  </si>
  <si>
    <t>Joint European Research Infrastructure of Coastal Observatories: Science, Service,
Sustainability - JERICO-S6</t>
  </si>
  <si>
    <t>A679071.028</t>
  </si>
  <si>
    <t>BIO4FEED PARTNER</t>
  </si>
  <si>
    <t>Joint European Research Infrastructure of Coastal Observatories: Science, Service,
Sustainability - JERICO-S7</t>
  </si>
  <si>
    <t>A679071.029</t>
  </si>
  <si>
    <t>AGROEKOTEH HAPIH</t>
  </si>
  <si>
    <t>Joint European Research Infrastructure of Coastal Observatories: Science, Service,
Sustainability - JERICO-S8</t>
  </si>
  <si>
    <t>A679071.030</t>
  </si>
  <si>
    <t>ERASMUS K2 - FAKULTET AGROBIOTEHNIČKIH ZNANOSTI OSIJEK</t>
  </si>
  <si>
    <t>A622125.094</t>
  </si>
  <si>
    <t>Mara-Based Industrial Low-Cost Identification Assays - MARILIA</t>
  </si>
  <si>
    <t>A679071.031</t>
  </si>
  <si>
    <t>TRAIN -CE-FOOD</t>
  </si>
  <si>
    <t>A679071.033</t>
  </si>
  <si>
    <t>HKO na razini visokog obrazovanja</t>
  </si>
  <si>
    <t>A679071.034</t>
  </si>
  <si>
    <t>Jean Monnet Module  Language and EU Law Excellence</t>
  </si>
  <si>
    <t>A679071.035</t>
  </si>
  <si>
    <t>ICT u poljoprivrednim znanostima</t>
  </si>
  <si>
    <t>A679071.036</t>
  </si>
  <si>
    <t>ERASMUS+GAMe based learning in MAthematics</t>
  </si>
  <si>
    <t>A679071.037</t>
  </si>
  <si>
    <t>EU Contemporary Puppetry Critical Platform</t>
  </si>
  <si>
    <t>A622125.150</t>
  </si>
  <si>
    <t>Molecular Quantum Simulations - MOQS</t>
  </si>
  <si>
    <t>A679071.038</t>
  </si>
  <si>
    <t>Istraživanje i razvoj inovativne funkcionalne hrane za pčele radi povećanja efikasnosti globalne pčelarske proizvodnje.</t>
  </si>
  <si>
    <t>A679071.039</t>
  </si>
  <si>
    <t>Bioproscpecting Jadranskog mora</t>
  </si>
  <si>
    <t>A679071.043</t>
  </si>
  <si>
    <t>Helping Kids! Promoting Positive Intergroup Relations and Peacebuilding in Divided Societies</t>
  </si>
  <si>
    <t>A679071.044</t>
  </si>
  <si>
    <t>Mobility and Inclusion in Multilingual Europe</t>
  </si>
  <si>
    <t>A679071.045</t>
  </si>
  <si>
    <t>Kompetencijski standardi nastavnika, pedagoga i mentora</t>
  </si>
  <si>
    <t>A679071.048</t>
  </si>
  <si>
    <t>Treasure- OBZOR 2020 (Obzor 2020- horizon projket TreasureDiversity of local pig breeds and production systems for high quality traditional products and sustainable pork chains"Ugovaratelj Kmetijski institut Slovenije)</t>
  </si>
  <si>
    <t>A622125.151</t>
  </si>
  <si>
    <t>Pioneering Strategies Against Bacterial Infections - PEST-BIN</t>
  </si>
  <si>
    <t>A679071.049</t>
  </si>
  <si>
    <t>Digital Education for Crisis Situations: Times when there is no alternative (DECriS)</t>
  </si>
  <si>
    <t>A679071.050</t>
  </si>
  <si>
    <t>HRZZ Vlakna i proteini kao osnova za razvoj novih bioaktivnih dodataka hrani (ESF)</t>
  </si>
  <si>
    <t>A679071.051</t>
  </si>
  <si>
    <t>CUVid – Curriculum Video Erasmus +</t>
  </si>
  <si>
    <t>A679071.052</t>
  </si>
  <si>
    <t>Modern logistics learning: Certified module on master study level</t>
  </si>
  <si>
    <t>A679071.053</t>
  </si>
  <si>
    <t>VIRTUALS - VIRTUAL VISITING PROFESSORS ERASMUS +</t>
  </si>
  <si>
    <t>A679071.054</t>
  </si>
  <si>
    <t>CroViZone  - Prilagodba vinogradarskih zona RH klimatskim promjenama Operativni program Konkurentnost i kohezija</t>
  </si>
  <si>
    <t>A622125.013</t>
  </si>
  <si>
    <t>Research And Development with Ion Beams – Advancing Technology in Europe - RADIATE</t>
  </si>
  <si>
    <t>A679071.055</t>
  </si>
  <si>
    <t>Istraživanje i razvoj samoizbijajućeg betona za 3D printer s dodatkom pepela</t>
  </si>
  <si>
    <t>A679071.056</t>
  </si>
  <si>
    <t>'Erasmus + 'Time to Become Digital in Law - DIGinLAW</t>
  </si>
  <si>
    <t>A679071.058</t>
  </si>
  <si>
    <t>CSI: CustomDigiTeach-društveni utjecaj prilagođenim formatima poučavanja</t>
  </si>
  <si>
    <t>A679071.059</t>
  </si>
  <si>
    <t>VirtuOS-uspostava regionalnog centra kompetentnosti u sektoru turizma i ugostiteljstva</t>
  </si>
  <si>
    <t>A679071.060</t>
  </si>
  <si>
    <t>HRZZ PROJEKT -DOKTORANDI BIOTEHNIČKIH ZNANOSTI</t>
  </si>
  <si>
    <t>A679071.061</t>
  </si>
  <si>
    <t>DATACROSS–Napredne metode i tehnologije u znanosti o podacima i kooperativnim sustavima</t>
  </si>
  <si>
    <t>A622125.105</t>
  </si>
  <si>
    <t>The strong interaction at the frontier of knowledge:
fundamental research and applications — STRONG-2020</t>
  </si>
  <si>
    <t>A679071.062</t>
  </si>
  <si>
    <t>EUROCC - konzorcijski sporazum o suradnji (EuroHPC) na projektu stvaranja nacionalnih centara kompetencije</t>
  </si>
  <si>
    <t>The strong interaction at the frontier of knowledge:
fundamental research and applications — STRONG-2021</t>
  </si>
  <si>
    <t>A679071.063</t>
  </si>
  <si>
    <t>Erasmus+DECriS European Summer School on Information Science 2021</t>
  </si>
  <si>
    <t>The strong interaction at the frontier of knowledge:
fundamental research and applications — STRONG-2022</t>
  </si>
  <si>
    <t>A679071.064</t>
  </si>
  <si>
    <t>RCK VirtuOS-regionalni centri kompetentnosti (RCK) u sektoru turizma i ugostiteljstva</t>
  </si>
  <si>
    <t>The strong interaction at the frontier of knowledge:
fundamental research and applications — STRONG-2023</t>
  </si>
  <si>
    <t>A679071.065</t>
  </si>
  <si>
    <t>Prilagodba mjera kontrole populacije komaraca zbog klimatskih promjena u RH</t>
  </si>
  <si>
    <t>The strong interaction at the frontier of knowledge:
fundamental research and applications — STRONG-2024</t>
  </si>
  <si>
    <t>A679071.066</t>
  </si>
  <si>
    <t>The strong interaction at the frontier of knowledge:
fundamental research and applications — STRONG-2025</t>
  </si>
  <si>
    <t>A679072.001</t>
  </si>
  <si>
    <t>ERASMUS+ projekt razvoja prometnih modaliteta kod trajekata i putničkih brodova</t>
  </si>
  <si>
    <t>EUROfusion Implementation of activities described in the Roadmap to Fusion during Horizon Europe through a joint programme of the members of the EUROfusion consortium - EUROfusion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</si>
  <si>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</si>
  <si>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</si>
  <si>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</si>
  <si>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</si>
  <si>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</si>
  <si>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</si>
  <si>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</si>
  <si>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</si>
  <si>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</si>
  <si>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</si>
  <si>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</si>
  <si>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</si>
  <si>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R-NMR Remote NMR: Moving NMR infrastructures to remote access capabilities - R-NMR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</si>
  <si>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</si>
  <si>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</si>
  <si>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</si>
  <si>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</si>
  <si>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</si>
  <si>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</si>
  <si>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</si>
  <si>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</si>
  <si>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</si>
  <si>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</si>
  <si>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</si>
  <si>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</si>
  <si>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ReMADE@ARI Recyclable materials development at analytical research infrastructures - ReMADE@ARI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</si>
  <si>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</si>
  <si>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</si>
  <si>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</si>
  <si>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</si>
  <si>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A679072.021</t>
  </si>
  <si>
    <t>ERASMUS+ TEFCE Prema europskom okviru za angažiranje visokog obrazovanja u zajednici</t>
  </si>
  <si>
    <t>A679072.023</t>
  </si>
  <si>
    <t>INTERREG ADRIREEF Istraživanje potencijala grebena u Jadranskom moru s ciljem jačanja Plave ekonomije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</si>
  <si>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</si>
  <si>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</si>
  <si>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</si>
  <si>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</si>
  <si>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Cocco-Next Physiological adaptations to ecological niches in coccolithophore haplodiplontic life cycle – Cocco-Next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</si>
  <si>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</si>
  <si>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</si>
  <si>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</si>
  <si>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</si>
  <si>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</si>
  <si>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</si>
  <si>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</si>
  <si>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</si>
  <si>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A679072.031</t>
  </si>
  <si>
    <t>INTERREG SLO-HR MITSKI PARK, FMTU-Kozina</t>
  </si>
  <si>
    <t>A679072.032</t>
  </si>
  <si>
    <t>INTERREG ITA-HR ADRIAAQUANET,Sv. Udine</t>
  </si>
  <si>
    <t>STOP Surface Transfer of Pathogens - STOP</t>
  </si>
  <si>
    <t>A679072.035</t>
  </si>
  <si>
    <t>Modernizacija master programa</t>
  </si>
  <si>
    <t>A679072.037</t>
  </si>
  <si>
    <t>Povećavanje i proširenje odgovora T-stanica na glioblastoma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</si>
  <si>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</si>
  <si>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</si>
  <si>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</si>
  <si>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</si>
  <si>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</si>
  <si>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</si>
  <si>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</si>
  <si>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</si>
  <si>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EURO-LABS EUROpean Laboratories for Accelerator Based Science - EURO-LABS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</si>
  <si>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</si>
  <si>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</si>
  <si>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</si>
  <si>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</si>
  <si>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</si>
  <si>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</si>
  <si>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</si>
  <si>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</si>
  <si>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A679072.049</t>
  </si>
  <si>
    <t>PROMEHS</t>
  </si>
  <si>
    <t>A679072.050</t>
  </si>
  <si>
    <t>ERASMUS + Digitalna društvena inovacija: nove obrazovne kompetencije za socijalnu uključenost</t>
  </si>
  <si>
    <t>A622125.154</t>
  </si>
  <si>
    <t>STIM-REI</t>
  </si>
  <si>
    <t>Sveučilište u Splitu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</si>
  <si>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</si>
  <si>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</si>
  <si>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</si>
  <si>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</si>
  <si>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</si>
  <si>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</si>
  <si>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</si>
  <si>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</si>
  <si>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</si>
  <si>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</si>
  <si>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</si>
  <si>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</si>
  <si>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</si>
  <si>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</si>
  <si>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</si>
  <si>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</si>
  <si>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A622125.146</t>
  </si>
  <si>
    <t>National Competence Centres in the framework of EuroHPC - EUROCC</t>
  </si>
  <si>
    <t>SRCE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</si>
  <si>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</si>
  <si>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</si>
  <si>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</si>
  <si>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</si>
  <si>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</si>
  <si>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</si>
  <si>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</si>
  <si>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</si>
  <si>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</si>
  <si>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</si>
  <si>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A679072.065</t>
  </si>
  <si>
    <t>Industrijska baština</t>
  </si>
  <si>
    <t>A679072.067</t>
  </si>
  <si>
    <t>DATACROSS – Napredne metode i tehnologije u znanosti o podatcima i kooperativnim sustavima</t>
  </si>
  <si>
    <t>A679072.068</t>
  </si>
  <si>
    <t>KLIMOD</t>
  </si>
  <si>
    <t>Prilogodba mjera kontrole populacije komaraca klimatskim promjenama u
Hrvatskoj</t>
  </si>
  <si>
    <t>Sveučilište u Osijeku</t>
  </si>
  <si>
    <t>A679072.069</t>
  </si>
  <si>
    <t>Capacity Building of BLUE Economy Stakeholders to Effectively use CROWFUNDING</t>
  </si>
  <si>
    <t>A679072.070</t>
  </si>
  <si>
    <t>Provedba HKO-a na razini visokog obrazovanja - EFRI</t>
  </si>
  <si>
    <t>A679072.071</t>
  </si>
  <si>
    <t>Social and Creative - EFRI</t>
  </si>
  <si>
    <t>A679072.072</t>
  </si>
  <si>
    <t>MI – jučer, danas, sutra</t>
  </si>
  <si>
    <t>A679072.073</t>
  </si>
  <si>
    <t>RCK PECEPT - REG. CENTAR PROFESIJA U TURIZMU</t>
  </si>
  <si>
    <t>A679072.074</t>
  </si>
  <si>
    <t>RECEZA-REGIONALNI CENTAR ZABOK</t>
  </si>
  <si>
    <t>A679072.075</t>
  </si>
  <si>
    <t>ERASMUS+ CAMPMASTER, SVEUČILIŠTE U RIJECI</t>
  </si>
  <si>
    <t>A679072.076</t>
  </si>
  <si>
    <t>Train to enforce — Train 2 EN4CE’</t>
  </si>
  <si>
    <t>A679073.009</t>
  </si>
  <si>
    <t>Razvoj sustava kontrole i obrane luka od unosa stranih vrsta</t>
  </si>
  <si>
    <t>Sveučilište u Dubrovniku</t>
  </si>
  <si>
    <t>Razvoj sustava kontrole i obrane luka od unosa stranih vrsta ( ProtectAS)</t>
  </si>
  <si>
    <t>A679072.077</t>
  </si>
  <si>
    <t>A679072.078</t>
  </si>
  <si>
    <t>Menage a trois: Neuro-endocrino-immune regulation of metabolic homeostasis</t>
  </si>
  <si>
    <t>A679072.079</t>
  </si>
  <si>
    <t>Razvoj inovativnog brzog testa za dijagnozu subkliničkog mastitisa u mliječnih krava</t>
  </si>
  <si>
    <t>A679072.080</t>
  </si>
  <si>
    <t>Rino sprej</t>
  </si>
  <si>
    <t>A679072.081</t>
  </si>
  <si>
    <t>ERASMUS+ COMPETING</t>
  </si>
  <si>
    <t>A679072.082</t>
  </si>
  <si>
    <t>INTERREG  PSAMIDES</t>
  </si>
  <si>
    <t>A679072.084</t>
  </si>
  <si>
    <t>INTERREG MIMOSA</t>
  </si>
  <si>
    <t>A679072.085</t>
  </si>
  <si>
    <t>INTERREG FRAMEWORK</t>
  </si>
  <si>
    <t>A679078.290</t>
  </si>
  <si>
    <t>Računalni model strujanja, poplavljivanja i širenja onečišćenja u rijekama i obalnim morskim područjima (KLIMOD)</t>
  </si>
  <si>
    <t>Sveučilište u Rijeci</t>
  </si>
  <si>
    <t>A679072.086</t>
  </si>
  <si>
    <t>Infant Theory of Mind-H2020-MSCA-IF-2017</t>
  </si>
  <si>
    <t>A679072.087</t>
  </si>
  <si>
    <t>MindBot</t>
  </si>
  <si>
    <t>A679072.089</t>
  </si>
  <si>
    <t>YUFE (The Young Universities for the Future of Europe)</t>
  </si>
  <si>
    <t>A679072.090</t>
  </si>
  <si>
    <t>DIOSI - Developing and implementing hands-on training on Open Science and Open Innovation for Early Career Researchers</t>
  </si>
  <si>
    <t>A679072.091</t>
  </si>
  <si>
    <t>YUFERING - YUFE Transforming Research and Innovation through Europe-wide Knowledge Transfer</t>
  </si>
  <si>
    <t>A679072.092</t>
  </si>
  <si>
    <t>Measuring the Social Dimension of Culture (MESOC)</t>
  </si>
  <si>
    <t>A679072.094</t>
  </si>
  <si>
    <t>INTERREG InnovaMare projekt</t>
  </si>
  <si>
    <t>A679072.095</t>
  </si>
  <si>
    <t>CEKOM Smart City.4DII</t>
  </si>
  <si>
    <t>K622128.008</t>
  </si>
  <si>
    <t>Otpad i Sunce u službi fotokatalitičke razgradnje Mikroonečišćivala u vodama (OS-Mi)</t>
  </si>
  <si>
    <t>Geotehnički fakultet Zagreb</t>
  </si>
  <si>
    <t>A679072.096</t>
  </si>
  <si>
    <t>THEY LIVE Student lives revealed through context-based art practices</t>
  </si>
  <si>
    <t>A679072.097</t>
  </si>
  <si>
    <t>ALGOLITTLE</t>
  </si>
  <si>
    <t>A622125.125</t>
  </si>
  <si>
    <t>Potpora vrhunskim istraživanjima Centra izvrsnosti za napredne materijale i senzore - CEMS</t>
  </si>
  <si>
    <t>A679072.100</t>
  </si>
  <si>
    <t>ORG BIO</t>
  </si>
  <si>
    <t>A679072.101</t>
  </si>
  <si>
    <t>In Math</t>
  </si>
  <si>
    <t>A679072.104</t>
  </si>
  <si>
    <t>Sustainable service - FFRI</t>
  </si>
  <si>
    <t>A679072.105</t>
  </si>
  <si>
    <t>MEHR- Modernity, Education and Human Rights</t>
  </si>
  <si>
    <t>A679072.107</t>
  </si>
  <si>
    <t>SLIHE</t>
  </si>
  <si>
    <t>A679072.108</t>
  </si>
  <si>
    <t>Taec</t>
  </si>
  <si>
    <t>A679072.110</t>
  </si>
  <si>
    <t>AThEME</t>
  </si>
  <si>
    <t>A679072.111</t>
  </si>
  <si>
    <t>E-confidence</t>
  </si>
  <si>
    <t>A679072.114</t>
  </si>
  <si>
    <t>eTMS IRI projekt</t>
  </si>
  <si>
    <t>A679072.115</t>
  </si>
  <si>
    <t>OPK Konkurentnost i kohezija ProtectAS</t>
  </si>
  <si>
    <t>BIOPROCRO BioProspecting Jadranskog mora</t>
  </si>
  <si>
    <t>A679072.116</t>
  </si>
  <si>
    <t>RIVIERA 4SEASONS</t>
  </si>
  <si>
    <t>A679072.119</t>
  </si>
  <si>
    <t>MORZ - Mreže Organizacije Ribara i Znanstvenika</t>
  </si>
  <si>
    <t>A679072.120</t>
  </si>
  <si>
    <t>Jean Monnet - centar izvrsnosti</t>
  </si>
  <si>
    <t>A679072.121</t>
  </si>
  <si>
    <t>IRI-2 ABsistemDCiCloud (korisnik AlarmAutomatika d.o.o.Rijeka)</t>
  </si>
  <si>
    <t>A679072.122</t>
  </si>
  <si>
    <t>IRI-2 Razvoj ekoloških proizvodnih procesa i novih proizvoda visoke kvalitete aktivnostima istraživanja i razvoja (korisnik Feroplast d.o.o.Buje)</t>
  </si>
  <si>
    <t>A679072.123</t>
  </si>
  <si>
    <t>EuroCC</t>
  </si>
  <si>
    <t>A679072.124</t>
  </si>
  <si>
    <t>Arts and Humanities Entrpreneurship Hubs</t>
  </si>
  <si>
    <t>A679072.125</t>
  </si>
  <si>
    <t>Erasmus +Transnational Alignment of English Competences for University Lectures” (TAEC)</t>
  </si>
  <si>
    <t>A679072.126</t>
  </si>
  <si>
    <t>ERASMUS +  Inclusion through CrowdFunding”("InCrowd”)</t>
  </si>
  <si>
    <t>A679072.127</t>
  </si>
  <si>
    <t>ERASMUS + E-laboratory for digital education (LaDiEd)</t>
  </si>
  <si>
    <t>A679078.511</t>
  </si>
  <si>
    <t>RAPTOVAX - Robusne i adaptabilne biološke platforme za nova cjepiva</t>
  </si>
  <si>
    <t>A679072.128</t>
  </si>
  <si>
    <t>INTERREG ADRION EUREKA</t>
  </si>
  <si>
    <t>A679072.129</t>
  </si>
  <si>
    <t>Erazmus partnerske zemlje 2019/2021 - HR01-KA107-060242</t>
  </si>
  <si>
    <t>A679072.130</t>
  </si>
  <si>
    <t>Erazmus partnerske zemlje 2018/2020 - HR01-KA107-046921</t>
  </si>
  <si>
    <t>A679072.131</t>
  </si>
  <si>
    <t>Erazmus 2020 - HR01-KA107-077121</t>
  </si>
  <si>
    <t>A679072.132</t>
  </si>
  <si>
    <t>Erazmus 2019/20 - HR01-KA103-060229</t>
  </si>
  <si>
    <t>A679072.133</t>
  </si>
  <si>
    <t>Erazmus 2020/21 - HR01-KA103-077087</t>
  </si>
  <si>
    <t>A679072.134</t>
  </si>
  <si>
    <t>Zdravstveni opservatorij</t>
  </si>
  <si>
    <t>A679072.135</t>
  </si>
  <si>
    <t>e-škole:  Razvoj sustava digitalno zrelih škola</t>
  </si>
  <si>
    <t>A679072.136</t>
  </si>
  <si>
    <t>ON IT - mrežno pravo u turizmu</t>
  </si>
  <si>
    <t>A679072.137</t>
  </si>
  <si>
    <t>INCOMPEDU - INOVATIVNO NATJECANJE U ONLINE VISOKOM OBRAZOVANJU</t>
  </si>
  <si>
    <t>A679072.138</t>
  </si>
  <si>
    <t>Predgotovljene zgrade gotovo nulte energije proizvedene na industrijski način</t>
  </si>
  <si>
    <t>A679072.139</t>
  </si>
  <si>
    <t>ZACJEL</t>
  </si>
  <si>
    <t>A679072.140</t>
  </si>
  <si>
    <t>PRI-MJER</t>
  </si>
  <si>
    <t>A679072.141</t>
  </si>
  <si>
    <t>Biologija citomegalovirusne infekcije u mozgu tijekom razvoja i u latenciji</t>
  </si>
  <si>
    <t>A679072.142</t>
  </si>
  <si>
    <t>Reprogramiranje IEL -a na crijevnoj epitelnoj barijeri tijekom infekcije virusom</t>
  </si>
  <si>
    <t>A679072.143</t>
  </si>
  <si>
    <t>E-obuka o primjeni obiteljskog zakona EU-a za prekogranične parove kroz tečajeve e-učenja</t>
  </si>
  <si>
    <t>A679072.144</t>
  </si>
  <si>
    <t>EMPLOYS - razumijevanje, vrednovanje i poboljšanje dobrog upravljanja u radnim odnosima sportaša u olimpijskim sportovima u Europi</t>
  </si>
  <si>
    <t>A679072.145</t>
  </si>
  <si>
    <t>Erazmus +  HiPowerEd</t>
  </si>
  <si>
    <t>A679072.146</t>
  </si>
  <si>
    <t>Erazmus 2021 - HR01-KA131-HED-000003063</t>
  </si>
  <si>
    <t>A679072.147</t>
  </si>
  <si>
    <t>Inno4YUFE</t>
  </si>
  <si>
    <t>A679072.148</t>
  </si>
  <si>
    <t>APOLD - Akademsko politehničko društvo</t>
  </si>
  <si>
    <t>A679072.149</t>
  </si>
  <si>
    <t>Flumen</t>
  </si>
  <si>
    <t>A679072.150</t>
  </si>
  <si>
    <t>EnLeMaH - Erazmus +</t>
  </si>
  <si>
    <t>A679072.151</t>
  </si>
  <si>
    <t>Projekt STEM(AJMO!)</t>
  </si>
  <si>
    <t>A679078.520</t>
  </si>
  <si>
    <t xml:space="preserve">PERSPIRE - Potencijal rizosfernog mikrobioma u prilagodbi poljoprivrede klimatskim promjenama </t>
  </si>
  <si>
    <t>Ministarstvo gospodarstva</t>
  </si>
  <si>
    <t>Potencijal rizosfernog mikrobioma u prilagodbi poljoprivrede klimatskim promjenama - PERSPIRE</t>
  </si>
  <si>
    <t>A679072.152</t>
  </si>
  <si>
    <t>ERASMUS + Sustrainable - Obuka za održivost</t>
  </si>
  <si>
    <t>A679072.154</t>
  </si>
  <si>
    <t>IRI-2 Adria Smart Room</t>
  </si>
  <si>
    <t>A679073.001</t>
  </si>
  <si>
    <t>ERASMUS+projekt organizacije studijskog boravka, stručnog osposobljavanja i mobilnosti studenata i zaposlenika Sveučilišta u Dubrovniku</t>
  </si>
  <si>
    <t>A679073.002</t>
  </si>
  <si>
    <t>ERASMUS+ Mobilnost studenata i osoblja unutar programskih zemalja-KA103</t>
  </si>
  <si>
    <t>A679073.003</t>
  </si>
  <si>
    <t>ERASMUS+ mobilnost studenata i osoblja unutar programskih zemalja</t>
  </si>
  <si>
    <t>A679073.004</t>
  </si>
  <si>
    <t>ERASMUS+ mobilnost studenata između programskih i partnerskih zemalja</t>
  </si>
  <si>
    <t>A679073.005</t>
  </si>
  <si>
    <t>ELEGANT - poboljšanje podučavanja, učenja i mogućnosti diplomiranja</t>
  </si>
  <si>
    <t>A679073.006</t>
  </si>
  <si>
    <t>Digitalno poduzetničko obrazovanje kroz virtualni trening</t>
  </si>
  <si>
    <t>K679084.006</t>
  </si>
  <si>
    <t>Qua/Qua Protein: Kvantitativna i kvalitativna analiza proteina za potrebe biomedicine i biotehnološke industrije</t>
  </si>
  <si>
    <t>A679073.010</t>
  </si>
  <si>
    <t>FishAqu - Poboljšanje znanja u održivom upravljanju ribarstvom i akvakulturi u mediteranskoj regiji</t>
  </si>
  <si>
    <t>A679073.011</t>
  </si>
  <si>
    <t>DigIT - izrada standarda zanimanja i standarda kvalifikacija u djelatnostima računarstva</t>
  </si>
  <si>
    <t>A679073.012</t>
  </si>
  <si>
    <t>Start-up Nacija: Hrvatska Tematska mreža za razvoj poduzetništva i samozapošljavanja</t>
  </si>
  <si>
    <t>A679073.013</t>
  </si>
  <si>
    <t>MARLESS -prekogranične mjere podizanja svijesti o morskom otpadu</t>
  </si>
  <si>
    <t>A679073.014</t>
  </si>
  <si>
    <t>Cisto more, pretraživanje, identifikacija i prikupljanje morskog otpada s bespilotnim podvodnim i površinskim plovilima</t>
  </si>
  <si>
    <t>A679073.015</t>
  </si>
  <si>
    <t>Innovamare: Razvoj inovativnih tehnologija za održivost Jadranskog mora</t>
  </si>
  <si>
    <t>A679073.016</t>
  </si>
  <si>
    <t>DATACROSS- napredne metode i tehnologije u znanosti o podatcima i kooperativnim sustavima</t>
  </si>
  <si>
    <t>Razvoj inovativnih formulacija kliničke prehrane</t>
  </si>
  <si>
    <t>A679073.018</t>
  </si>
  <si>
    <t>Izvrsnost i učinkovitost u visokom obrazovanju u polju ekonomije E4</t>
  </si>
  <si>
    <t>A679073.023</t>
  </si>
  <si>
    <t>ESSENCE - usavršavanje vještina za njegovanje konkurentnosti i zapošljavanja</t>
  </si>
  <si>
    <t>A679073.024</t>
  </si>
  <si>
    <t>VIBES -Osnaživanje virtualnih poslovnih vještina</t>
  </si>
  <si>
    <t>A679073.025</t>
  </si>
  <si>
    <t>ESMERALD - Pojačavanje otpornosti malih i srednjih poduzeća nakon zaključavanja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</si>
  <si>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</si>
  <si>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</si>
  <si>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</si>
  <si>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</si>
  <si>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</si>
  <si>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</si>
  <si>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</si>
  <si>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</si>
  <si>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Partnerstvo između znanstvenika i ribara, mjera I.3</t>
  </si>
  <si>
    <t>SVEUČILIŠTE U ZAGREBU - AGRONOMSKI FAKULTET (1923)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</si>
  <si>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</si>
  <si>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</si>
  <si>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</si>
  <si>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</si>
  <si>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SVEUČILIŠTE U ZAGREBU - VETERINARSKI FAKULTET (2022)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</si>
  <si>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</si>
  <si>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</si>
  <si>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</si>
  <si>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</si>
  <si>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SVEUČILIŠTE U ZADRU (23815)</t>
  </si>
  <si>
    <t>A679074.009</t>
  </si>
  <si>
    <t>INTERREG AADRIREEF -Inovativno iskorištavanje jadranskih grebena radi jačanja plave ekonomije</t>
  </si>
  <si>
    <t>A679074.010</t>
  </si>
  <si>
    <t>ERASMUS + LA GUIDE</t>
  </si>
  <si>
    <t>K622128.003</t>
  </si>
  <si>
    <t>Otvorene znanstvene infrastrukturne platforme za inovativne primjene u gospodarstvu i društvu – O-ZIP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</si>
  <si>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</si>
  <si>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</si>
  <si>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</si>
  <si>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</si>
  <si>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</si>
  <si>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</si>
  <si>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A679074.014</t>
  </si>
  <si>
    <t>OPERAS- P H2020-INFRADEV-2018-2020</t>
  </si>
  <si>
    <t>A679074.015</t>
  </si>
  <si>
    <t>BUDI SPREMAN I KOMPETENTAN</t>
  </si>
  <si>
    <t>A679074.016</t>
  </si>
  <si>
    <t>STREAM Interreg Italija Hrvatska</t>
  </si>
  <si>
    <t>A679074.017</t>
  </si>
  <si>
    <t>Interreg Italija Hrvatska ERDF</t>
  </si>
  <si>
    <t>A679074.018</t>
  </si>
  <si>
    <t>VODI ME  Vode Imotske krajine</t>
  </si>
  <si>
    <t>CEKOM3LJ-KK.01.2.2.03.0017</t>
  </si>
  <si>
    <t>Podrška razvoju Centara kompetencije</t>
  </si>
  <si>
    <t>A679074.019</t>
  </si>
  <si>
    <t>TRIPLE  H2020-INFRAEOSC-2018-2020</t>
  </si>
  <si>
    <t>CEKOM3LJ-KK.01.2.2.03.0018</t>
  </si>
  <si>
    <t>A679074.020</t>
  </si>
  <si>
    <t>SHEMA  Proizvodnja hrane u kružnom biog</t>
  </si>
  <si>
    <t>SUPERHRANA - Mikroalgama do inovativnih pekarskih proizvoda i tjestenine FAZA II (IRI 2)-KK.01.2.1.02.0095 202</t>
  </si>
  <si>
    <t>A679074.021</t>
  </si>
  <si>
    <t>2CODE Intrr.  CBC Hrvatska -BIH i  - Crna gora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</si>
  <si>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</si>
  <si>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</si>
  <si>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</si>
  <si>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</si>
  <si>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</si>
  <si>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</si>
  <si>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Ulaganje u razvoj kompozita od prirodnih vlakana i biopolimera društva Kelteks KK.01.2.1.02.0151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</si>
  <si>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</si>
  <si>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</si>
  <si>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</si>
  <si>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</si>
  <si>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IN SILICO procjenom bioaktivnosti mikroalgi do razvoja inovativnih biobaziranih proizvoda KK.01.2.1.02.0015</t>
  </si>
  <si>
    <t>A679075.006</t>
  </si>
  <si>
    <t>INTERREG ARTHUR projekt praćenja i mjerenja kapaciteta noćenja u turističkim destinacijama radi usmjeravanja na manje opterećena turistička područja</t>
  </si>
  <si>
    <t>IN SILICO procjenom bioaktivnosti mikroalgi do razvoja inovativnih biobaziranih proizvoda KK.01.2.1.02.0016</t>
  </si>
  <si>
    <t>A679075.007</t>
  </si>
  <si>
    <t>ERASMUS KA103 Mobilnost studenata i osoblja Sveučilišta u Puli</t>
  </si>
  <si>
    <t>CEDEVITA - ONE - Istraživanje i razvoj obroka za preživljavanje nove generacije KK.01.2.1.02.0090</t>
  </si>
  <si>
    <t>A679075.008</t>
  </si>
  <si>
    <t>ERASMUS KA107 Odlazne i dolazne mobilnosti studenata i osoblja Sveučilišta u Puli</t>
  </si>
  <si>
    <t>CEDEVITA - ONE - Istraživanje i razvoj obroka za preživljavanje nove generacije KK.01.2.1.02.0091</t>
  </si>
  <si>
    <t>A679075.009</t>
  </si>
  <si>
    <t>ERASMUS+ KA2 - razvoj kapaciteta WILLIAM</t>
  </si>
  <si>
    <t>CEDEVITA - ONE - Istraživanje i razvoj obroka za preživljavanje nove generacije KK.01.2.1.02.0092</t>
  </si>
  <si>
    <t>A679075.010</t>
  </si>
  <si>
    <t>ERASMUS KA2 - DYNAMIC</t>
  </si>
  <si>
    <t>CEDEVITA - ONE - Istraživanje i razvoj obroka za preživljavanje nove generacije KK.01.2.1.02.0093</t>
  </si>
  <si>
    <t>A679075.011</t>
  </si>
  <si>
    <t>ERASMUS + KA103 Broj: 2020-1-HR01-KA103-077157 - Mobilnost studenata i osoblja Sveučilišta u Puli</t>
  </si>
  <si>
    <t>LABENA - Razvoj testa na osnovi nukleinskih kiselina za identifikaciju vrsta koje ukazuju na kvalitete vode KK.01.2.1.02.0335</t>
  </si>
  <si>
    <t>A679075.012</t>
  </si>
  <si>
    <t>ERASMUS + KA107 Broj: 2020-1-HR01-KA107-077587 - Odlazne i dolazne mobilnosti studenata i osoblja Sveučilišta u Puli</t>
  </si>
  <si>
    <t>LABENA - Razvoj testa na osnovi nukleinskih kiselina za identifikaciju vrsta koje ukazuju na kvalitete vode KK.01.2.1.02.0336</t>
  </si>
  <si>
    <t>A679075.013</t>
  </si>
  <si>
    <t>ERASMUS + KA202 broj: 2019-1-HR01-KA202-061006 - strukovno obrazovanje i osposobljavanje</t>
  </si>
  <si>
    <t>LABENA - Razvoj testa na osnovi nukleinskih kiselina za identifikaciju vrsta koje ukazuju na kvalitete vode KK.01.2.1.02.0337</t>
  </si>
  <si>
    <t>A679075.014</t>
  </si>
  <si>
    <t>Projekt "IN DIV EU"</t>
  </si>
  <si>
    <t>LABENA - Razvoj testa na osnovi nukleinskih kiselina za identifikaciju vrsta koje ukazuju na kvalitete vode KK.01.2.1.02.0338</t>
  </si>
  <si>
    <t>A679075.016</t>
  </si>
  <si>
    <t>Partnerstvo između znanstvenika I ribara</t>
  </si>
  <si>
    <t>Primjena umjetne inteligencije u naprednim prediktivnim tehnologijama on-line nadzora kvalitete vode IRI2 KK.01.2.1.02.0242</t>
  </si>
  <si>
    <t>A679075.017</t>
  </si>
  <si>
    <t>EU projekt - DA SPACE</t>
  </si>
  <si>
    <t>A679075.018</t>
  </si>
  <si>
    <t>Projekt IN DIV E</t>
  </si>
  <si>
    <t>A679075.019</t>
  </si>
  <si>
    <t>HKO FET</t>
  </si>
  <si>
    <t>A622125.134</t>
  </si>
  <si>
    <t>Razvoj funkcionalnog pića u održivoj ambalaži JamINNO+ KK.01.2.1.02.0305</t>
  </si>
  <si>
    <t>A679075.020</t>
  </si>
  <si>
    <t>A679075.021</t>
  </si>
  <si>
    <t>EU projekt  DA SPACE</t>
  </si>
  <si>
    <t>A679078.525</t>
  </si>
  <si>
    <t>Znanost spaja ljude UP.04.2.1.06.0014</t>
  </si>
  <si>
    <t>Tematske mreže za društveno-ekonomski razvoj te promicanje socijalnog dijaloga u kontekstu unapređivanja uvjeta rada</t>
  </si>
  <si>
    <t>A679075.022</t>
  </si>
  <si>
    <t>HKO-izvrsnost i učinkovitost na razini visokog obrazovanja</t>
  </si>
  <si>
    <t>A679075.023</t>
  </si>
  <si>
    <t>Integrirani sustav uzgoja alternativnih vrsta školjkaša u uvjetima klimatskih promjena</t>
  </si>
  <si>
    <t>A679075.024</t>
  </si>
  <si>
    <t>KLIK Pula-centar za kompetentno cjeloživotno razvijanje inovativnih znanja i vještina u sektoru ugostiteljstva i turizma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</si>
  <si>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</si>
  <si>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</si>
  <si>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</si>
  <si>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</si>
  <si>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</si>
  <si>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</si>
  <si>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A679076.004</t>
  </si>
  <si>
    <t>LIFE LYNX 16/NAT/SI/000634</t>
  </si>
  <si>
    <t>A679076.005</t>
  </si>
  <si>
    <t>Erasmus+</t>
  </si>
  <si>
    <t>A679076.006</t>
  </si>
  <si>
    <t>Milk-ed</t>
  </si>
  <si>
    <t>A679076.007</t>
  </si>
  <si>
    <t>EDUAGRNTERREG V-A HUNGARYI, I</t>
  </si>
  <si>
    <t>A679076.008</t>
  </si>
  <si>
    <t>Odčepljivanje ruralnog naslijeđa: autohtona proizvodnja fermentiranih pića za lokalnu kulturnu i okolišnu održivost, 2018-1-0682</t>
  </si>
  <si>
    <t>A679076.011</t>
  </si>
  <si>
    <t>Snaga vještina</t>
  </si>
  <si>
    <t>A679076.012</t>
  </si>
  <si>
    <t>Bespilotne letjelice</t>
  </si>
  <si>
    <t>A679076.014</t>
  </si>
  <si>
    <t>Measures</t>
  </si>
  <si>
    <t>A679076.017</t>
  </si>
  <si>
    <t>Razvoj uređaja sa potopljenim isparivačem</t>
  </si>
  <si>
    <t>A679076.024</t>
  </si>
  <si>
    <t>Rekonstrukcija zgrade oružane za centar kompetencija</t>
  </si>
  <si>
    <t>A679076.025</t>
  </si>
  <si>
    <t>Uncorking rural heritahege - autohtona proizvodnja fermentiranih pića radi lokalne kulturne i ekološke održivosti</t>
  </si>
  <si>
    <t>A679076.027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</si>
  <si>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</si>
  <si>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</si>
  <si>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</si>
  <si>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</si>
  <si>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A679077.003</t>
  </si>
  <si>
    <t>INTERREG MEDITERAN projekt unaprjeđenja turističkog znanja za oblikovanje i vođenje održivog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</si>
  <si>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</si>
  <si>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</si>
  <si>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</si>
  <si>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</si>
  <si>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</si>
  <si>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</si>
  <si>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</si>
  <si>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</si>
  <si>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</si>
  <si>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</si>
  <si>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</si>
  <si>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</si>
  <si>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</si>
  <si>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</si>
  <si>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</si>
  <si>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</si>
  <si>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</si>
  <si>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</si>
  <si>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</si>
  <si>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</si>
  <si>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</si>
  <si>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</si>
  <si>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</si>
  <si>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</si>
  <si>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A679077.019</t>
  </si>
  <si>
    <t>ERASMUS+ BESTSDI Izrada kurikula na temu infrastrukture prostornih podataka u zemljama Zapadnog Balkana</t>
  </si>
  <si>
    <t>A679077.022</t>
  </si>
  <si>
    <t>ERASMUS+ CAPUS Očuvanje umjetnosti u javnim prostorima</t>
  </si>
  <si>
    <t>A679077.024</t>
  </si>
  <si>
    <t>ERASMUS+ CABUFAL Izgradnja kapaciteta Pravnog fakulteta Crne Gore u procesu pristupanja EU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</si>
  <si>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</si>
  <si>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</si>
  <si>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</si>
  <si>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</si>
  <si>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</si>
  <si>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</si>
  <si>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</si>
  <si>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</si>
  <si>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</si>
  <si>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A679077.035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</si>
  <si>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</si>
  <si>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</si>
  <si>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</si>
  <si>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</si>
  <si>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</si>
  <si>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</si>
  <si>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</si>
  <si>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</si>
  <si>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</si>
  <si>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</si>
  <si>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</si>
  <si>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</si>
  <si>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</si>
  <si>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</si>
  <si>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</si>
  <si>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</si>
  <si>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</si>
  <si>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</si>
  <si>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</si>
  <si>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</si>
  <si>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</si>
  <si>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</si>
  <si>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</si>
  <si>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</si>
  <si>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</si>
  <si>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</si>
  <si>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</si>
  <si>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</si>
  <si>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</si>
  <si>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</si>
  <si>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</si>
  <si>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</si>
  <si>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</si>
  <si>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</si>
  <si>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</si>
  <si>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</si>
  <si>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</si>
  <si>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</si>
  <si>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</si>
  <si>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</si>
  <si>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</si>
  <si>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</si>
  <si>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</si>
  <si>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</si>
  <si>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</si>
  <si>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</si>
  <si>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</si>
  <si>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</si>
  <si>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</si>
  <si>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</si>
  <si>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</si>
  <si>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</si>
  <si>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</si>
  <si>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</si>
  <si>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</si>
  <si>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</si>
  <si>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</si>
  <si>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</si>
  <si>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</si>
  <si>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</si>
  <si>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</si>
  <si>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A679077.068</t>
  </si>
  <si>
    <t>Pametni kulturni turizam kao pokretač održivog razvoja europskih regija</t>
  </si>
  <si>
    <t>A679077.069</t>
  </si>
  <si>
    <t>CAAT</t>
  </si>
  <si>
    <t>A679077.070</t>
  </si>
  <si>
    <t>EUROCC -Nacionalni centri za kompetencije u okviru, Obzor 2020</t>
  </si>
  <si>
    <t>A679077.071</t>
  </si>
  <si>
    <t>RCK</t>
  </si>
  <si>
    <t>A679077.072</t>
  </si>
  <si>
    <t>IRA1 - CEKOM: Razvoj inovativnih kompozitnih struktura za zvučnu izolaciju</t>
  </si>
  <si>
    <t>A679077.073</t>
  </si>
  <si>
    <t>IRA2-CEKOM: Razvoj napredne integralne numeričke procedure</t>
  </si>
  <si>
    <t>A679077.074</t>
  </si>
  <si>
    <t>IRA 3-CEKOM: Inovativno rješenje vodomlaznog propulzora </t>
  </si>
  <si>
    <t>A679077.075</t>
  </si>
  <si>
    <t>IRA5 CEKOM : Razvoj LNG sustava za brodove pogonjene motorima na dvojno gorivo (FO/LNG) </t>
  </si>
  <si>
    <t>A679077.076</t>
  </si>
  <si>
    <t>IRA 7-CEKOM: Razvoj LNG spremnika za plovne objekte za skladištenje i regasifikaciju LNG-a </t>
  </si>
  <si>
    <t>A679077.077</t>
  </si>
  <si>
    <t>IRA 8-CEKOM: Razvoj novih konstrukcijskih i tehnoloških rješenja natpalubnih konstrukcija i elemenata od aluminijevih legura </t>
  </si>
  <si>
    <t>A679077.078</t>
  </si>
  <si>
    <t>IRA 10-CEKOM: Razvoj inovativnog pristupa u procesu opremanja broda putem proširene stvarnosti </t>
  </si>
  <si>
    <t>A679077.079</t>
  </si>
  <si>
    <t>IRA 11-CEKOM: Razvoj uređaja za praćenje rada brodskog motora analizom akustičnog signala </t>
  </si>
  <si>
    <t>A679077.080</t>
  </si>
  <si>
    <t>IRA 12-CEKOM: Razvoj plutajuće platforme od umjetno zamrznute vode na zračnim komorama </t>
  </si>
  <si>
    <t>A679077.081</t>
  </si>
  <si>
    <t>IRA 15-CEKOM: Razvoj paketa palubne opreme specijalnih brodova različitih namjena za uzgajališta ribe </t>
  </si>
  <si>
    <t>A679077.082</t>
  </si>
  <si>
    <t>IRA 16-CEKOM: Brodski pritezni sustavi namijenjeni pozicioniranju plovnih objekata</t>
  </si>
  <si>
    <t>A679077.083</t>
  </si>
  <si>
    <t>VODIME - Vode Imotske krajine</t>
  </si>
  <si>
    <t>A679077.084</t>
  </si>
  <si>
    <t>CEKOM, Razvoj centara kompetencija</t>
  </si>
  <si>
    <t>A679077.085</t>
  </si>
  <si>
    <t>WRECKS4ALL: jačanje i diverzifikacija turističke ponude na Jadranu</t>
  </si>
  <si>
    <t>A679077.086</t>
  </si>
  <si>
    <t>Europska akademija za poslovno i financijsko pravo</t>
  </si>
  <si>
    <t>A679077.088</t>
  </si>
  <si>
    <t>Ispitni sloj sljedeće generacije za nadogradnju mikrofluidnih uređaja na bazi nano omogućenih površina i membrana</t>
  </si>
  <si>
    <t>A679077.089</t>
  </si>
  <si>
    <t>MareMathics- Inovativni pristup u matematičkom obrazovanju za studente pomorstva</t>
  </si>
  <si>
    <t>A679077.090</t>
  </si>
  <si>
    <t>Bio zaštitne kulture i bioaktivni ekstrakti kao održive kombinirane strategije za poboljšanje roka trajanja kvarljive mediteranske hrane (BioProMedFood)</t>
  </si>
  <si>
    <t>A679077.091</t>
  </si>
  <si>
    <t>Jačanje održivih akcija, otpornosti, suradnje i usklađivanja širom i od strane Saveza SEA-EU</t>
  </si>
  <si>
    <t>A679077.092</t>
  </si>
  <si>
    <t>Dalje od akademske zajednice: širenje horizonta karijere doktoranda u pomorskim i pomorskim znanostima u Europi</t>
  </si>
  <si>
    <t>A679077.093</t>
  </si>
  <si>
    <t>Korištenje energije i zeleni javni prijevoz u budućim pametnim gradovima: Inovativni program podučavanja za studente, dionike i poduzetnike</t>
  </si>
  <si>
    <t>A679077.094</t>
  </si>
  <si>
    <t>ITSHEC- Integracija transverzalnih vještina u visoko obrazovanje i kurikulum zdravstvene i socijalne skrbi</t>
  </si>
  <si>
    <t>A679077.095</t>
  </si>
  <si>
    <t>INQUAPH- Inovativni alati za ocjenu kvalitete za studije farmacije u Bosni i Hercegovini</t>
  </si>
  <si>
    <t>A679077.096</t>
  </si>
  <si>
    <t>EPISECC- Uspostaviti paneuropski informacijski prostor za poboljšanje sigurnosti građana</t>
  </si>
  <si>
    <t>A679077.097</t>
  </si>
  <si>
    <t>Metode u istraživanju istraživanja MiRoR</t>
  </si>
  <si>
    <t>A679077.098</t>
  </si>
  <si>
    <t>A679077.099</t>
  </si>
  <si>
    <t>A679077.101</t>
  </si>
  <si>
    <t>AUTORE - Automotive derivative energy system</t>
  </si>
  <si>
    <t>A679077.103</t>
  </si>
  <si>
    <t>Erasmus+ mobilnost nastavnog i nenastavnog osblja u natječajnoj godini 2019</t>
  </si>
  <si>
    <t>A679077.105</t>
  </si>
  <si>
    <t>COST - NEW FRONTIERS OF PEER REVIEW</t>
  </si>
  <si>
    <t>A679077.106</t>
  </si>
  <si>
    <t>MLE - EUROPSKA KOMISIJA - GOVERMENTAL EXPERTS</t>
  </si>
  <si>
    <t>A679077.107</t>
  </si>
  <si>
    <t>Projekt Horizon 2020-FF IPM "In-silico boosted, pest prevention and off-season focused IPM against new and emerging fruit flies ('OFF-Season' FF- IPM)"</t>
  </si>
  <si>
    <t>A679077.108</t>
  </si>
  <si>
    <t>Projekt Potential for Using SIT, Mating Disruption and Other IPM Tools to Eradicate Box Tree Moth Incursions in the U.S.</t>
  </si>
  <si>
    <t>A679077.109</t>
  </si>
  <si>
    <t>Erasmus Plus Ka103 2020</t>
  </si>
  <si>
    <t>A679077.110</t>
  </si>
  <si>
    <t>Erasmus Mundus SUNBEAM -  Structured UNiversity mobility between the Balkans and Europe for the Adriatic-ionian Macro-region</t>
  </si>
  <si>
    <t>A679077.111</t>
  </si>
  <si>
    <t>Projekt Horizon 2020-Nextgen Microfluidics    "Next generation test bed for upscaling of microfluidic devices based on nano-enabled surfaces and membranes"</t>
  </si>
  <si>
    <t>A679077.112</t>
  </si>
  <si>
    <t>SI4CARE-  Socijalne inovacije za integriranu zdravstvenu njegu starijeg stanovništva u ADRION regijama</t>
  </si>
  <si>
    <t>A679077.113</t>
  </si>
  <si>
    <t>FirEURisk-holistička strategija za upravljenje požarima raslinja na području Europe</t>
  </si>
  <si>
    <t>A679077.114</t>
  </si>
  <si>
    <t>COST Action TU1208-znanstveno-tehnološka primjena radara za prodiranje u tlo u građevinarstvu</t>
  </si>
  <si>
    <t>A679077.115</t>
  </si>
  <si>
    <t>Razvoj putničkog jedrenjaka s nultom emisijom ispušnih plinova</t>
  </si>
  <si>
    <t>A679077.116</t>
  </si>
  <si>
    <t>Sustav za uspostavu stabilne elektro-distribucijske mreže (GRIDS)</t>
  </si>
  <si>
    <t>A679077.117</t>
  </si>
  <si>
    <t>CHIC</t>
  </si>
  <si>
    <t>A679077.118</t>
  </si>
  <si>
    <t>FAIR - automatsko institucionalno priznavanje</t>
  </si>
  <si>
    <t>A679077.119</t>
  </si>
  <si>
    <t>IRI - povećanje razvoja novih proizvoda i usluga (lijepljeni lamelirani nosači od tvrdog drveta)</t>
  </si>
  <si>
    <t>A679077.120</t>
  </si>
  <si>
    <t>PINNA NOBILIS SSMA</t>
  </si>
  <si>
    <t>A679077.121</t>
  </si>
  <si>
    <t>Erasmus+ KA131 2021</t>
  </si>
  <si>
    <t>A679077.122</t>
  </si>
  <si>
    <t>IRI Perm Beton-sustav odvodnje na horizontalnim površinama od propusnog betona</t>
  </si>
  <si>
    <t>A679077.123</t>
  </si>
  <si>
    <t>BEAGLE - bioetičko i vrijednosno obrazovanje</t>
  </si>
  <si>
    <t>A679077.124</t>
  </si>
  <si>
    <t>Commix - jačanje pismenosti kod adolescenata kroz kreativno korištenje stripova</t>
  </si>
  <si>
    <t>A679077.125</t>
  </si>
  <si>
    <t>TaSDi-PBS - rješavanje pitanja vladanja u školi kroz podršku poželjnim oblicima ponašanja</t>
  </si>
  <si>
    <t>A679077.127</t>
  </si>
  <si>
    <t>INTERIV - internacionalizacija studijskih programa morskog ribarstva i vojnog pomorstva</t>
  </si>
  <si>
    <t>A679077.128</t>
  </si>
  <si>
    <t>EICP (Evidence Implemantation in Clinical Practice) - medicina temeljena na dokazima</t>
  </si>
  <si>
    <t>A679077.129</t>
  </si>
  <si>
    <t>ZCIPM - Znanstveni centar izvrsnosti za personaliziranu medicinu</t>
  </si>
  <si>
    <t>A679077.130</t>
  </si>
  <si>
    <t>CEKOM - centar kompetencija u molekularnoj dijagnostici</t>
  </si>
  <si>
    <t>A679077.131</t>
  </si>
  <si>
    <t>SI4CARE - Socijalna inovacija za sveobuhvatnu zdravstvenu zaštitu starije populacije u regiji</t>
  </si>
  <si>
    <t>A679077.132</t>
  </si>
  <si>
    <t>MADE - Mobile Access Dental Clinic</t>
  </si>
  <si>
    <t>A679077.133</t>
  </si>
  <si>
    <t>FIZIODENT</t>
  </si>
  <si>
    <t>A679077.134</t>
  </si>
  <si>
    <t>KOSIR OBO - primjenjivost novih tehnologija za oporabu biljnog otpada</t>
  </si>
  <si>
    <t>A679077.135</t>
  </si>
  <si>
    <t>Unaprjeđenje kvalitete studiranja na pravnim fakultetima u RH</t>
  </si>
  <si>
    <t>A679077.136</t>
  </si>
  <si>
    <t>BOWI - poticanje digitalnih inovacija</t>
  </si>
  <si>
    <t>A679077.137</t>
  </si>
  <si>
    <t>Forenzička identifikacija ljudskih ostataka analizom MSCT snimaka CTforID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</si>
  <si>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</si>
  <si>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</si>
  <si>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</si>
  <si>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</si>
  <si>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</si>
  <si>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</si>
  <si>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</si>
  <si>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</si>
  <si>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A679078.005</t>
  </si>
  <si>
    <t>ADRIATIC  Unaprjeđenje sposobnosti interakcije ronilac-robot</t>
  </si>
  <si>
    <t>A679078.006</t>
  </si>
  <si>
    <t>Napredni ručni detektori metala s mogućnošću diskriminacije oblika mete za uporabu u humanitarnom razminiranju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</si>
  <si>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</si>
  <si>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</si>
  <si>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</si>
  <si>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</si>
  <si>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</si>
  <si>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</si>
  <si>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</si>
  <si>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</si>
  <si>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</si>
  <si>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</si>
  <si>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</si>
  <si>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</si>
  <si>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</si>
  <si>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</si>
  <si>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</si>
  <si>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</si>
  <si>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</si>
  <si>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</si>
  <si>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</si>
  <si>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</si>
  <si>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</si>
  <si>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</si>
  <si>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</si>
  <si>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</si>
  <si>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</si>
  <si>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</si>
  <si>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A679078.024</t>
  </si>
  <si>
    <t>ERASMUS+ projekt mobilnosti i aktivnosti studenata kroz istraživanja u inozemstvu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</si>
  <si>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</si>
  <si>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</si>
  <si>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</si>
  <si>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</si>
  <si>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</si>
  <si>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</si>
  <si>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</si>
  <si>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</si>
  <si>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</si>
  <si>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</si>
  <si>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</si>
  <si>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</si>
  <si>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</si>
  <si>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</si>
  <si>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</si>
  <si>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</si>
  <si>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A679078.044</t>
  </si>
  <si>
    <t>EXERTER Mreža pan-europskih stručnjaka za sigurnost eksploziva</t>
  </si>
  <si>
    <t>A679078.048</t>
  </si>
  <si>
    <t>ERASMUS+  Razvijanje pismenosti i usvajanje jezika obrazovanja kod djece u nepovoljnom položaju (manjine, migranti i ostale skupine)</t>
  </si>
  <si>
    <t>A679078.050</t>
  </si>
  <si>
    <t>H2020 DOIT Poduzetničke vještine mladih socijalnih inovatora u otvorenom digitalnom svijetu</t>
  </si>
  <si>
    <t>A679078.052</t>
  </si>
  <si>
    <t>Digital Traceablity Chain for AC Voltage and Current omogućit će dinamičko mjerenje strujnih i naponskih valnih oblika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</si>
  <si>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</si>
  <si>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</si>
  <si>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</si>
  <si>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</si>
  <si>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</si>
  <si>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</si>
  <si>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</si>
  <si>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</si>
  <si>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</si>
  <si>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</si>
  <si>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</si>
  <si>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</si>
  <si>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</si>
  <si>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</si>
  <si>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A679078.069</t>
  </si>
  <si>
    <t>RADAR (Procjena rizika na cestama područja Dunava)</t>
  </si>
  <si>
    <t>A679078.070</t>
  </si>
  <si>
    <t>ERASMUS+  LOG-IN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</si>
  <si>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</si>
  <si>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</si>
  <si>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</si>
  <si>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</si>
  <si>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</si>
  <si>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</si>
  <si>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</si>
  <si>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</si>
  <si>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</si>
  <si>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</si>
  <si>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</si>
  <si>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</si>
  <si>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</si>
  <si>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</si>
  <si>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</si>
  <si>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</si>
  <si>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</si>
  <si>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</si>
  <si>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</si>
  <si>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</si>
  <si>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</si>
  <si>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</si>
  <si>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</si>
  <si>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</si>
  <si>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</si>
  <si>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</si>
  <si>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</si>
  <si>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</si>
  <si>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</si>
  <si>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</si>
  <si>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</si>
  <si>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</si>
  <si>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</si>
  <si>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</si>
  <si>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</si>
  <si>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</si>
  <si>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A679078.093</t>
  </si>
  <si>
    <t>CEPIL</t>
  </si>
  <si>
    <t>A679078.094</t>
  </si>
  <si>
    <t>CROSSJUSTICE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</si>
  <si>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</si>
  <si>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</si>
  <si>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</si>
  <si>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</si>
  <si>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</si>
  <si>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</si>
  <si>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</si>
  <si>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</si>
  <si>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</si>
  <si>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</si>
  <si>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</si>
  <si>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</si>
  <si>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</si>
  <si>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</si>
  <si>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</si>
  <si>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</si>
  <si>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</si>
  <si>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</si>
  <si>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</si>
  <si>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</si>
  <si>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</si>
  <si>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</si>
  <si>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</si>
  <si>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</si>
  <si>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</si>
  <si>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</si>
  <si>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</si>
  <si>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</si>
  <si>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</si>
  <si>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</si>
  <si>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</si>
  <si>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</si>
  <si>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</si>
  <si>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</si>
  <si>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</si>
  <si>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</si>
  <si>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</si>
  <si>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</si>
  <si>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</si>
  <si>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</si>
  <si>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</si>
  <si>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</si>
  <si>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A679078.120</t>
  </si>
  <si>
    <t>FOCUS -Prisilna raseljavanja i solidarnost zajednice domaćina prema izbjeglica</t>
  </si>
  <si>
    <t>A679078.122</t>
  </si>
  <si>
    <t>SMART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</si>
  <si>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</si>
  <si>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</si>
  <si>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</si>
  <si>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</si>
  <si>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</si>
  <si>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</si>
  <si>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</si>
  <si>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</si>
  <si>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</si>
  <si>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</si>
  <si>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</si>
  <si>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</si>
  <si>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</si>
  <si>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</si>
  <si>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</si>
  <si>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</si>
  <si>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</si>
  <si>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</si>
  <si>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</si>
  <si>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</si>
  <si>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</si>
  <si>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</si>
  <si>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A679078.137</t>
  </si>
  <si>
    <t>EFRR - IRI DFDM - Istraživanje i razvoj sustava za prepoznavanje umora i distrakcije vozača</t>
  </si>
  <si>
    <t>A679078.139</t>
  </si>
  <si>
    <t>EFRR - IRI HSG - Helm Smart Grid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</si>
  <si>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</si>
  <si>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</si>
  <si>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</si>
  <si>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</si>
  <si>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A679078.144</t>
  </si>
  <si>
    <t>EFRR - IRI Omega GS - Razvoj  LED rasvjete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</si>
  <si>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</si>
  <si>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</si>
  <si>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</si>
  <si>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</si>
  <si>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</si>
  <si>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</si>
  <si>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</si>
  <si>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</si>
  <si>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</si>
  <si>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</si>
  <si>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</si>
  <si>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</si>
  <si>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</si>
  <si>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</si>
  <si>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A679078.156</t>
  </si>
  <si>
    <t>STEM revolucija u zajednici</t>
  </si>
  <si>
    <t>A679078.163</t>
  </si>
  <si>
    <t>ERASMUS+projekt FitBack</t>
  </si>
  <si>
    <t>A679078.186</t>
  </si>
  <si>
    <t>IRI CEKOM</t>
  </si>
  <si>
    <t>A679078.187</t>
  </si>
  <si>
    <t>ORKAN</t>
  </si>
  <si>
    <t>A679078.188</t>
  </si>
  <si>
    <t>ERASMUS + EDUBOTS</t>
  </si>
  <si>
    <t>A679078.189</t>
  </si>
  <si>
    <t>ERASMUS + E-DigiLit</t>
  </si>
  <si>
    <t>A679078.191</t>
  </si>
  <si>
    <t>RAST</t>
  </si>
  <si>
    <t>A679078.192</t>
  </si>
  <si>
    <t>LOMI</t>
  </si>
  <si>
    <t>A679078.193</t>
  </si>
  <si>
    <t>IC4HEDS</t>
  </si>
  <si>
    <t>A679078.194</t>
  </si>
  <si>
    <t>Hibridne metoda umjetne inteligencije za računalne igre</t>
  </si>
  <si>
    <t>A679078.195</t>
  </si>
  <si>
    <t>ERASMUS + TEACH4EDU4</t>
  </si>
  <si>
    <t>A679078.197</t>
  </si>
  <si>
    <t>ERASMUS+ WeRln - Žene poduzetetnice u regionalnim uključivim ekosustavima</t>
  </si>
  <si>
    <t>A679078.198</t>
  </si>
  <si>
    <t>LIFE 18 NAT/HR/00847- Dinara povratak životu</t>
  </si>
  <si>
    <t>A679078.199</t>
  </si>
  <si>
    <t>H2020-Swafs</t>
  </si>
  <si>
    <t>A679078.200</t>
  </si>
  <si>
    <t>H2020- upravljanje poljoprivrednom hranom</t>
  </si>
  <si>
    <t>A679078.203</t>
  </si>
  <si>
    <t>Centar pametnih urbanih i ruralnih prostora - Inovativna urbanistička i arhitektonska rješenja za povećanje energetske učinkovitosti u tradicijskim i zaštičenim cjelinama</t>
  </si>
  <si>
    <t>A679078.204</t>
  </si>
  <si>
    <t>Razvoj dvostruke fasade s hermetički zatvorenom šupljinom (H-CCF)</t>
  </si>
  <si>
    <t>A679078.206</t>
  </si>
  <si>
    <t>ERASMUS+KA2 Startup obrazovanje i podrška studentima doktorskih studija, istraživačima i znanstvenicima</t>
  </si>
  <si>
    <t>A679078.207</t>
  </si>
  <si>
    <t>ERASMUS+KA2 - Strateška partnerstva Geo3N</t>
  </si>
  <si>
    <t>A679078.208</t>
  </si>
  <si>
    <t>ERASMUS+KA2 - Strateška partnerstva SmartSoc</t>
  </si>
  <si>
    <t>A679078.209</t>
  </si>
  <si>
    <t>ERASMUS+KA2 - Strateška partnerstva ASKNOW</t>
  </si>
  <si>
    <t>A679078.210</t>
  </si>
  <si>
    <t>ERASMUS+KA2 - Strateška partnerstva INNOSID</t>
  </si>
  <si>
    <t>A679078.211</t>
  </si>
  <si>
    <t>ERASMUS+KA2 - Strateška partnerstva IMPACT - Inteligentni Pomorski Sustavi - put prema održivom obrazovanju, znanju i osnaživanju</t>
  </si>
  <si>
    <t>A679078.212</t>
  </si>
  <si>
    <t>ERASMUS + KA2 - Strateška partnerstva RoboGirls Osnaživanje djevojaka u STEAM-u kroz robotiku i kodiranje</t>
  </si>
  <si>
    <t>A679078.213</t>
  </si>
  <si>
    <t>H2020-WIDESPREAD-2018-2020  Katedra za umjetnu inteligenciju za robotiku</t>
  </si>
  <si>
    <t>A679078.214</t>
  </si>
  <si>
    <t>H2020 - ICT AERIAL-CORE - Kognitivni integrirani višenamjenski robotski sustav s proširenim opsegom rada i sigurnošću</t>
  </si>
  <si>
    <t>A679078.215</t>
  </si>
  <si>
    <t>H2020 - NMBP - ENCORE - BIM Cloud platforma svjesna energije, u ekonomičnom kontekstu renoviranja zgrada</t>
  </si>
  <si>
    <t>A679078.216</t>
  </si>
  <si>
    <t>H2020 - JTI-EuroHPC - MEEP - Eksperimentalna platforma</t>
  </si>
  <si>
    <t>A679078.217</t>
  </si>
  <si>
    <t>H2020 - LC-SC3 FLEXIGRID - Interoperabilna rješenja za holističku implementaciju usluga fleksibilnosti u distribucijskoj mreži</t>
  </si>
  <si>
    <t>A679078.218</t>
  </si>
  <si>
    <t>H2020 - SC5 REWAISE Elastična inovacija vode za pametnu ekonomiju</t>
  </si>
  <si>
    <t>A679078.219</t>
  </si>
  <si>
    <t>A679078.220</t>
  </si>
  <si>
    <t>H2020 – WIDESPREAD – Twinning AeRoTwin - Twinning koordinacijska akcija za širenje izvrsnosti i sudjelovanja u zračnoj robotici – AeRoTwin</t>
  </si>
  <si>
    <t>A679078.221</t>
  </si>
  <si>
    <t>H2020 - LCE - SGS CROSSBOW - CROSS BOARD Upravljanje promjenjivim obnovljivim izvorima energije i jedinicama za skladištenje omogućujući transnacionalno veletržnicu</t>
  </si>
  <si>
    <t>A679078.223</t>
  </si>
  <si>
    <t>H2020 - LC-SC3 FARCROSS Omogućavanje regionalne trgovine/razmjene električne energije kroz inovacije</t>
  </si>
  <si>
    <t>A679078.224</t>
  </si>
  <si>
    <t>ANETREC (611487-EPP-1-2019-1-SI-EPPJMO-NETWORK)</t>
  </si>
  <si>
    <t>A679078.225</t>
  </si>
  <si>
    <t>DEBATING EUROPE (620428-EPP-1-2020-1-DE-EPPJMO-NETWORK)</t>
  </si>
  <si>
    <t>A679078.226</t>
  </si>
  <si>
    <t>MEDIADELCOM</t>
  </si>
  <si>
    <t>A679078.227</t>
  </si>
  <si>
    <t>SESAR AISA - automatizaciju u upravljanju zračnim prometom</t>
  </si>
  <si>
    <t>A679078.228</t>
  </si>
  <si>
    <t>SESAR FMP MET - sektorska aplikacija s konvektivnim vremenskim informacijama za više izvora za položaj upravljanja protokom</t>
  </si>
  <si>
    <t>A679078.229</t>
  </si>
  <si>
    <t>SumBoost 2020 RIS Inovacija</t>
  </si>
  <si>
    <t>A679078.230</t>
  </si>
  <si>
    <t>MetForTC - Sljedive mjerne mogućnosti za praćenje rada termoparova</t>
  </si>
  <si>
    <t>A679078.231</t>
  </si>
  <si>
    <t>SEADRION - Poticanje širenja tehnologija grijanja i hlađenja pomoću pumpe morske vode u jadransko-jonskoj regiji</t>
  </si>
  <si>
    <t>A679078.232</t>
  </si>
  <si>
    <t>BLUE DEAL -  plava energija u mediteranskim obalnim područjima</t>
  </si>
  <si>
    <t>A679078.233</t>
  </si>
  <si>
    <t>REWARDHEAT- Uporaba topline iz obnovljivih izvora i otpada za konkurentne mreže daljinskog grijanja i hlađenja</t>
  </si>
  <si>
    <t>A679078.234</t>
  </si>
  <si>
    <t>SEEETD-Dijalog o tranziciji energije u jugoistočnoj Europi</t>
  </si>
  <si>
    <t>A679078.235</t>
  </si>
  <si>
    <t>SEAVIEWS- Sektorski prilagodljivi virtualni sustav ranog upozoravanja na zagađenje mora</t>
  </si>
  <si>
    <t>A679078.236</t>
  </si>
  <si>
    <t>ProbeTrace - Sljedivost za mjerenje kontaktnih sondi i olovnih instrumenata</t>
  </si>
  <si>
    <t>A679078.237</t>
  </si>
  <si>
    <t>Osiguranje električne energije u slučaju klimatskih ekstrema i prirodnih katastrofa</t>
  </si>
  <si>
    <t>A679078.238</t>
  </si>
  <si>
    <t>NRLE - Nacionalni referentni laboratorij za emisije iz motora s unutarnjim izgaranjem za necestovne pokretne strojeve</t>
  </si>
  <si>
    <t>A679078.239</t>
  </si>
  <si>
    <t>Regionalni centar kompetentnosti u strukovnom obrazovanju u strojarstvu-Industrija 4.0</t>
  </si>
  <si>
    <t>A679078.241</t>
  </si>
  <si>
    <t>RCK Ruđera Boškovića</t>
  </si>
  <si>
    <t>A679078.242</t>
  </si>
  <si>
    <t>ELPID - platforma za e-učenje za inovativni razvoj proizvoda</t>
  </si>
  <si>
    <t>A679078.243</t>
  </si>
  <si>
    <t>OPORTO -Optimizacija održavanja sustava antikorozivne zaštite i zaštite protiv obraštanja ribarskih brodova</t>
  </si>
  <si>
    <t>A679078.244</t>
  </si>
  <si>
    <t>MORZ - Mreža organizacija ribara i znanstvenika</t>
  </si>
  <si>
    <t>A679078.246</t>
  </si>
  <si>
    <t>APROPO- Autonomno Pomoćno RibarskO PlovilO</t>
  </si>
  <si>
    <t>A679078.247</t>
  </si>
  <si>
    <t>DATACROSS -Napredne metode i tehnologije u znanosti o podatcima i kooperativnim sustavima</t>
  </si>
  <si>
    <t>A679078.248</t>
  </si>
  <si>
    <t>Edukacijom o strukturnim i investicijskim fondovima do inovacija u poduzetništvu</t>
  </si>
  <si>
    <t>A679078.249</t>
  </si>
  <si>
    <t>ASAP-Autonomni sustav za pregled i predviđanje integriteta prometne infrastrukture</t>
  </si>
  <si>
    <t>A679078.251</t>
  </si>
  <si>
    <t>Istraživanje i razvoj specijaliziranih multirotornih bespilotnih letjelica SPECDRON</t>
  </si>
  <si>
    <t>A679078.252</t>
  </si>
  <si>
    <t>Razvoj hibridnog skidera - HISKID</t>
  </si>
  <si>
    <t>A679078.253</t>
  </si>
  <si>
    <t>Primjena Hrvatskog kvalifikacijskog okvira u području biomedicinskog inženjerstva - HKO-BI</t>
  </si>
  <si>
    <t>A679078.257</t>
  </si>
  <si>
    <t>CLEOPATRA - Višejezična istraživačka akademija Open Analytics usmjerena na događaje</t>
  </si>
  <si>
    <t>A679078.258</t>
  </si>
  <si>
    <t>IRCiS Integriranje izbjegličke djece u škole: mješovita studija o učinkovitosti kontakt-u-škole za izgradnju pozitivnih međugrupnih odnosa između djece izbjeglica i domaćina</t>
  </si>
  <si>
    <t>A679078.259</t>
  </si>
  <si>
    <t>HILAR</t>
  </si>
  <si>
    <t>A679078.260</t>
  </si>
  <si>
    <t>DuRSAAM</t>
  </si>
  <si>
    <t>A679078.261</t>
  </si>
  <si>
    <t>ERASMUS PLUS CSETIR</t>
  </si>
  <si>
    <t>A679078.262</t>
  </si>
  <si>
    <t>OVERFLOW  EU mehanizmi civilne zaštite</t>
  </si>
  <si>
    <t>A679078.263</t>
  </si>
  <si>
    <t>TRANSBOT -H2020</t>
  </si>
  <si>
    <t>A679078.264</t>
  </si>
  <si>
    <t>Potrošački angažman u obnovi zgrada i obnovi za klimatske akcije na terenu</t>
  </si>
  <si>
    <t>A679078.265</t>
  </si>
  <si>
    <t>BUS - GoCircular-H2020</t>
  </si>
  <si>
    <t>A679078.266</t>
  </si>
  <si>
    <t>BUILDUP -SKILLSBANK-H2020</t>
  </si>
  <si>
    <t>A679078.267</t>
  </si>
  <si>
    <t>OBZOR 2020 Znanost i tehnologija u politici pretilosti djece- STOP</t>
  </si>
  <si>
    <t>A679078.268</t>
  </si>
  <si>
    <t>WE-CARE Projekt: Uspostavljanjem nacionalne skrbi i razvojnim centrima podržavamo elitne sportaše u uravnoteženju rezultata sporta i obrazovanja / zapošljavanja</t>
  </si>
  <si>
    <t>A679078.269</t>
  </si>
  <si>
    <t>Projekt: Stvaranje mehanizama za kontinuiranu provedba sportskog kluba za zdravlje u Europskoj uniji</t>
  </si>
  <si>
    <t>A679078.270</t>
  </si>
  <si>
    <t>Erasmus + EPL Europska licenca za propisivanje</t>
  </si>
  <si>
    <t>A679078.271</t>
  </si>
  <si>
    <t>Obzor 2020 LiverScreen - Probir na fibrozu jetre - populacijsko istraživanje u europskim zemljama</t>
  </si>
  <si>
    <t>A679078.272</t>
  </si>
  <si>
    <t>HKO projekt Unapređenje postojećeg integriranog preddiplomskog i diplomskog studijskog programa Medicina</t>
  </si>
  <si>
    <t>A679078.274</t>
  </si>
  <si>
    <t>ESF CasMouse - Genomsko inženjerstvo i genska regulacija u staničnim linijama i modelnim organizmima tehnologijom CRISPR/Cas9</t>
  </si>
  <si>
    <t>A679078.276</t>
  </si>
  <si>
    <t>TODO-HORIZON 2020.</t>
  </si>
  <si>
    <t>A679078.280</t>
  </si>
  <si>
    <t>ANEUPLOIDIJA - Molekularno podrijetlo aneuploidija u zdravih i bolesnih ljudskih tkiva</t>
  </si>
  <si>
    <t>A679078.281</t>
  </si>
  <si>
    <t>ERASMUS+  KA2 TIME</t>
  </si>
  <si>
    <t>A679078.282</t>
  </si>
  <si>
    <t>MEMORIE Mjere prilagodbe klimatskim promjenama za održivo upravljanje prirodnim resursima</t>
  </si>
  <si>
    <t>A679078.283</t>
  </si>
  <si>
    <t>IRI- IMforFUTURE - aktivnosti istraživanja i razvoja</t>
  </si>
  <si>
    <t>A679078.284</t>
  </si>
  <si>
    <t>RESTORE - Procjena ostataka crvenog blata u regiji</t>
  </si>
  <si>
    <t>A679078.285</t>
  </si>
  <si>
    <t>MARILIA - testovi za detekciju patogena u uzorcima vode</t>
  </si>
  <si>
    <t>A679078.286</t>
  </si>
  <si>
    <t>The ONE - mehanizam sparivanja i stvaranja bozonskih kvazičestica</t>
  </si>
  <si>
    <t>A679078.287</t>
  </si>
  <si>
    <t>CroViZone - Prilagodba vinogradarskih zona RH klimatskim promjenama</t>
  </si>
  <si>
    <t>A679078.288</t>
  </si>
  <si>
    <t>ECOBIAS -  ekološko praćenje i procjenu vodenih bioloških ustanova</t>
  </si>
  <si>
    <t>A679078.289</t>
  </si>
  <si>
    <t>IRI- REMAKE - Razvoj efikasne metodologije za analizu konstrukcije plovnih objekata metodom konačnih elemenata</t>
  </si>
  <si>
    <t>KLIMOD - Računalni model strujanja, poplavljivanja i širenja onečišćenja u rijekama i obalnim morskim područjima</t>
  </si>
  <si>
    <t>A679078.291</t>
  </si>
  <si>
    <t>ERASMUS + KA2 PROMISE - Obrazovanje zasnovano na upitima za personaliziranu medicinu</t>
  </si>
  <si>
    <t>A679078.292</t>
  </si>
  <si>
    <t>MOBI-US - Prijevod programa na engleski za suradnju s drugim fakultetima u Europi s istim programima</t>
  </si>
  <si>
    <t>A679078.293</t>
  </si>
  <si>
    <t>RM@Schools-ESEE - Povezivanje obrazovnih ustanova u ESEE regiji s industrijom</t>
  </si>
  <si>
    <t>A679078.294</t>
  </si>
  <si>
    <t>RIS obrazovanje i poduzetništvo</t>
  </si>
  <si>
    <t>A679078.295</t>
  </si>
  <si>
    <t>A679078.296</t>
  </si>
  <si>
    <t>ERASMUS+ CCC4ECEC - Kompetencija za obrazovanje i njegu u ranom djetinjstvu usmjerena na dijete</t>
  </si>
  <si>
    <t>A679078.298</t>
  </si>
  <si>
    <t>Dijagnostički značaj kalprotektina u ranom prepoznavanju upalnih stanja</t>
  </si>
  <si>
    <t>A679078.299</t>
  </si>
  <si>
    <t>Potencijal mikroinkapsulacije u proizvodnji sireva</t>
  </si>
  <si>
    <t>A679078.300</t>
  </si>
  <si>
    <t>Erasmus + dijalog u obrazovanju odraslih (DIA)</t>
  </si>
  <si>
    <t>A679078.301</t>
  </si>
  <si>
    <t>INTERREG Central Europe Store4HUC- Integracija i napredno gospodarenje sustavima za pohranu energije na povijesnim lokalitetima u gradovima</t>
  </si>
  <si>
    <t>A679078.302</t>
  </si>
  <si>
    <t>EERR-IRI-II RI2MOFA - Razvoj inteligentne interaktivne modularne fasade</t>
  </si>
  <si>
    <t>A679078.303</t>
  </si>
  <si>
    <t>INTERREG-DUNAV DanuP-2-Gas-DanuP-2-Gas: Inovativni model za potporu sigurnosti i diversifikaciju u dunavskoj regiji kombiniranjem energije iz biomase s viskovima obnovljive energije</t>
  </si>
  <si>
    <t>A679078.304</t>
  </si>
  <si>
    <t>INTERREG-IT-HR InnovaMare- Plava tehnologija - razvijanje inovativnih tehnologija za održivosti Jadranskog mora</t>
  </si>
  <si>
    <t>A679078.305</t>
  </si>
  <si>
    <t>EFRR-IR-II AACES- Odlučivanje u upravljanju elektroenergetskim sustavom u uvjetima nesigurnosti uvjetovanih klimatskim promjenama - AACES</t>
  </si>
  <si>
    <t>A679078.306</t>
  </si>
  <si>
    <t>EFRR - Klimatske promjene AgroSPARC- Napredna i prediktivna poljoprivreda za otpornost klimatskim promjenama</t>
  </si>
  <si>
    <t>A679078.307</t>
  </si>
  <si>
    <t>EFRR-IR-II Al Defender- Sustav umjetne inteligencije za automatski nadzor i upravljanje sigurnosti cloud okruženja - AL DEFENDER</t>
  </si>
  <si>
    <t>A679078.308</t>
  </si>
  <si>
    <t>EFRR-IR-II AIPD2- Digitalna platforma za zaštitu privatnosti i sprječavanje zloupotreba životnim ciklusom osobnih podataka- AIPD3</t>
  </si>
  <si>
    <t>A679078.309</t>
  </si>
  <si>
    <t>EFRR-IR-II A-UNIT- Istraživanje i razvoj napredne jedinice za autonomno upravljanje mobilnim vozilima u logistici</t>
  </si>
  <si>
    <t>A679078.310</t>
  </si>
  <si>
    <t>EFRR-IR-II BatEVCharg - Punionica električnih vozila s integriranim baterijskim spremnikom</t>
  </si>
  <si>
    <t>A679078.311</t>
  </si>
  <si>
    <t>EFRR-IR-II CEGlog- Istraživanje i razvoj jedinstvenog sustava za logističku i transportnu optimizaciju</t>
  </si>
  <si>
    <t>A679078.312</t>
  </si>
  <si>
    <t>EFFRR-CEKOM-SUS- Centar kompetencija za kibernetičku sigurnost upravljačkih sustava</t>
  </si>
  <si>
    <t>A679078.313</t>
  </si>
  <si>
    <t>EFRR-IR-II cyberAUT- Inovativno rješenje za upravljanje kibernetickom sigurnosti industrijskih sustava automatizacije postrojenja i procesa</t>
  </si>
  <si>
    <t>A679078.314</t>
  </si>
  <si>
    <t>EFRR-IR-II DRUNE- Razvoj uređaja za prijenos video signala ultra niske latencije</t>
  </si>
  <si>
    <t>A679078.315</t>
  </si>
  <si>
    <t>EFRR-IR-II ENEDAT- Razvoj sustava za optimalizaciju potrošnje električne energije u podatkovnim centrima</t>
  </si>
  <si>
    <t>A679078.316</t>
  </si>
  <si>
    <t>EFRR-IR-II ENEDAT- Razvoj pametnog modularnog sustava upravljanja pogonom dizala za povećanje energetske učinkovitosti zgrade</t>
  </si>
  <si>
    <t>A679078.317</t>
  </si>
  <si>
    <t>EFRR-IR-II GMP- Razvoj Greyp platforme za mikromobilnost GMP</t>
  </si>
  <si>
    <t>A679078.318</t>
  </si>
  <si>
    <t>EFRR-IR-II IRI2-OIE- Integrirano rješenje za upravljanje imovinom i podršku investicijskim procesima projektiranja, planiranja i provedbe izgradnje obnovljivih izvora energije</t>
  </si>
  <si>
    <t>A679078.319</t>
  </si>
  <si>
    <t>EFRR-IR-II LAMCAB- Razvoj tehnologije povezivanja komponenti upravljačkih električnih ormara upotrebom laminiranih vodica</t>
  </si>
  <si>
    <t>A679078.320</t>
  </si>
  <si>
    <t>EFRR-IR-II PCC- Sustav za nadzor i kontrolu usklađenosti distribuiranih procesa u realnom vremenu, otkrivanje anomalija, rano upozoravanje i forenzičku analizu transakcije</t>
  </si>
  <si>
    <t>A679078.321</t>
  </si>
  <si>
    <t>EFRR-IR-II PEP- Razvoj inovativnog polifaznog elektromotornog pogona</t>
  </si>
  <si>
    <t>A679078.322</t>
  </si>
  <si>
    <t>EFRR-IR-II Pinova- Razvoj agrometeorološke platforme i mreže IoT uređaja tvrtke Pinova d.o.o.</t>
  </si>
  <si>
    <t>A679078.323</t>
  </si>
  <si>
    <t>EFRR- UZI RESIN- Razvoj sustava za ispitivanje visefaznih strujanja i izgaranja s ciljem povećanja istraživačkih aktivnosti znanstvenog i poslovnog spektra</t>
  </si>
  <si>
    <t>A679078.324</t>
  </si>
  <si>
    <t>EFRR-IR-II RPA-NPV- Razvoj potopljenog agregata za male hidroelektrane s niskim padom vode</t>
  </si>
  <si>
    <t>A679078.325</t>
  </si>
  <si>
    <t>EFRR-IR-II SARI- Sustava za automatsko raspoznavanje, identifikaciju te precizno mjerenje duljine plovila</t>
  </si>
  <si>
    <t>A679078.326</t>
  </si>
  <si>
    <t>EFRR-IR-II SMAGRILOS- Sustav za optimizaciju gubitaka u naprednim mrežama</t>
  </si>
  <si>
    <t>A679078.327</t>
  </si>
  <si>
    <t>EFRR-IR-II SOC4- Platforma za nadzor ugroza u heterogenim mrežnim okruženjima</t>
  </si>
  <si>
    <t>A679078.328</t>
  </si>
  <si>
    <t>EFRR-IR-II SUPELEK- Sustav za upravljanje potrošnjom električne energije u kućanstvima</t>
  </si>
  <si>
    <t>A679078.329</t>
  </si>
  <si>
    <t>EFRR-IR-II Agrivi Smart- povećanje produktivnosti uzgoja krumpira uz pomoć algoritma strojnog učenja</t>
  </si>
  <si>
    <t>A679078.330</t>
  </si>
  <si>
    <t>EFRR-IR-II bigEVdata- IT rješenja analitike velikih skupova podataka emobilnosti</t>
  </si>
  <si>
    <t>A679078.332</t>
  </si>
  <si>
    <t>EFRR-IR-II CloudSec- Sigurnost računarstva u oblaku prilikom korištenja mobilnih aplikacija</t>
  </si>
  <si>
    <t>A679078.333</t>
  </si>
  <si>
    <t>EFRR-IR-II DFDM- Istraživanje i razvoj sustava za prepoznavanje umora i distrakcije vozača</t>
  </si>
  <si>
    <t>A679078.334</t>
  </si>
  <si>
    <t>EFRR-IR EKORAS24- Ekološki prihvatljiva rastavna sklopka 24kV za napredne mreže</t>
  </si>
  <si>
    <t>A679078.335</t>
  </si>
  <si>
    <t>EFRR-IRI Geolux- 4D akustična kamera</t>
  </si>
  <si>
    <t>A679078.336</t>
  </si>
  <si>
    <t>EFRR-IRI HSG - Helm Smart Grid</t>
  </si>
  <si>
    <t>A679078.337</t>
  </si>
  <si>
    <t>EFRR-IRI KONPRO 2 - Razvoj nove generacije uređaja numeričke zaštite</t>
  </si>
  <si>
    <t>A679078.338</t>
  </si>
  <si>
    <t>EFRR- IRI KONTRAC - Razvoj pretvarača glavnog pogona tramvaja sa superkondezatorskim modulom</t>
  </si>
  <si>
    <t>A679078.339</t>
  </si>
  <si>
    <t>EFRR- IRI Mareton - Razvoj nove generacije industrijskih modularnih, redundantnih, višeizlaznih sustava neprekidnog napajanja istosmjernim i izmjeničnim naponima</t>
  </si>
  <si>
    <t>A679078.340</t>
  </si>
  <si>
    <t>EFRR- IRI MAS- Razvoj multifunkcionalnog antiterorističkog sustava</t>
  </si>
  <si>
    <t>A679078.341</t>
  </si>
  <si>
    <t>EFRR- IRI Omega GS- Razvoj otvorene pametne mreže energetski učinkovite javne LED rasvjete</t>
  </si>
  <si>
    <t>A679078.342</t>
  </si>
  <si>
    <t>EFRR- IRI OperOSS- Istraživanja i razvoj naprednog sustava za upravljanje pametnim elektroenergetskim i komunikacijskim mrežama</t>
  </si>
  <si>
    <t>A679078.343</t>
  </si>
  <si>
    <t>EFRR- IRI PC-ATE-Buildings- Razvoj sustava prediktivnog upravljanja i automatskog trovanja energijom u zgradi</t>
  </si>
  <si>
    <t>A679078.344</t>
  </si>
  <si>
    <t>EFRR- IRI SMART UTX: Pametni modularni sustav za ultrazvučnu dijagnostiku u ekstremnim uvjetima</t>
  </si>
  <si>
    <t>A679078.346</t>
  </si>
  <si>
    <t>ERASMUS + Projekt: SC4H Network</t>
  </si>
  <si>
    <t>A679078.347</t>
  </si>
  <si>
    <t>ERASMUS+mobilnost osoblja zmeđu programskih i partnerskih zemalja u svrhu podučavanja KA 107</t>
  </si>
  <si>
    <t>A679078.349</t>
  </si>
  <si>
    <t>SABRINA</t>
  </si>
  <si>
    <t>A679078.350</t>
  </si>
  <si>
    <t>SLAIN</t>
  </si>
  <si>
    <t>A679078.351</t>
  </si>
  <si>
    <t>SumBoost</t>
  </si>
  <si>
    <t>A679078.354</t>
  </si>
  <si>
    <t>ERASMUS + K2, 1.1.2020.-31.12.2022., 612248-EPP-1-2019-BG-EPPKA2-KA, ICT IN TEXTILE AND CLOTHING HIGHER EDUCATION I BUSINESS</t>
  </si>
  <si>
    <t>A679078.355</t>
  </si>
  <si>
    <t>ERASMUS+ Education Curricula Development on the Collaborative Economy in Europe COLECO (2019-1-UK01-KA201-062118)</t>
  </si>
  <si>
    <t>A679078.356</t>
  </si>
  <si>
    <t>ERASMUS+ Challenges and practices of teaching economic disciplines in era of digitalization 2020-1-HR01-KA202-0777771</t>
  </si>
  <si>
    <t>A679078.358</t>
  </si>
  <si>
    <t>Umreženi stacionarni baterijski spremnici energije KK.01.1.1.04.0034</t>
  </si>
  <si>
    <t>A679078.361</t>
  </si>
  <si>
    <t>HKO akademija u hodu</t>
  </si>
  <si>
    <t>A679078.362</t>
  </si>
  <si>
    <t>HKO FIZKO- Sveučilište u Rijeci</t>
  </si>
  <si>
    <t>A679078.363</t>
  </si>
  <si>
    <t>HORIZON 2020- DRYVER</t>
  </si>
  <si>
    <t>A679078.365</t>
  </si>
  <si>
    <t>Tenure Track Pilot Programe - Exotic Nuclear Structure and Dynamics</t>
  </si>
  <si>
    <t>A679078.366</t>
  </si>
  <si>
    <t>KLIMA-4HR</t>
  </si>
  <si>
    <t>A679078.369</t>
  </si>
  <si>
    <t>Obzor 2020. ERASE_GBV Education and Raising Awareness in Schools to Prevent and Encounter Gender-Based Violence: Developing and implementing a training programme for teachers and other professionals at school</t>
  </si>
  <si>
    <t>A679078.370</t>
  </si>
  <si>
    <t>CEF MARCELL Multilingual Resources for CEF.AT in the legal domain</t>
  </si>
  <si>
    <t>A679078.371</t>
  </si>
  <si>
    <t>CEF PRINCIPLE Providing Resources in Irish, Norwegian, Croatian and Icelandic for Purposes of Language Engineering</t>
  </si>
  <si>
    <t>A679078.373</t>
  </si>
  <si>
    <t>Erasmus+ Development of innovative approach for training for university professors to work in the modern diverse and intercultural environment, UniCulture</t>
  </si>
  <si>
    <t>A679078.374</t>
  </si>
  <si>
    <t>Erasmus+, aktivnost Strateško partnerstvo HERISTEM - STEM in Heritage Sciences</t>
  </si>
  <si>
    <t>A679078.375</t>
  </si>
  <si>
    <t>Erasmus + Reforming Foreigne Languages in Academia in Montenegro - ReFALME</t>
  </si>
  <si>
    <t>A679078.376</t>
  </si>
  <si>
    <t>12-HERA-JRP-CE-FP-091 projekt ENTRAS Encounters and Transformationa in Iron Age Europe</t>
  </si>
  <si>
    <t>A679078.378</t>
  </si>
  <si>
    <t>HRZZ Golobalni humanizmi:Novi pogledi na Srednji Vijek</t>
  </si>
  <si>
    <t>A679078.379</t>
  </si>
  <si>
    <t>E-rudito: Napredni online obrazovni sustav za pametnu specijalizaciju i poslove budućnosti</t>
  </si>
  <si>
    <t>A679078.382</t>
  </si>
  <si>
    <t>HKO Zadar</t>
  </si>
  <si>
    <t>A679078.383</t>
  </si>
  <si>
    <t>TODO-TWINING OPEN DANA</t>
  </si>
  <si>
    <t>A679078.384</t>
  </si>
  <si>
    <t>SPIDER ERASMUS+STRATEGIC PARTNERSHIP</t>
  </si>
  <si>
    <t>A679078.385</t>
  </si>
  <si>
    <t>ERASMUS+SDI AND EO EDUCATION AND TRAINING FOR NORTH AFRICA(SEED4NA)</t>
  </si>
  <si>
    <t>A679078.386</t>
  </si>
  <si>
    <t>GEOBIZ-ERASMUS+Ka2 IZGRADNJA KAPACITETA U PODRUČJU VISOKOG OBRAZOVANJA</t>
  </si>
  <si>
    <t>A679078.391</t>
  </si>
  <si>
    <t>ADRIATIC - Unaprjeđenje sposobnosti interakcije ronilac-robot</t>
  </si>
  <si>
    <t>A679078.392</t>
  </si>
  <si>
    <t>AEROWIND-Autonomna inspekcija vjetroelektrana primjenom bespilotnih letjelica</t>
  </si>
  <si>
    <t>A679078.393</t>
  </si>
  <si>
    <t>AIDEFEND-Sustav umjetne inteligencije za autonomni nadzor i upravljanje sigurnosti cloud okruženja - AI DFENDER</t>
  </si>
  <si>
    <t>A679078.397</t>
  </si>
  <si>
    <t>AWAKE - Ultra low power wake-up interfaces for autonomous robotic sensor networks in sea/subsea environments</t>
  </si>
  <si>
    <t>A679078.398</t>
  </si>
  <si>
    <t>CADDY-Cognitive autonomous diving buddy</t>
  </si>
  <si>
    <t>A679078.399</t>
  </si>
  <si>
    <t>CALIPER-	Projekt CALIPER: Povezivanje istraživanja i inovacija za ravnopravnost spolova"</t>
  </si>
  <si>
    <t>A679078.400</t>
  </si>
  <si>
    <t>CASHPRED-Predviđanje vremena i obrazaca ponašanja novčanih tokova u međunarodnim bankovnim računima</t>
  </si>
  <si>
    <t>A679078.403</t>
  </si>
  <si>
    <t>CE-PEP-Razvoj inovativnog polifaznog elektromotornog pogona - PEP</t>
  </si>
  <si>
    <t>A679078.404</t>
  </si>
  <si>
    <t>CMETA-Analysis and design of curved metamaterial structures"</t>
  </si>
  <si>
    <t>A679078.405</t>
  </si>
  <si>
    <t>COGSTEPS - Crossing the Gap: Startup edukacija i potpora doktorandima, istraživačima i znanstvenicima</t>
  </si>
  <si>
    <t>A679078.407</t>
  </si>
  <si>
    <t>CUVME2 - Kooperativna bespilotna vozila u pomorskom okruženju: Eksperimenti na moru 2</t>
  </si>
  <si>
    <t>A679078.410</t>
  </si>
  <si>
    <t>DIGIT- Dig IT - Izrada standarda zanimanja i standarda kvalifikacija u djelatnostima računarstva</t>
  </si>
  <si>
    <t>A679078.413</t>
  </si>
  <si>
    <t>DUV-NRKBE - Razvoj daljinski upravljanog vozila za djelovanje u ekstremnim NRKBE uvjetima</t>
  </si>
  <si>
    <t>A679078.414</t>
  </si>
  <si>
    <t>EKO-KOMVOZ - Ekološki prihvatljivo vozilo za čišćenje javnih površina sa sustavima autonomnog upravljanja zasnovanim na umjetnoj inteligenciji</t>
  </si>
  <si>
    <t>A679078.415</t>
  </si>
  <si>
    <t>ENDORSE-Efikasno brusenje robotskim sustavom potpomognuto HORSE okruženjem</t>
  </si>
  <si>
    <t>A679078.417</t>
  </si>
  <si>
    <t>EULIFT - Razvoj pametnog modularnog sustava upravljanja pogonom dizala za povećanje energetske učinkovitosti zgrade</t>
  </si>
  <si>
    <t>A679078.418</t>
  </si>
  <si>
    <t>EUMR-Istraživačka infrastrukturna mreža u području pomorske robotike</t>
  </si>
  <si>
    <t>A679078.428</t>
  </si>
  <si>
    <t>HELB-Sustav za optimizaciju gubitaka u naprednim mrežama</t>
  </si>
  <si>
    <t>A679078.429</t>
  </si>
  <si>
    <t>HKO-ELE - Primjena Hrvatskog kvalifikacijskog okvira za sveučilišne studijske programe u području elektrotehnike</t>
  </si>
  <si>
    <t>A679078.430</t>
  </si>
  <si>
    <t>IAC-Tečaj industrijske akustike o buci, utjecaju buke na ljude i buci okoliša</t>
  </si>
  <si>
    <t>A679078.433</t>
  </si>
  <si>
    <t>IMMERSAFE-Uronjene vizualne tehnologije za sigurnosno kritične aplikacije</t>
  </si>
  <si>
    <t>A679078.435</t>
  </si>
  <si>
    <t>INTIS-Punionica električnih vozila s integriranim baterijskim spremnikom</t>
  </si>
  <si>
    <t>A679078.437</t>
  </si>
  <si>
    <t>IRI2-OIE - Integrirano rješenje za upravljanje imovinom i podršku investicijskim procesima projektiranja, planiranja i provedbe izgradnje obnovljivih izvora energije</t>
  </si>
  <si>
    <t>A679078.438</t>
  </si>
  <si>
    <t>IRI-RPA-Razvoj potopljenog agregata za male hidroelektrane s niskim padom vode</t>
  </si>
  <si>
    <t>A679078.441</t>
  </si>
  <si>
    <t>LAMCAB - Razvoj tehnologije povezivanja komponenti upravljačkih električnih ormara upotrebom laminiranih vodiča</t>
  </si>
  <si>
    <t>A679078.442</t>
  </si>
  <si>
    <t>MAGEF-Tehnologija električnih strojeva s trajnim magnetima za povećanje energetske učinkovitosti u električnoj vuči i brodskoj propulziji</t>
  </si>
  <si>
    <t>A679078.444</t>
  </si>
  <si>
    <t>MBZIRC - The Mohamed Bin Zayed medjunarodno natjecanje iz robotike</t>
  </si>
  <si>
    <t>A679078.445</t>
  </si>
  <si>
    <t>MERIA - Matematičko obrazovanje - značajno, zanimljivo i primjenjivo</t>
  </si>
  <si>
    <t>A679078.446</t>
  </si>
  <si>
    <t>METASHAPE-Napredni ručni detektori metala s mogućnošću diskriminacije oblika mete za uporabu u humanitarnom razminiranju</t>
  </si>
  <si>
    <t>A679078.450</t>
  </si>
  <si>
    <t>MUNIVO - Razvoj MUltifunkcionalnog NIskopodnog VOzila</t>
  </si>
  <si>
    <t>A679078.452</t>
  </si>
  <si>
    <t>NOFTUNE - Nefosterovske mreže za podesive i šrokopojasne radiofrekvencjske uređaje</t>
  </si>
  <si>
    <t>A679078.453</t>
  </si>
  <si>
    <t>OKTUKOM-Osiguravanje kvalitete telekomunikacijskih usluga korištenjem mehanizma kibernetičke sigurnosti</t>
  </si>
  <si>
    <t>A679078.454</t>
  </si>
  <si>
    <t>OPENLOT-Open Source blueprint for large scale self-organizing cloud environments for IoT applications</t>
  </si>
  <si>
    <t>A679078.458</t>
  </si>
  <si>
    <t>RESDATA - Rješenja prilagodbe elektroenergetskog sustava klimatskim promjenama temeljena na velikim količinama podataka</t>
  </si>
  <si>
    <t>A679078.461</t>
  </si>
  <si>
    <t>ROBOGIRLS - Osnaživanje djevojaka u STEAM-u kroz robotiku i kodiranje</t>
  </si>
  <si>
    <t>A679078.463</t>
  </si>
  <si>
    <t>ROTOTEMP - Nova generacija telemetrijske tehnologije za mjerenje na rotacijskim komponentama spojke</t>
  </si>
  <si>
    <t>A679078.464</t>
  </si>
  <si>
    <t>SAFELOG-Sigurna interakcija ljudi i robota u logističkim primjenama za visoko fleksibilna skladišta</t>
  </si>
  <si>
    <t>A679078.466</t>
  </si>
  <si>
    <t>SENFUS-Fuzija senzora</t>
  </si>
  <si>
    <t>A679078.467</t>
  </si>
  <si>
    <t>SHVET-Pametni pristup razvoju strukovnih vještina za visokoobrazovanu i mobilnu radnu snagu</t>
  </si>
  <si>
    <t>A679078.468</t>
  </si>
  <si>
    <t>SMARTSOC-Edukacija budućih IKT stručnjaka na temelju potreba pametnog društva (SmartSoc)</t>
  </si>
  <si>
    <t>A679078.469</t>
  </si>
  <si>
    <t>SPRAY-Razvoj sustava za ispitivanje višefaznih strujanja i izgaranja s ciljem povećanja istraživačkih aktivnosti znanstvenog i poslovnog sektora</t>
  </si>
  <si>
    <t>A679078.470</t>
  </si>
  <si>
    <t>STRIDE-Energetsko planiranje integracijom koncepata pametne mreže u Dunavskoj regiji</t>
  </si>
  <si>
    <t>A679078.471</t>
  </si>
  <si>
    <t>TEAMSOC21 - The ICT Engineer of the 21st Century: Mastering Technical Competencies, Management Skills, and Societal Responsibilities</t>
  </si>
  <si>
    <t>A679078.472</t>
  </si>
  <si>
    <t>TETRAMAX-TEchnology TRAnsfer via Multinational Application eXperiments</t>
  </si>
  <si>
    <t>A679078.473</t>
  </si>
  <si>
    <t>UGRIP - microGRId Positioning</t>
  </si>
  <si>
    <t>A679078.477</t>
  </si>
  <si>
    <t>VHEASTR-Znanstvenoistraživačka aktivnost hrvatske grupe u kolaboracijama MAGIC I CTA</t>
  </si>
  <si>
    <t>A679078.478</t>
  </si>
  <si>
    <t>A679078.482</t>
  </si>
  <si>
    <t>Better future of healthy ageing 2020.</t>
  </si>
  <si>
    <t>A679078.485</t>
  </si>
  <si>
    <t>NZEB ROADSHOW-H2020</t>
  </si>
  <si>
    <t>A679078.486</t>
  </si>
  <si>
    <t>H2020 INCEPTION</t>
  </si>
  <si>
    <t>A679078.487</t>
  </si>
  <si>
    <t>Erasmus+ Programme 2014-2020, Agreement no.2016-1-TR01-KA203-034710</t>
  </si>
  <si>
    <t>A679078.488</t>
  </si>
  <si>
    <t>H2020 Productive Green Infrastructure for post-industrial urban regeneration</t>
  </si>
  <si>
    <t>A679078.489</t>
  </si>
  <si>
    <t>Erasmus+: Healthy Urban Environment: Developing higer education in Architecture and Construction in Bosnia and Herzegovina (2018-2480/001-001)</t>
  </si>
  <si>
    <t>A679078.490</t>
  </si>
  <si>
    <t>Erasmus+: Architecture's afterlife: The multi-sector impact of an architectural qualification 2019-1-UK01-KA203-062062</t>
  </si>
  <si>
    <t>A679078.491</t>
  </si>
  <si>
    <t>Znanost spaja ljude (SCOPE - Science Connecting people)</t>
  </si>
  <si>
    <t>A679078.493</t>
  </si>
  <si>
    <t>FIGHTER</t>
  </si>
  <si>
    <t>A679078.494</t>
  </si>
  <si>
    <t>TODO</t>
  </si>
  <si>
    <t>A679078.495</t>
  </si>
  <si>
    <t>EIO-LAPD</t>
  </si>
  <si>
    <t>A679078.496</t>
  </si>
  <si>
    <t>JEAN MONNET ACTIVITIES</t>
  </si>
  <si>
    <t>A679078.498</t>
  </si>
  <si>
    <t>EUROGRADUATE</t>
  </si>
  <si>
    <t>A679078.499</t>
  </si>
  <si>
    <t>ENEMLOS</t>
  </si>
  <si>
    <t>A679078.500</t>
  </si>
  <si>
    <t>JEAN MONNET MODULE</t>
  </si>
  <si>
    <t>A679078.502</t>
  </si>
  <si>
    <t>BALKAN HOMICIDE STUDY</t>
  </si>
  <si>
    <t>A679078.503</t>
  </si>
  <si>
    <t>RCT-ESF</t>
  </si>
  <si>
    <t>A679078.507</t>
  </si>
  <si>
    <t>Personalized Medicine Inquiry-Based Education (PROMISE) Grant agreement: br. 2019-1-HR01-KA203-061010- </t>
  </si>
  <si>
    <t>A679078.508</t>
  </si>
  <si>
    <t>IRI projekt Povećanje razvoja novih proizvoda i usluga koji proizlaze iz aktivnosti istraživanja i razvoja</t>
  </si>
  <si>
    <t>A679078.509</t>
  </si>
  <si>
    <t>Utjecaj glikozilacije transferina na vezivanje željeza - GlyTransFer</t>
  </si>
  <si>
    <t>A679078.510</t>
  </si>
  <si>
    <t>EIT MANUFACTURING RIS HUB</t>
  </si>
  <si>
    <t>A679078.512</t>
  </si>
  <si>
    <t>Jačanje kapaciteta CerVirVac-a za istraživanja u virusnoj imunologiji i vakcinologiji</t>
  </si>
  <si>
    <t>A679078.513</t>
  </si>
  <si>
    <t>OBZOR2020- Legumes in biodiversity based farming systems in Mediterranean basin</t>
  </si>
  <si>
    <t>A679078.514</t>
  </si>
  <si>
    <t>ERASMUS Transnational Quality Education for Organic Food Saftey- SAFE Orgfood</t>
  </si>
  <si>
    <t>A679078.515</t>
  </si>
  <si>
    <t>Napredni sustav motrenja agroekosustava u riziku od zaslanjivanja i onečišćenja</t>
  </si>
  <si>
    <t>A679078.516</t>
  </si>
  <si>
    <t>Agrobioraznolikost- osnova za prilagodbu i ublažavanje promjena klimatskih promjena u poljoprivredi</t>
  </si>
  <si>
    <t>A679078.517</t>
  </si>
  <si>
    <t>Dizajn naprednih biokompozita iz energetski održivih izvora- BIOKOMPOZITI</t>
  </si>
  <si>
    <t>A679078.518</t>
  </si>
  <si>
    <t>Proizvodnja, hrane, biokompozita i biogoriva iz žitarica u kružnom biogospodarstvu</t>
  </si>
  <si>
    <t>A679078.519</t>
  </si>
  <si>
    <t>ERASMUS Trainers for plant protection in organic farming- TOPPlant</t>
  </si>
  <si>
    <t>A679078.521</t>
  </si>
  <si>
    <t>ERASMUS Learning Landscapes- LELA</t>
  </si>
  <si>
    <t>A679078.522</t>
  </si>
  <si>
    <t>ERASMUS Capacity building in higher education</t>
  </si>
  <si>
    <t>A679078.524</t>
  </si>
  <si>
    <t>A679078.526</t>
  </si>
  <si>
    <t>Unaprjeđenje oporavlišta za divlje životinje na Veterinarskom fakultetu - WildRescouVEF, KK.06.5.2.04.0007.</t>
  </si>
  <si>
    <t>A679078.527</t>
  </si>
  <si>
    <t>Upravljanje krškim priobalnim vodonosnicima (UKV)</t>
  </si>
  <si>
    <t>A679078.528</t>
  </si>
  <si>
    <t>ICSI Interreg</t>
  </si>
  <si>
    <t>A679078.531</t>
  </si>
  <si>
    <t>DRYvER- Securing biodiversity- HORIZON 2020</t>
  </si>
  <si>
    <t>A679078.532</t>
  </si>
  <si>
    <t>"OPSVIO- Ortho-positronium decay and the search for CP and CPT violation in leptonic secto"</t>
  </si>
  <si>
    <t>A679078.533</t>
  </si>
  <si>
    <t>Klima- 4HR- Klimatska ranjivost Hrvatske i mogućnosti prilagodbe urbanih i prirodnih okoliša</t>
  </si>
  <si>
    <t>A679078.534</t>
  </si>
  <si>
    <t>CSRP- Hrvatsko-švicarski program- Probabilistic and analytical aspects of generalised regular variation</t>
  </si>
  <si>
    <t>A679078.535</t>
  </si>
  <si>
    <t>CSRP- Hrvatsko-Švicarski program- Dynamics of virus infection in mycovirus-mediated biological control of fungal pathogen</t>
  </si>
  <si>
    <t>A679078.536</t>
  </si>
  <si>
    <t>CSRP- Hrvatsko-Švicarski program- Investigation of substrate and editing specificity in tRNA synthetases and the mechanism of antibiotic action</t>
  </si>
  <si>
    <t>A679078.537</t>
  </si>
  <si>
    <t>Klimatske promjene  - Agrobioraznolikost</t>
  </si>
  <si>
    <t>A679078.538</t>
  </si>
  <si>
    <t>Jednoslojni polarimetar gama zračenja za primjene u medicinskom oslikavanju i za temeljna istraživanja u fizici</t>
  </si>
  <si>
    <t>A679078.541</t>
  </si>
  <si>
    <t>HRZZ IP-2019-04 MORENEC</t>
  </si>
  <si>
    <t>A679078.546</t>
  </si>
  <si>
    <t>AGROEKO - Napredni sustav motrenja agroekosustava u riziku od zaslanjivanja i onečišćenja</t>
  </si>
  <si>
    <t>A679078.560</t>
  </si>
  <si>
    <t>PAPABUILD - Napredne akustičke i psihoakustičke dijagnostičke metode kao temelj inovativnog dizajna u građevinskoj akustici</t>
  </si>
  <si>
    <t>A679078.561</t>
  </si>
  <si>
    <t>SIMBLOLTE - Simbioza pametnih objekata u okruženjima Interneta stvari</t>
  </si>
  <si>
    <t>A679078.565</t>
  </si>
  <si>
    <t>4VENT - Razvoj niza četverousisnih ventilatora za industrijska postrojenja</t>
  </si>
  <si>
    <t>A679078.566</t>
  </si>
  <si>
    <t>INUKING - Razvoj inovativnog programskog rješenja za centralizirani nadzor i upravljanje kritičnom infrastukturom</t>
  </si>
  <si>
    <t>A679078.567</t>
  </si>
  <si>
    <t>NGLI - povećanje razvoja novih proizvoda i usluga koji proizilaze iz aktivnosti istraživanja i razvoja</t>
  </si>
  <si>
    <t>A679078.569</t>
  </si>
  <si>
    <t>PBM-PLIN - Iskorištenje manje kvalitetnih i nestalnih plinova za proizvodnju električne energije, uporabom Umjetne Inteligencije za miješanje plinova</t>
  </si>
  <si>
    <t>A679078.570</t>
  </si>
  <si>
    <t>PINIOT - Platforma za inteligentno i energetski efikasno upravljanje industrijskim Iot uređajima</t>
  </si>
  <si>
    <t>A679078.571</t>
  </si>
  <si>
    <t>SUZE - Sustav za otkrivanje zlonamjernih elektroničkih transakcija zasnovan na strojnom učenju</t>
  </si>
  <si>
    <t>A679078.572</t>
  </si>
  <si>
    <t>T-LOGIC - Uspostava sustava za automatizaciju rada i autonomno odlučivanje u logistici samoposlužnih aparata</t>
  </si>
  <si>
    <t>A679078.573</t>
  </si>
  <si>
    <t>HRZZ projekti</t>
  </si>
  <si>
    <t>A679078.574</t>
  </si>
  <si>
    <t>Modeliranje procesa farmaceutskog sušenja raspršivanjem emulzije u laboratorijskom I pilotnom mjerilu</t>
  </si>
  <si>
    <t>A679078.575</t>
  </si>
  <si>
    <t>COLECO- ERASMUS + 2019-1-UK01-KA201-062118</t>
  </si>
  <si>
    <t>A679078.576</t>
  </si>
  <si>
    <t>FOReSiGHT</t>
  </si>
  <si>
    <t>A679078.578</t>
  </si>
  <si>
    <t>ERASMUS + 2020-1-PL01-KA203-081980 - SUSTA</t>
  </si>
  <si>
    <t>A679078.582</t>
  </si>
  <si>
    <t>TERRAGOV</t>
  </si>
  <si>
    <t>A679078.583</t>
  </si>
  <si>
    <t>HORIZON 2020 - SHARE-COVID 19</t>
  </si>
  <si>
    <t>A679078.584</t>
  </si>
  <si>
    <t>Learning how to Teach, Teaching how to Learn. Facing Challenges of Global Change in Higher Education Using Digital Tools for Reflective, Critical and Inclusive Learning on European Historical Landscapes – EDiToR</t>
  </si>
  <si>
    <t>A679078.586</t>
  </si>
  <si>
    <t>P-S-I Podrška Studenata u Integraciji marginaliziranih skupina na tržište rada</t>
  </si>
  <si>
    <t>A679078.587</t>
  </si>
  <si>
    <t>COORDINATE„COhort cOmmunity Research and Development Infrastructure Network for Access Throughout</t>
  </si>
  <si>
    <t>A679078.588</t>
  </si>
  <si>
    <t>RURASL Rural 3.0: Service Learning for the Rural Development</t>
  </si>
  <si>
    <t>A679078.589</t>
  </si>
  <si>
    <t>A679078.590</t>
  </si>
  <si>
    <t>Erasmus + Developing a new curriculum in Global Migration, Diaspora and Border Studies in East-Central Europe (GLocalEAst)”</t>
  </si>
  <si>
    <t>A679078.591</t>
  </si>
  <si>
    <t>Erasmus + „Introducing Intellectual Property Education for Lifelong Learning and the Knowledge Economy-IPEDU”</t>
  </si>
  <si>
    <t>A679078.592</t>
  </si>
  <si>
    <t>Encounters and Transformations in Iron Age Europe (ENTRANS</t>
  </si>
  <si>
    <t>A679078.593</t>
  </si>
  <si>
    <t>Rhetoric for Innovative Education  RHEFINE</t>
  </si>
  <si>
    <t>A679078.595</t>
  </si>
  <si>
    <t>Curated Multilingual Language Resources for CEF AT (CURLICAT)</t>
  </si>
  <si>
    <t>A679078.596</t>
  </si>
  <si>
    <t>HORIZON 2020: Children Online: Research and Evidence (CO:RE)</t>
  </si>
  <si>
    <t>A679078.597</t>
  </si>
  <si>
    <t>Third sector impact</t>
  </si>
  <si>
    <t>A679078.599</t>
  </si>
  <si>
    <t>SUSTINEO ESF</t>
  </si>
  <si>
    <t>A679078.600</t>
  </si>
  <si>
    <t>RE-DWELL</t>
  </si>
  <si>
    <t>A679078.608</t>
  </si>
  <si>
    <t>Istraživanje neuropatologije poremećaja iz spektra autizma i shizofrenije</t>
  </si>
  <si>
    <t>A679078.609</t>
  </si>
  <si>
    <t>EUROPEAN INFRASTRUCTURE FOR TRANSLATIONAL MEDICINE (EATRIS PLUS) - H2020</t>
  </si>
  <si>
    <t>A679078.610</t>
  </si>
  <si>
    <t>ERASMUS + MEĐUNARODNA SURADNJA</t>
  </si>
  <si>
    <t>A679078.611</t>
  </si>
  <si>
    <t>A ROADMAP OUT OF MEDICAL DESERTS INTO SUPPORTIVE HEALTH WORK FORCE INITIATIVES AND POLICIES - ROUTE-HWF</t>
  </si>
  <si>
    <t>A679078.612</t>
  </si>
  <si>
    <t>IRI CSTI - platforma za dohvat i analizu strukturiranih i nestrukturiranih podataka</t>
  </si>
  <si>
    <t>A679078.613</t>
  </si>
  <si>
    <t>UNIC4ER - Europsko sveučilište postindustrijskih gradova Ka suradničkom pristupu i strukturi prema angažiranom istraživanju</t>
  </si>
  <si>
    <t>A679078.614</t>
  </si>
  <si>
    <t>UNIC -Europsko sveučilište za postindustrijske gradove</t>
  </si>
  <si>
    <t>A679078.615</t>
  </si>
  <si>
    <t>ERASMUS+  DE01-KA203-005728 CONNECTED</t>
  </si>
  <si>
    <t>A679078.616</t>
  </si>
  <si>
    <t>SIMON - inteligentni sustav za automatski odabir algoritma strojnog učenja</t>
  </si>
  <si>
    <t>A679078.617</t>
  </si>
  <si>
    <t>MODERNE MISLEĆE ŽENE-HRZZ IP-01-2018</t>
  </si>
  <si>
    <t>A679078.618</t>
  </si>
  <si>
    <t>HELA</t>
  </si>
  <si>
    <t>A679078.619</t>
  </si>
  <si>
    <t>FORMALS-HRZZ UIP-2017-05-2019</t>
  </si>
  <si>
    <t>A679078.620</t>
  </si>
  <si>
    <t>Digitalna.hr</t>
  </si>
  <si>
    <t>A679078.621</t>
  </si>
  <si>
    <t>e-DESK - Digitalne i poduzetničke vještine europskih učitelja u svijetu COVID-19</t>
  </si>
  <si>
    <t>A679078.622</t>
  </si>
  <si>
    <t>Erasmus+ Oralno potencijalno maligni poremećaji: izobrazba zdravstvenih djelatnika</t>
  </si>
  <si>
    <t>A679078.623</t>
  </si>
  <si>
    <t>WAI4PwD - Web pristupačnost i ostale inicijative za osobe s invaliditetom u EU tijekom pandemije</t>
  </si>
  <si>
    <t>A679078.625</t>
  </si>
  <si>
    <t>HYSTORIES- podzemno skladištenja vodika u Europi</t>
  </si>
  <si>
    <t>A679078.626</t>
  </si>
  <si>
    <t>RiskMan - Jačanje obrazovnih kapaciteta za upravljanje rizicima</t>
  </si>
  <si>
    <t>A679078.627</t>
  </si>
  <si>
    <t>Obrazovana potraga za visokotemperaturnom supravodljivošću u novim elektroničkim materijalima</t>
  </si>
  <si>
    <t>A679078.628</t>
  </si>
  <si>
    <t>Razvoj naprednog IT sustava za precizno određivanje broja ljudi u otvorenim i zatvorenim prostorima (IRI)</t>
  </si>
  <si>
    <t>A679078.629</t>
  </si>
  <si>
    <t>A679078.630</t>
  </si>
  <si>
    <t>A679078.631</t>
  </si>
  <si>
    <t>Interreg D-Care Labs</t>
  </si>
  <si>
    <t>A679078.632</t>
  </si>
  <si>
    <t>ERASMUS+ KA2 Krajolici za učenje</t>
  </si>
  <si>
    <t>A679078.633</t>
  </si>
  <si>
    <t>EULAW - projekti obuke pravosudnih stručnjaka</t>
  </si>
  <si>
    <t>A679078.634</t>
  </si>
  <si>
    <t>Erasmus+ MELLE - Modernizacija pravnog obrazovanja u europskom pravu</t>
  </si>
  <si>
    <t>A679078.635</t>
  </si>
  <si>
    <t>ERASMUS Jačanje kapaciteta u visokom obrazovanju</t>
  </si>
  <si>
    <t>A679078.636</t>
  </si>
  <si>
    <t>CENTRINNO - rješenja za regeneraciju industrijskih povijesnih mjesta</t>
  </si>
  <si>
    <t>A679078.637</t>
  </si>
  <si>
    <t>A679078.638</t>
  </si>
  <si>
    <t>Platforma 50+ za unaprjeđivanje uvjeta rada</t>
  </si>
  <si>
    <t>A679078.639</t>
  </si>
  <si>
    <t>Obzor 2020 MEDICTA - Razvoj sustava za diktiranje medicinskih nalaza na bosanskom / hrvatskom / srpskom jeziku uključujući latinske izraze</t>
  </si>
  <si>
    <t>A679078.640</t>
  </si>
  <si>
    <t>FENIQS-EU - jačanje provedbe standarda kvalitete u smanjenju potražnje za drogama u cijeloj Europi</t>
  </si>
  <si>
    <t>A679078.641</t>
  </si>
  <si>
    <t>PROBITECT - Sinergijska inovativna kombinacija sastavnica mikrobiote kao osnova za razvoj inovativnih topikalnih proizvoda za tretiranje i prevenciju upalnih stanja humane kože</t>
  </si>
  <si>
    <t>A679078.642</t>
  </si>
  <si>
    <t>Interreg Adrion: Vuna kao izvanredna prilika za polugu - VUNA</t>
  </si>
  <si>
    <t>A679078.643</t>
  </si>
  <si>
    <t>ERASMUS + KA2 - Strateško partnerstvo COGSTEPS Startup obrazovanje i podrška studentima doktorskih studija, istraživačima i znanstvenicima</t>
  </si>
  <si>
    <t>A679078.644</t>
  </si>
  <si>
    <t>Zaštita cjelovitosti konstrukcija u energetici i transportu</t>
  </si>
  <si>
    <t>A679078.645</t>
  </si>
  <si>
    <t>AgroEko - Napredna i prediktivna poljoprivreda za otpornost klimatskim promjenama</t>
  </si>
  <si>
    <t>A679078.646</t>
  </si>
  <si>
    <t>Izazovi za društvene i humanističke znanosti: novi studiji i sustav kvalitete Filozofskog fakulteta u Zagrebu</t>
  </si>
  <si>
    <t>A679078.647</t>
  </si>
  <si>
    <t>RISE DORNA - Razvoj motornih pogona visoke pouzdanosti za pogonske aplikacije sljedeće generacije</t>
  </si>
  <si>
    <t>A679078.648</t>
  </si>
  <si>
    <t>FunTomP - Funkcionalizirani proizvodi od rajčice</t>
  </si>
  <si>
    <t>A679078.649</t>
  </si>
  <si>
    <t>ROUTE ( HORIZON )- Putokaz iz medicinskih pustinja u inicijative i politike zdravstvene radne snage koje podržavaju</t>
  </si>
  <si>
    <t>A679078.650</t>
  </si>
  <si>
    <t>EUROP2E (Erasmus+) - Europska otvorena platforma za propisivanje obrazovanja</t>
  </si>
  <si>
    <t>A679078.651</t>
  </si>
  <si>
    <t>WATCHPLANT - Pametni biohibridni fito-organizmi za okoliš</t>
  </si>
  <si>
    <t>A679078.652</t>
  </si>
  <si>
    <t>Eatris Plus - H2020 Konsolidacija kapaciteta EATRIS -ERIC -a za personaliziranu medicinu</t>
  </si>
  <si>
    <t>A679078.653</t>
  </si>
  <si>
    <t>ERASMUS+projekt Sky Easy</t>
  </si>
  <si>
    <t>A679078.654</t>
  </si>
  <si>
    <t>ERASMUS+projekt Fit Old</t>
  </si>
  <si>
    <t>A679078.655</t>
  </si>
  <si>
    <t>CARNET21 -Ostali -EEA and Norw. Gran.Fund Reg.</t>
  </si>
  <si>
    <t>A679078.656</t>
  </si>
  <si>
    <t>IGT</t>
  </si>
  <si>
    <t>A679078.657</t>
  </si>
  <si>
    <t>ERASMUS + KA2 - Aktivno učenje kroz poboljšanu interaktivnost</t>
  </si>
  <si>
    <t>A679078.658</t>
  </si>
  <si>
    <t>IRI-II SOVA - Sustav za vizualno prepoznavanje proizvoda na policama</t>
  </si>
  <si>
    <t>A679078.659</t>
  </si>
  <si>
    <t>IRI-II Besposadni brod - Razvoj autonomnog besposadnog višenamjenskog broda</t>
  </si>
  <si>
    <t>A679078.660</t>
  </si>
  <si>
    <t>IRI-II Mareton-2 -Robusni sustav neprekinutog napajanja za uređaje željezničke i industrijske infrastrukture</t>
  </si>
  <si>
    <t>A679078.661</t>
  </si>
  <si>
    <t>IRI-II CYBERBUS-INREBUS -Model za analizu podataka iz nestrukturiranih izvora informacija s ciljem povećanja kibernetičke sigurnosti u složenim poslovnim sustavima</t>
  </si>
  <si>
    <t>A679078.662</t>
  </si>
  <si>
    <t>UN4DRR</t>
  </si>
  <si>
    <t>A679078.663</t>
  </si>
  <si>
    <t>ESA</t>
  </si>
  <si>
    <t>A679078.664</t>
  </si>
  <si>
    <t>IRI-II VIRT-UAV - Sustav autonomnih bespilotnih letjelica treniranih u virtualnim okruženjima</t>
  </si>
  <si>
    <t>A679078.665</t>
  </si>
  <si>
    <t>NLTP - Platforma nacionalnih jezičnih tehnologija</t>
  </si>
  <si>
    <t>A679078.666</t>
  </si>
  <si>
    <t>IRI-II AIDWAS  - Sustav za nadzor kibernetičkog prostora i informiranje o katastrofama i prijetnjama u stvarnom vremenu na bazi umjetne inteligencije</t>
  </si>
  <si>
    <t>A679078.667</t>
  </si>
  <si>
    <t>IRI-II PBM-PLIN - Iskorištenje manje kvalitetnih i nestalnih plinova za proizvodnju električne energije</t>
  </si>
  <si>
    <t>A679078.668</t>
  </si>
  <si>
    <t>IRI-II SmartEC - Smart EC - dijagnostički sustav za ispitivanje metodom vrtložnih struja</t>
  </si>
  <si>
    <t>A679078.669</t>
  </si>
  <si>
    <t>DIGITOOLS - Inovativni alati za poboljšanje rješenja e-učenja na sveučilištima</t>
  </si>
  <si>
    <t>A679078.670</t>
  </si>
  <si>
    <t>IRI-II 4VENT - Razvoj niza četverousisnih ventilatora za industrijska postrojenja</t>
  </si>
  <si>
    <t>A679078.671</t>
  </si>
  <si>
    <t>IRI-II CIP4SI - Razvoj digitalne platforme za izgradnju sustava zaštite kritičnih infrastruktura u pametnim industrijama</t>
  </si>
  <si>
    <t>A679078.672</t>
  </si>
  <si>
    <t>DERIN ERASMUS + Razvoj digitalne platforme za izgradnju sustava zaštite kritičnih infrastruktura u pametnim industrijama</t>
  </si>
  <si>
    <t>A679078.673</t>
  </si>
  <si>
    <t>NAUTICA CBC prekogranična nautička turistička ponuda</t>
  </si>
  <si>
    <t>A679078.674</t>
  </si>
  <si>
    <t>ELP Transport stručnjak za lokalni transport</t>
  </si>
  <si>
    <t>A679078.675</t>
  </si>
  <si>
    <t>INTERREG OJP4DANUBE</t>
  </si>
  <si>
    <t>A679078.676</t>
  </si>
  <si>
    <t>ReNewEurope - Ponovno otkrivanje „Nove Europe“ - Ljetna škola na kotačima za prekograničnu povijest i politiku Balkana / Srednje i Istočne Europe</t>
  </si>
  <si>
    <t>A679078.677</t>
  </si>
  <si>
    <t>PRISMI PLUS - Prijenos alata za integraciju OIE na pametnim mediteranskim otocima i ruralnim područjima</t>
  </si>
  <si>
    <t>A679078.678</t>
  </si>
  <si>
    <t>LSP Internetski tečaj za stručno usavršavanje nastavnika</t>
  </si>
  <si>
    <t>A679078.679</t>
  </si>
  <si>
    <t>RHEFINE - Retorika za inovativno obrazovanje</t>
  </si>
  <si>
    <t>A679078.680</t>
  </si>
  <si>
    <t>EXAFOAM - Iskorištavanje sustava Exascale</t>
  </si>
  <si>
    <t>A679078.681</t>
  </si>
  <si>
    <t>GLocalEAst - Razvoj novog kurikuluma o studijama globalne migracije, dijaspore i granica u istočnoj i središnjoj Europi</t>
  </si>
  <si>
    <t>A679078.682</t>
  </si>
  <si>
    <t>SEAS 4.0 ODRŽIVI BROD I DOSTAVA 4.0</t>
  </si>
  <si>
    <t>A679078.683</t>
  </si>
  <si>
    <t>CResDET - Digitalno obrazovanje i osposobljavanje otporno na krize</t>
  </si>
  <si>
    <t>A679078.684</t>
  </si>
  <si>
    <t>EDiToR - Učiti kako poučavati, poučavati kako učiti. Suočavanje s izazovima globalnih promjena u visokom obrazovanju pomoću digitalnih alata za reflektirajuće, kritičko i inkluzivno učenje o europskim povijesnim krajolicima</t>
  </si>
  <si>
    <t>A679078.685</t>
  </si>
  <si>
    <t>CESSDA ERIC Agenda 21-22</t>
  </si>
  <si>
    <t>A679078.686</t>
  </si>
  <si>
    <t>SHIPMARTECH - Nadogradnja i usklađivanje magistarskih tečajeva pomorskog inženjerstva</t>
  </si>
  <si>
    <t>A679078.687</t>
  </si>
  <si>
    <t>STAND - Jačanje autonomije sveučilišta i povećanje odgovornosti i transparentnosti sveučilišta Zapadnog Balkana</t>
  </si>
  <si>
    <t>A679078.688</t>
  </si>
  <si>
    <t>Mreža infrastrukture za istraživanje i razvoj kohortne zajednice za pristup diljem Europe</t>
  </si>
  <si>
    <t>A679078.689</t>
  </si>
  <si>
    <t>OLGA - OLympics  Green Airport</t>
  </si>
  <si>
    <t>A679078.690</t>
  </si>
  <si>
    <t>Uvođenje obrazovanja o intelektualnom vlasništvu za cjeloživotno učenje i ekonomiju znanja</t>
  </si>
  <si>
    <t>A679078.691</t>
  </si>
  <si>
    <t>Kako obični ljudi shvaćaju anti-gender poruke</t>
  </si>
  <si>
    <t>A679078.692</t>
  </si>
  <si>
    <t>Reforma stranih jezika u akademskim krugovima u Crnoj Gori</t>
  </si>
  <si>
    <t>A679078.693</t>
  </si>
  <si>
    <t>HRZZ Program suradnje s hrvatskim znanstvenicima u dijaspori ''ZNANSTVENA SURADNJA''</t>
  </si>
  <si>
    <t>A679078.694</t>
  </si>
  <si>
    <t>A679078.695</t>
  </si>
  <si>
    <t>A679078.696</t>
  </si>
  <si>
    <t>IRI Comparative genomics of non-model invertebrates (IGNITE)</t>
  </si>
  <si>
    <t>A679078.697</t>
  </si>
  <si>
    <t>STRIP Jačanje kapaciteta za istraživanje, razvoj i inovacije</t>
  </si>
  <si>
    <t>A679078.698</t>
  </si>
  <si>
    <t>A679078.699</t>
  </si>
  <si>
    <t>A679078.700</t>
  </si>
  <si>
    <t>Formiranje C-C veze pomoću vrhunskih enzima</t>
  </si>
  <si>
    <t>A679078.701</t>
  </si>
  <si>
    <t>RADICALZ — H2020-FNR-2020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</si>
  <si>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</si>
  <si>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</si>
  <si>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</si>
  <si>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</si>
  <si>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</si>
  <si>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</si>
  <si>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</si>
  <si>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</si>
  <si>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A679081.005</t>
  </si>
  <si>
    <t>INTERREG e-MOB</t>
  </si>
  <si>
    <t>A679081.008</t>
  </si>
  <si>
    <t>Uspostava RCK u strojarstvu SJEVER -TŠČ</t>
  </si>
  <si>
    <t>A679081.009</t>
  </si>
  <si>
    <t>A679081.010</t>
  </si>
  <si>
    <t>Ulaganje u istraživanje i razvoj BBR Adria d.o.o.</t>
  </si>
  <si>
    <t>A679081.011</t>
  </si>
  <si>
    <t>Istraživanje i razvoj inovativnih i pametnih tehnologija za gospodarenje otpadom, prijevoz i logistiku</t>
  </si>
  <si>
    <t>A679081.012</t>
  </si>
  <si>
    <t>Integracija (bivših) Jugoslavena u Švicarskoj</t>
  </si>
  <si>
    <t>A679081.013</t>
  </si>
  <si>
    <t>Unapređenje rada Medicinske škole AK Zadar- regionalnog centra kompetentnosti u sektoru zdravstva</t>
  </si>
  <si>
    <t>A679115.001</t>
  </si>
  <si>
    <t>INTERREG IPA CBC Hrvatska - Srbija, Obnovljivi izvori energije za pametne, održive, zdravstvene centre, visokoobrazovne ustanove i druge javne zgrade</t>
  </si>
  <si>
    <t>A679115.002</t>
  </si>
  <si>
    <t>Centar za istraživanje, razvoj i inovacije - CIRI</t>
  </si>
  <si>
    <t>A679115.004</t>
  </si>
  <si>
    <t>Pametna naljepnica za mjerenje i praćenje uvjeta skladištenja i transporta proizvoda</t>
  </si>
  <si>
    <t>A679115.005</t>
  </si>
  <si>
    <t>AVACS, Prilagodba povrtnih kultura novim agrometeorološkim uvjetima u Slavoniji</t>
  </si>
  <si>
    <t>A679115.006</t>
  </si>
  <si>
    <t>Dobra klima za turizam</t>
  </si>
  <si>
    <t>A679115.008</t>
  </si>
  <si>
    <t>EXPERIO-razvoj strojeva za kvalitetu i paletizaciju u automobilskoj industriji</t>
  </si>
  <si>
    <t>A679115.009</t>
  </si>
  <si>
    <t>ERASMUS</t>
  </si>
  <si>
    <t>A679115.010</t>
  </si>
  <si>
    <t>RESIN-razvoj sustava za ispitivanje višefaznih strujanja i izgaranja</t>
  </si>
  <si>
    <t>K679084.001</t>
  </si>
  <si>
    <t>Vrhunska istraživanja Znanstvenih centara izvrsnosti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</si>
  <si>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</si>
  <si>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</si>
  <si>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</si>
  <si>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</si>
  <si>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</si>
  <si>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K679084.005</t>
  </si>
  <si>
    <t>K679084.007</t>
  </si>
  <si>
    <t>K679106.001</t>
  </si>
  <si>
    <t>K679106.002</t>
  </si>
  <si>
    <t>K679106.003</t>
  </si>
  <si>
    <t>K679106.004</t>
  </si>
  <si>
    <t>SHARE Istraživanje o zdravlju, starenju i umirovljenju u Europi</t>
  </si>
  <si>
    <t>K679106.005</t>
  </si>
  <si>
    <t>Uspostava integralnog sustava za upravljanje službenom dokumentacijom Republike Hrvatske</t>
  </si>
  <si>
    <t>K679111.001</t>
  </si>
  <si>
    <t>Druga prilika za stjecanje kvalifikacije u visokom obrazovanju</t>
  </si>
  <si>
    <t>A622125.001</t>
  </si>
  <si>
    <t>H2020, Twinning: SmartEIZ</t>
  </si>
  <si>
    <t>A622125.002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</si>
  <si>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</si>
  <si>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</si>
  <si>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</si>
  <si>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</si>
  <si>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</si>
  <si>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</si>
  <si>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</si>
  <si>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</si>
  <si>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</si>
  <si>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</si>
  <si>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</si>
  <si>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</si>
  <si>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</si>
  <si>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</si>
  <si>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</si>
  <si>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</si>
  <si>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H2020 NEW Povezivanje komplementanih nacionalnih ion-beam postrojenja u virtualnu mrežu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</si>
  <si>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</si>
  <si>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</si>
  <si>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</si>
  <si>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</si>
  <si>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</si>
  <si>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</si>
  <si>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</si>
  <si>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</si>
  <si>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</si>
  <si>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</si>
  <si>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</si>
  <si>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</si>
  <si>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</si>
  <si>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</si>
  <si>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</si>
  <si>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</si>
  <si>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A622125.026</t>
  </si>
  <si>
    <t>VOLPOWER Volontiranje kao doprinos interakciji i osnaživanju mladih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</si>
  <si>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</si>
  <si>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</si>
  <si>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</si>
  <si>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</si>
  <si>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</si>
  <si>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</si>
  <si>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</si>
  <si>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</si>
  <si>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</si>
  <si>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</si>
  <si>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</si>
  <si>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</si>
  <si>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</si>
  <si>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</si>
  <si>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</si>
  <si>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</si>
  <si>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</si>
  <si>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</si>
  <si>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</si>
  <si>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</si>
  <si>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</si>
  <si>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</si>
  <si>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</si>
  <si>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</si>
  <si>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</si>
  <si>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</si>
  <si>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A622125.047</t>
  </si>
  <si>
    <t>Horizon2020  M4F Modeliranje za fuzijske i fizijske materijale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</si>
  <si>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</si>
  <si>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</si>
  <si>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</si>
  <si>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</si>
  <si>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</si>
  <si>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</si>
  <si>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</si>
  <si>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</si>
  <si>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</si>
  <si>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</si>
  <si>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</si>
  <si>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</si>
  <si>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</si>
  <si>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</si>
  <si>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</si>
  <si>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</si>
  <si>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</si>
  <si>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</si>
  <si>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</si>
  <si>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</si>
  <si>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</si>
  <si>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</si>
  <si>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</si>
  <si>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</si>
  <si>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</si>
  <si>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</si>
  <si>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</si>
  <si>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</si>
  <si>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A622125.063</t>
  </si>
  <si>
    <t>COST- Integriranje neandertalnog nasljeđa: od prošlosti do danas - iNEAL</t>
  </si>
  <si>
    <t>A622125.064</t>
  </si>
  <si>
    <t>INTERREG - Dunavski limes</t>
  </si>
  <si>
    <t>A622125.065</t>
  </si>
  <si>
    <t>RESPONSe - INTERREG ITALIJA-HRVATSKA</t>
  </si>
  <si>
    <t>A622125.066</t>
  </si>
  <si>
    <t>Interreg- Srednja Europa project CE1412</t>
  </si>
  <si>
    <t>A622125.067</t>
  </si>
  <si>
    <t>DEEPWATER-CE- Razvoj integriranog provedbenog okvira radi zaštite vodnih resursa</t>
  </si>
  <si>
    <t>A622125.068</t>
  </si>
  <si>
    <t>MUHA-upravljanje vodnim sustavima tijekom rizika od hazarda</t>
  </si>
  <si>
    <t>A622125.070</t>
  </si>
  <si>
    <t>DESTIMED-Ekoturizam u mediteranskim destinacijama-od praćenja i planiranja do promicanja i podrške</t>
  </si>
  <si>
    <t>A622125.071</t>
  </si>
  <si>
    <t>INTERREG Središnja Europa</t>
  </si>
  <si>
    <t>A622125.072</t>
  </si>
  <si>
    <t>ERASMUS-Jean Monnet</t>
  </si>
  <si>
    <t>A622125.073</t>
  </si>
  <si>
    <t>MPM2020/2021</t>
  </si>
  <si>
    <t>A622125.074</t>
  </si>
  <si>
    <t>CEKOM</t>
  </si>
  <si>
    <t>A622125.075</t>
  </si>
  <si>
    <t>Interreg-IPA CBC HR-BIH-MAKEDONIJA</t>
  </si>
  <si>
    <t>A622125.076</t>
  </si>
  <si>
    <t>Klimatske promjene</t>
  </si>
  <si>
    <t>A622125.077</t>
  </si>
  <si>
    <t>HORIZON 2020 PHOENIX-Proizvodnja i testiranje nano lijekova</t>
  </si>
  <si>
    <t>A622125.078</t>
  </si>
  <si>
    <t>H2020 INVENT - Europski popis društvenih vrijednosti kulture kao osnova za inkluzivne kulturne politike u svijetu globalizacije</t>
  </si>
  <si>
    <t>A622125.079</t>
  </si>
  <si>
    <t>Erasmus + „BESPLATNO DODAJ - Prevencija ovisnosti o pušenju, alkoholu i internetu među djecom i adolescentima: pristup obiteljskoj orijentaciji za odrasle učenike i odgajatelje</t>
  </si>
  <si>
    <t>A622125.080</t>
  </si>
  <si>
    <t>H2020-WIDESPREAD-Twinning kordinacijska akcija u području otvorenih podataka</t>
  </si>
  <si>
    <t>A622125.081</t>
  </si>
  <si>
    <t>ERASMUS+, IDEA</t>
  </si>
  <si>
    <t>A622125.082</t>
  </si>
  <si>
    <t>H2020 2018-2021 GeoTwinn</t>
  </si>
  <si>
    <t>A622125.083</t>
  </si>
  <si>
    <t>INTERREG boDEREC CE</t>
  </si>
  <si>
    <t>A622125.084</t>
  </si>
  <si>
    <t>INTERREG RESTAURA - Revitalising Historic Buildings through Public-Private Partnership Schemes</t>
  </si>
  <si>
    <t>A622125.087</t>
  </si>
  <si>
    <t>Project 'RAMBOLL '</t>
  </si>
  <si>
    <t>A622125.090</t>
  </si>
  <si>
    <t>H2020 ECDP-European Cohort Development Project</t>
  </si>
  <si>
    <t>A622125.091</t>
  </si>
  <si>
    <t>ERASMUS + SKILLS BORD 2017+1-ELO1-KA202-036296</t>
  </si>
  <si>
    <t>A622125.093</t>
  </si>
  <si>
    <t>MEMBRANESACT, Biološke membrane na djelu: Poveznica proteinskih međudjelovanja, stvaranja makrostruktura i aktivnog transporta</t>
  </si>
  <si>
    <t>MARILIA-Mara-Based Industrial Low-Cost Identification Assays</t>
  </si>
  <si>
    <t>A622125.095</t>
  </si>
  <si>
    <t>"STREPUNLOCKED, Otključavanje potencijala za proizvodnju antibiotika u tlubakterija Streptomyces coelicolor"</t>
  </si>
  <si>
    <t>A622125.096</t>
  </si>
  <si>
    <t>MUSICA, Podrijetlo novih magnetskih struktura - mrlja u difuznom Galaktičkom međuzvjezdanom mediju (ISM) koji zatamnjuju kozmičku zoru</t>
  </si>
  <si>
    <t>ERC Synergy Grant ANEUPLOIDY, Molekularno porijeklo aneuploidija u zdravim i oboljelim ljudskim tkivima</t>
  </si>
  <si>
    <t>A622125.098</t>
  </si>
  <si>
    <t>Enhancement of the Innovation Potential in SEE through new Molecular Solutions in Research and Development - InnoMol</t>
  </si>
  <si>
    <t>A622125.103</t>
  </si>
  <si>
    <t>EU-3D CPAM</t>
  </si>
  <si>
    <t>A622125.106</t>
  </si>
  <si>
    <t>EU -HORIZON-RECORD IT</t>
  </si>
  <si>
    <t>A622125.107</t>
  </si>
  <si>
    <t>MAESTRA, Učenje iz masivnih, nepotpuno zabilježenih i strukturiranih podataka</t>
  </si>
  <si>
    <t>A622125.110</t>
  </si>
  <si>
    <t>H2020 PROMISE-PROMoting youth Involvement and Social Engagement</t>
  </si>
  <si>
    <t>A622125.111</t>
  </si>
  <si>
    <t>A622125.112</t>
  </si>
  <si>
    <t>H2020, EGI ENGAGE -Engaging the EGI Community towards an Open Science Commons</t>
  </si>
  <si>
    <t>A622125.114</t>
  </si>
  <si>
    <t>Molecular Quantum Simulations – MOQS</t>
  </si>
  <si>
    <t>A622125.116</t>
  </si>
  <si>
    <t>H2020 Unravelling Data for Rapid Evidence-Based Response to COVID 19 (unCoVer)</t>
  </si>
  <si>
    <t>A622125.117</t>
  </si>
  <si>
    <t>RESPONSa - U programa INTERREG IPA CBC Hrvatska-Bosna i Hercegovina-Crna Gora 2014-2020</t>
  </si>
  <si>
    <t>A622125.118</t>
  </si>
  <si>
    <t>GeoTwinn H2020 2018-2021</t>
  </si>
  <si>
    <t>A622125.119</t>
  </si>
  <si>
    <t>boDEREC CE Interreg</t>
  </si>
  <si>
    <t>A622125.120</t>
  </si>
  <si>
    <t>Geotehnički fakultet Varaždin - Ministarstvo zaštite okoliša i energetike iz EU sredstva Europskog fonda za reg razvoj</t>
  </si>
  <si>
    <t>A622125.121</t>
  </si>
  <si>
    <t>EU-SMART-NANO</t>
  </si>
  <si>
    <t>A622125.122</t>
  </si>
  <si>
    <t>Bioraznolikost i molekularno oplemenjivanje bilja</t>
  </si>
  <si>
    <t>A622125.123</t>
  </si>
  <si>
    <t>LASERLAB-EUROPE- integrirana inicijativa Europske laserske istraživačke infrastrukture</t>
  </si>
  <si>
    <t>A622125.124</t>
  </si>
  <si>
    <t>Biološke i bioinspirirane strukture za multispektralni nadzor</t>
  </si>
  <si>
    <t>Potpora vrhunskim istraživanjima Centra izvrsnosti za napredne materijale i senzore, KK.01.1.1.01.0001</t>
  </si>
  <si>
    <t>A622125.126</t>
  </si>
  <si>
    <t>Geothermal-DHC COST</t>
  </si>
  <si>
    <t>A622125.127</t>
  </si>
  <si>
    <t>Emodnet-Geol 5</t>
  </si>
  <si>
    <t>A622125.128</t>
  </si>
  <si>
    <t>EIT RM-Li3T</t>
  </si>
  <si>
    <t>A622125.129</t>
  </si>
  <si>
    <t>EIT RM-RIS REACT</t>
  </si>
  <si>
    <t>A622125.130</t>
  </si>
  <si>
    <t>UNLOCK-CAVE</t>
  </si>
  <si>
    <t>A622125.131</t>
  </si>
  <si>
    <t>A622125.132</t>
  </si>
  <si>
    <t>JM network WB 2 EU</t>
  </si>
  <si>
    <t>A622125.133</t>
  </si>
  <si>
    <t>Erasmus GIST</t>
  </si>
  <si>
    <t>JamINNO+ Razvoj funkcionalnog pića u održivoj ambalaži</t>
  </si>
  <si>
    <t>A622125.135</t>
  </si>
  <si>
    <t>H2020 COORDINATE- Mreža infrastrukture za istraživanje i razvoj kohorte Zajednice za pristup diljem Europe</t>
  </si>
  <si>
    <t>A622125.136</t>
  </si>
  <si>
    <t>"IoT-polje: Eko sustav umreženih uređaja i usluga za Internet stvari s primjenom u poljoprivredi (KK.01.1.1.04.0108)"</t>
  </si>
  <si>
    <t>A622125.137</t>
  </si>
  <si>
    <t>A622125.138</t>
  </si>
  <si>
    <t>Osiguranje usjeva, životinja i biljaka</t>
  </si>
  <si>
    <t>A622125.139</t>
  </si>
  <si>
    <t>Potpora u poljoprivredi</t>
  </si>
  <si>
    <t>A622125.140</t>
  </si>
  <si>
    <t>ConsumeLess Plus</t>
  </si>
  <si>
    <t>AIDAInnova- Napredak i inovacije za detektore</t>
  </si>
  <si>
    <t>AIMed - Antimikrobne integrirane metodologije za ortopedske primjene</t>
  </si>
  <si>
    <t>DiseaseINgroups- Obrana od bolesti u skupinama: uloga povezanosti, rizik i vrsta patogena</t>
  </si>
  <si>
    <t>ENTRANCE- učinkovitost ispitivanja na temu rizika  prelaska teretnih granica bez ometanja poslovanja</t>
  </si>
  <si>
    <t>EURAMED rocc-n-roll- primjena i koncept zaštite od zračenja: strateški plan istraživanjai međusobno povezivanje sa aspektima topline i digitalizacije</t>
  </si>
  <si>
    <t>EUROCC -Nacionalni centri za kompetencije u okviru Obzor 2020</t>
  </si>
  <si>
    <t>GrindCore - Brušenje uz pomoć tekućine - od temelja do aplikacija</t>
  </si>
  <si>
    <t>JERICO-DS - Zajednička europska istraživačka infrastruktura obalnih opservatorija</t>
  </si>
  <si>
    <t>MOQS - Molekularne kvantne simulacije</t>
  </si>
  <si>
    <t>PEST-BIN- Pionirske strategije protiv bakterijskih infekcija</t>
  </si>
  <si>
    <t>A622125.152</t>
  </si>
  <si>
    <t>RESONATE Horizon 2020</t>
  </si>
  <si>
    <t>A622125.153</t>
  </si>
  <si>
    <t>SUPERB - Sustavna rješenja za povećanje hitne obnove ekosustava za bioraznolikost i usluge ekosustava povezane sa šumama</t>
  </si>
  <si>
    <t>A622125.155</t>
  </si>
  <si>
    <t>Napredne metode i tehnologije u znanosti o podatcima i kooperativnim sustavima (DATACROSS)</t>
  </si>
  <si>
    <t>K622128.001</t>
  </si>
  <si>
    <t>K622128.002</t>
  </si>
  <si>
    <t>Veliki projekt: Otvorene znanstvene infrastrukturne platforme za inovativne primjene u gospodarstvu i društvu – O–ZIP</t>
  </si>
  <si>
    <t>K622128.004</t>
  </si>
  <si>
    <t>K622128.007</t>
  </si>
  <si>
    <t>Strateški projekt "Centar za napredne laserske tehnike"</t>
  </si>
  <si>
    <t>K622128.009</t>
  </si>
  <si>
    <t>K622128.010</t>
  </si>
  <si>
    <t>K628080.001</t>
  </si>
  <si>
    <t>II. faza programa "e-Škole: Cjelovita informatizacija procesa poslovanja škola i nastavnih procesa u svrhu stvaranja ditigalno zrelih škola za 21. stoljeće"</t>
  </si>
  <si>
    <t>K628080.003</t>
  </si>
  <si>
    <t>Program unaprjeđenja primjene digitalne tehnologije u obrazovnom sustavu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</si>
  <si>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</si>
  <si>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</si>
  <si>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</si>
  <si>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K628081.003</t>
  </si>
  <si>
    <t>K628087.001</t>
  </si>
  <si>
    <t>Znanstveno i tehnologijsko predviđanje - sustav CroRIS</t>
  </si>
  <si>
    <t>K628087.002</t>
  </si>
  <si>
    <t>Hrvatski znanstveni i obrazovni oblak (HR ZOO)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</si>
  <si>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</si>
  <si>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</si>
  <si>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</si>
  <si>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</si>
  <si>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</si>
  <si>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</si>
  <si>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</si>
  <si>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</si>
  <si>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</si>
  <si>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</si>
  <si>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</si>
  <si>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</si>
  <si>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K733069.001</t>
  </si>
  <si>
    <t>K733069.002</t>
  </si>
  <si>
    <t>UNOS PRIJENOSA SREDSTAVA (DONOSA I ODNOSA)</t>
  </si>
  <si>
    <t>Godina</t>
  </si>
  <si>
    <t>Stavka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</si>
  <si>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</si>
  <si>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</si>
  <si>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</si>
  <si>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</si>
  <si>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</si>
  <si>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</si>
  <si>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</si>
  <si>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</si>
  <si>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</si>
  <si>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 xml:space="preserve">IZVOR 552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</si>
  <si>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</si>
  <si>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</si>
  <si>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</si>
  <si>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>573 Instrumenti Europskog gospodarskog prostora i ostali instrumenti</t>
  </si>
  <si>
    <t>575 Fondovi za unutarnje poslove</t>
  </si>
  <si>
    <t>576 Fond solidarnosti Europske unije</t>
  </si>
  <si>
    <t>IZVOR 581                Mehanizam za oporavak i otpornost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</si>
  <si>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</si>
  <si>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</si>
  <si>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</si>
  <si>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IZVOR 81                Namjenski primici od zaduživanja</t>
  </si>
  <si>
    <t>PRIHODI I PRIMICI (6+7+8)</t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</si>
  <si>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</si>
  <si>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LIMIT ZA RASHODE I IZDATKE</t>
  </si>
  <si>
    <t>RASHODI I IZDACI (3+4+5)</t>
  </si>
  <si>
    <r>
      <rPr>
        <b/>
        <sz val="16"/>
        <color rgb="FF333399"/>
        <rFont val="Calibri"/>
        <family val="2"/>
        <charset val="238"/>
      </rPr>
      <t>KONTROLA 2023</t>
    </r>
    <r>
      <rPr>
        <b/>
        <sz val="12"/>
        <color rgb="FF333399"/>
        <rFont val="Calibri"/>
        <family val="2"/>
        <charset val="238"/>
      </rPr>
      <t xml:space="preserve"> 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</si>
  <si>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</si>
  <si>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2024  </t>
    </r>
    <r>
      <rPr>
        <b/>
        <sz val="12"/>
        <color rgb="FF333399"/>
        <rFont val="Calibri"/>
        <family val="2"/>
        <charset val="238"/>
      </rPr>
      <t>(stupac D = nula)</t>
    </r>
  </si>
  <si>
    <r>
      <rPr>
        <sz val="10"/>
        <color theme="1"/>
        <rFont val="Calibri"/>
        <family val="2"/>
        <charset val="238"/>
      </rP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</si>
  <si>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r>
      <rPr>
        <b/>
        <sz val="16"/>
        <color rgb="FF333399"/>
        <rFont val="Calibri"/>
        <family val="2"/>
        <charset val="238"/>
      </rPr>
      <t xml:space="preserve">KONTROLA 2024  </t>
    </r>
    <r>
      <rPr>
        <b/>
        <sz val="12"/>
        <color rgb="FF333399"/>
        <rFont val="Calibri"/>
        <family val="2"/>
        <charset val="238"/>
      </rPr>
      <t>(stupac D = nula)</t>
    </r>
  </si>
  <si>
    <t>I. OPĆI DIO</t>
  </si>
  <si>
    <t xml:space="preserve">A. RAČUN PRIHODA I RASHODA </t>
  </si>
  <si>
    <t>A1. PRIHODI POSLOVANJA I PRIHODI OD PRODAJE NEFINANCIJSKE IMOVINE</t>
  </si>
  <si>
    <t>UKUPNO PRIHODI</t>
  </si>
  <si>
    <t>61</t>
  </si>
  <si>
    <t>Prihodi od poreza</t>
  </si>
  <si>
    <t>63</t>
  </si>
  <si>
    <t>Pomoći iz inozemstva (darovnice)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</si>
  <si>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</si>
  <si>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</si>
  <si>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</si>
  <si>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</si>
  <si>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</si>
  <si>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</si>
  <si>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</si>
  <si>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</si>
  <si>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68</t>
  </si>
  <si>
    <t>Kazne, upravne mjere i ostali prihodi</t>
  </si>
  <si>
    <t>6</t>
  </si>
  <si>
    <t>UKUPNO:</t>
  </si>
  <si>
    <t>71</t>
  </si>
  <si>
    <t>Prihodi od prodaje neproizvedene dugotrajne imovine</t>
  </si>
  <si>
    <t>72</t>
  </si>
  <si>
    <t>Prihodi od prodaje proizvedene dugotrajne imovine</t>
  </si>
  <si>
    <t>7</t>
  </si>
  <si>
    <t>A. 2. RASHODI POSLOVANJA I RASHODI ZA NABAVU NEFINANCIJSKE IMOVINE</t>
  </si>
  <si>
    <t>Šifra</t>
  </si>
  <si>
    <t>Naziv</t>
  </si>
  <si>
    <t>PRIJEDLOG PLANA 
UKUPNO za 2023.</t>
  </si>
  <si>
    <t xml:space="preserve">IZVOR 11              Opći prihodi i primici </t>
  </si>
  <si>
    <t>IZVOR 41  Prihodi od igara na sreću</t>
  </si>
  <si>
    <t>IZVOR 575 Fondovi za unutarnje poslove</t>
  </si>
  <si>
    <t>IZVOR 576 Fond solidarnosti Europske unije</t>
  </si>
  <si>
    <t>IZVOR 71                          Prihodi od nefin. imovine i nadoknade šteta s osnova osig.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</si>
  <si>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</si>
  <si>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</si>
  <si>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</si>
  <si>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</si>
  <si>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</si>
  <si>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</si>
  <si>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</si>
  <si>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</si>
  <si>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Ostali rashodi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</si>
  <si>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</si>
  <si>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</si>
  <si>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</si>
  <si>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</si>
  <si>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</si>
  <si>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</si>
  <si>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>PROJEKCIJA PLANA 
UKUPNO za 2024.</t>
  </si>
  <si>
    <t>PROJEKCIJA PLANA 
UKUPNO za 2025.</t>
  </si>
  <si>
    <t>A.3. RASHODI PREMA IZVORIMA FINANCIRANJA</t>
  </si>
  <si>
    <t>BROJČANA OZNAKA</t>
  </si>
  <si>
    <t>NAZIV IZVORA FINANCIRANJA</t>
  </si>
  <si>
    <t>PLAN
za 2023.</t>
  </si>
  <si>
    <t>PROJEKCIJA 
za 2024.</t>
  </si>
  <si>
    <t>PROJEKCIJA 
za 2025.</t>
  </si>
  <si>
    <t>UKUPNI RASHODI</t>
  </si>
  <si>
    <t>OPĆI PRIHODI I PRIMICI</t>
  </si>
  <si>
    <t xml:space="preserve">Opći prihodi i primici </t>
  </si>
  <si>
    <t>VLASTITI PRIHODI</t>
  </si>
  <si>
    <t xml:space="preserve">Vlastiti prihodi </t>
  </si>
  <si>
    <t>PRIHODI ZA POSEBNE NAMJENE</t>
  </si>
  <si>
    <t xml:space="preserve"> Prihodi za posebne namjene </t>
  </si>
  <si>
    <t>POMOĆI</t>
  </si>
  <si>
    <t xml:space="preserve"> Pomoći EU</t>
  </si>
  <si>
    <t xml:space="preserve">Ostale pomoći </t>
  </si>
  <si>
    <t xml:space="preserve"> Ostale pomoći </t>
  </si>
  <si>
    <t>Ostale refundacije iz sredstava EU</t>
  </si>
  <si>
    <t>DONACIJE</t>
  </si>
  <si>
    <t xml:space="preserve"> Inozemne donacije </t>
  </si>
  <si>
    <t>PRIHODI OD PRODAJE ILI ZAMJENE NEFINANCIJSKE IMOVINE I NAKNADE S NASLOVA OSIGURANJA</t>
  </si>
  <si>
    <t>Prihodi od nefin. imovine i nadoknade šteta s osnova osig.</t>
  </si>
  <si>
    <t>NAMJENSKI PRIMICI</t>
  </si>
  <si>
    <t>A. 4. RASHODI PREMA FUNKCIJSKOJ KLASIFIKACIJI</t>
  </si>
  <si>
    <t>NAZIV FUNKCIJSKE KLASIFIKACIJE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</si>
  <si>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</si>
  <si>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</si>
  <si>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</si>
  <si>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</si>
  <si>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</si>
  <si>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</si>
  <si>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</si>
  <si>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</si>
  <si>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</si>
  <si>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</si>
  <si>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</si>
  <si>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</si>
  <si>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</si>
  <si>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</si>
  <si>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</si>
  <si>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</si>
  <si>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</si>
  <si>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</si>
  <si>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</si>
  <si>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</si>
  <si>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</si>
  <si>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</si>
  <si>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</si>
  <si>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</si>
  <si>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</si>
  <si>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</si>
  <si>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</si>
  <si>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</si>
  <si>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</si>
  <si>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</si>
  <si>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</si>
  <si>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</si>
  <si>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</si>
  <si>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</si>
  <si>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</si>
  <si>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</si>
  <si>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</si>
  <si>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</si>
  <si>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</si>
  <si>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</si>
  <si>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</si>
  <si>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</si>
  <si>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</si>
  <si>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</si>
  <si>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</si>
  <si>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</si>
  <si>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</si>
  <si>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</si>
  <si>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</si>
  <si>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</si>
  <si>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</si>
  <si>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</si>
  <si>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</si>
  <si>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</si>
  <si>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</si>
  <si>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</si>
  <si>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</si>
  <si>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</si>
  <si>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</si>
  <si>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</si>
  <si>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</si>
  <si>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</si>
  <si>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</si>
  <si>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</si>
  <si>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</si>
  <si>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</si>
  <si>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</si>
  <si>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</si>
  <si>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</si>
  <si>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</si>
  <si>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</si>
  <si>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</si>
  <si>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Izvor prihoda i primitaka</t>
  </si>
  <si>
    <t>2023.</t>
  </si>
  <si>
    <t>Primljeni povrati glavnica danih zajmova i depozita</t>
  </si>
  <si>
    <t>Primici od izdanih vrijednosnih papira</t>
  </si>
  <si>
    <t>Primici od prodaje dionica i udjela u glavnici</t>
  </si>
  <si>
    <t>Primici od zaduživanja</t>
  </si>
  <si>
    <t>Izdaci za dane zajmove i depozite</t>
  </si>
  <si>
    <t>Izdaci za otplatu glavnice primljenih kredita i zajmova</t>
  </si>
  <si>
    <t>2024.</t>
  </si>
  <si>
    <t>2025.</t>
  </si>
  <si>
    <t>080</t>
  </si>
  <si>
    <t>NOVI AKT</t>
  </si>
  <si>
    <t>NAZIV AKTIVNOSTI / PROJEKTA</t>
  </si>
  <si>
    <t>Glava (O2) - iz podataka (povijesni pogled)</t>
  </si>
  <si>
    <t>d</t>
  </si>
  <si>
    <t>Podprogram (P3)</t>
  </si>
  <si>
    <t>Funkcijsko područje (F3)</t>
  </si>
  <si>
    <t>Ministarstvo znanosti i obrazovanja</t>
  </si>
  <si>
    <t>Javni instituti u Republici Hrvatskoj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</si>
  <si>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</si>
  <si>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</si>
  <si>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</si>
  <si>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</si>
  <si>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</si>
  <si>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</si>
  <si>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</si>
  <si>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</si>
  <si>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</si>
  <si>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</si>
  <si>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</si>
  <si>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</si>
  <si>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</si>
  <si>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</si>
  <si>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</si>
  <si>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</si>
  <si>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</si>
  <si>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</si>
  <si>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</si>
  <si>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</si>
  <si>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</si>
  <si>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PODPROJEKTI (P4)</t>
  </si>
  <si>
    <t>K679111</t>
  </si>
  <si>
    <t>OP UČINKOVITI LJUDSKI POTENCIJALI 2014.-2020., PRIORITET 1 - GARANCIJA ZA MLADE</t>
  </si>
  <si>
    <t>Dopušteni izvor</t>
  </si>
  <si>
    <t>Unos</t>
  </si>
  <si>
    <t>Tablica 2. POPIS PRORAČUNSKIH KORISNIKA DRŽAVNOG PRORAČUNA</t>
  </si>
  <si>
    <t>3</t>
  </si>
  <si>
    <t>HRVATSKI SABOR</t>
  </si>
  <si>
    <t>TRG SV. MARKA 6</t>
  </si>
  <si>
    <t>38597506234</t>
  </si>
  <si>
    <t>POVJERENSTVO ZA FISKALNU POLITIKU</t>
  </si>
  <si>
    <t>DEMETROVA ULICA 15</t>
  </si>
  <si>
    <t>24871013494</t>
  </si>
  <si>
    <t>DRŽAVNO IZBORNO POVJERENSTVO REPUBLIKE HRVATSKE</t>
  </si>
  <si>
    <t>VISOKA 15</t>
  </si>
  <si>
    <t>79269920246</t>
  </si>
  <si>
    <t>URED PREDSJEDNICE REPUBLIKE HRVATSKE PO PRESTANKU OBNAŠANJA DUŽNOSTI</t>
  </si>
  <si>
    <t>VISOKA 22</t>
  </si>
  <si>
    <t>90648505547</t>
  </si>
  <si>
    <t>URED PREDSJEDNIKA REPUBLIKE HRVATSKE</t>
  </si>
  <si>
    <t>PANTOVČAK 241</t>
  </si>
  <si>
    <t>10162055275</t>
  </si>
  <si>
    <t>USTAVNI SUD REPUBLIKE HRVATSKE</t>
  </si>
  <si>
    <t>TRG SV. MARKA 4</t>
  </si>
  <si>
    <t>43530726662</t>
  </si>
  <si>
    <t>AGENCIJA ZA ZAŠTITU TRŽIŠNOG NATJECANJA</t>
  </si>
  <si>
    <t>SAVSKA CESTA 41/XIV</t>
  </si>
  <si>
    <t>54882480048</t>
  </si>
  <si>
    <t>VLADA REPUBLIKE HRVATSKE</t>
  </si>
  <si>
    <t>TRG SV. MARKA 2</t>
  </si>
  <si>
    <t>64434885131</t>
  </si>
  <si>
    <t>URED PREDSJEDNIKA VLADE REPUBLIKE HRVATSKE</t>
  </si>
  <si>
    <t>76193608922</t>
  </si>
  <si>
    <t>URED POTPREDSJEDNIKA VLADE REPUBLIKE HRVATSKE</t>
  </si>
  <si>
    <t>77620149940</t>
  </si>
  <si>
    <t>URED ZA UDRUGE</t>
  </si>
  <si>
    <t>OPATIČKA 4</t>
  </si>
  <si>
    <t>51456675076</t>
  </si>
  <si>
    <t xml:space="preserve">URED ZASTUPNIKA REPUBLIKE HRVATSKE PRED EUROPSKIM SUDOM ZA LJUDSKA PRAVA </t>
  </si>
  <si>
    <t>DALMATINSKA 1</t>
  </si>
  <si>
    <t>98898752468</t>
  </si>
  <si>
    <t>STRUČNA SLUŽBA SAVJETA ZA NACIONALNE MANJINE</t>
  </si>
  <si>
    <t>MESNIČKA 23</t>
  </si>
  <si>
    <t>35036123402</t>
  </si>
  <si>
    <t>URED ZA ZAKONODAVSTVO</t>
  </si>
  <si>
    <t>62409285700</t>
  </si>
  <si>
    <t>URED ZA OPĆE POSLOVE HRVATSKOG SABORA I VLADE REPUBLIKE HRVATSKE</t>
  </si>
  <si>
    <t>OPATIČKA 8</t>
  </si>
  <si>
    <t>03055728877</t>
  </si>
  <si>
    <t>URED ZA PROTOKOL</t>
  </si>
  <si>
    <t>71103687780</t>
  </si>
  <si>
    <t>URED VLADE REPUBLIKE HRVATSKE ZA UNUTARNJU REVIZIJU</t>
  </si>
  <si>
    <t>TRG BANA JOSIPA JELAČIĆA 15/II</t>
  </si>
  <si>
    <t>58889799307</t>
  </si>
  <si>
    <t>DIREKCIJA ZA KORIŠTENJE SLUŽBENIH ZRAKOPLOVA</t>
  </si>
  <si>
    <t>ZRAČNA LUKA ZAGREB P.P. 78, VELIKA GORICA</t>
  </si>
  <si>
    <t>10410 VELIKA GORICA</t>
  </si>
  <si>
    <t>34718613532</t>
  </si>
  <si>
    <t>URED ZA LJUDSKA PRAVA I PRAVA NACIONALNH MANJINA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</si>
  <si>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</si>
  <si>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</si>
  <si>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</si>
  <si>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</si>
  <si>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</si>
  <si>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</si>
  <si>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</si>
  <si>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KATANČIĆEVA 5</t>
  </si>
  <si>
    <t>18683136487</t>
  </si>
  <si>
    <t>AGENCIJA ZA REVIZIJU SUSTAVA PROVEDBE PROGRAMA EUROPSKE UNIJE</t>
  </si>
  <si>
    <t>ALEXANDERA VON HUMBOLDTA 4/V</t>
  </si>
  <si>
    <t>94432282335</t>
  </si>
  <si>
    <t>ODBOR ZA STANDARDE FINANCIJSKOG IZVJEŠTAVANJA</t>
  </si>
  <si>
    <t>02052644</t>
  </si>
  <si>
    <t>58499994900</t>
  </si>
  <si>
    <t>SIGURNOSNO OBAVJEŠTAJNA AGENCIJA</t>
  </si>
  <si>
    <t>SAVSKA CESTA 39/1</t>
  </si>
  <si>
    <t>94534817607</t>
  </si>
  <si>
    <t>SREDIŠNJI DRŽAVNI URED ZA SREDIŠNJU JAVNU NABAVU</t>
  </si>
  <si>
    <t>IVANA LUČIĆA 8</t>
  </si>
  <si>
    <t>17683204722</t>
  </si>
  <si>
    <t>MINISTARSTVO OBRANE</t>
  </si>
  <si>
    <t>TRG KRALJA PETRA KREŠIMIRA IV 1</t>
  </si>
  <si>
    <t>66486182714</t>
  </si>
  <si>
    <t>SREDIŠNJI DRŽAVNI URED ZA HRVATE IZVAN REPUBLIKE HRVATSKE</t>
  </si>
  <si>
    <t>PANTOVČAK 258</t>
  </si>
  <si>
    <t>03416985458</t>
  </si>
  <si>
    <t>HRVATSKA MATICA ISELJENIKA</t>
  </si>
  <si>
    <t>28639480902</t>
  </si>
  <si>
    <t xml:space="preserve">SREDIŠNJI DRŽAVNI URED ZA OBNOVU I STAMBENO ZBRINJAVANJE </t>
  </si>
  <si>
    <t>SAVSKA CESTA 28</t>
  </si>
  <si>
    <t>43664740219</t>
  </si>
  <si>
    <t>SREDIŠNJI DRŽAVNI URED ZA RAZVOJ DIGITALNOG DRUŠTVA</t>
  </si>
  <si>
    <t>04626265</t>
  </si>
  <si>
    <t>55422358623</t>
  </si>
  <si>
    <t>SREDIŠNJI DRŽAVNI URED ZA DEMOGRAFIJU I MLADE</t>
  </si>
  <si>
    <t>TRG NEVENKE TOPALUŠIĆ 1</t>
  </si>
  <si>
    <t>63214615893</t>
  </si>
  <si>
    <t>HRVATSKA VATROGASNA ZAJEDNICA</t>
  </si>
  <si>
    <t>SELSKA CESTA 90A</t>
  </si>
  <si>
    <t>08474627795</t>
  </si>
  <si>
    <t>DRŽAVNA VATROGASNA ŠKOLA</t>
  </si>
  <si>
    <t>KSAVERSKA CESTA 107</t>
  </si>
  <si>
    <t>MINISTARSTVO UNUTARNJIH POSLOVA</t>
  </si>
  <si>
    <t>ULICA GRADA VUKOVARA 33</t>
  </si>
  <si>
    <t>36162371878</t>
  </si>
  <si>
    <t>MINISTARSTVO HRVATSKIH BRANITELJA</t>
  </si>
  <si>
    <t>95131524528</t>
  </si>
  <si>
    <t>JAVNA USTANOVA MEMORIJALNI CENTAR DOMOVINSKOG RATA VUKOVAR</t>
  </si>
  <si>
    <t>IVE TIJARDOVIĆA 60</t>
  </si>
  <si>
    <t>18534327031</t>
  </si>
  <si>
    <t>DOM HRVATSKIH VETERANA</t>
  </si>
  <si>
    <t>PARK STARA TREŠNJEVKA 4</t>
  </si>
  <si>
    <t>08099901687</t>
  </si>
  <si>
    <t>VETERANSKI CENTAR</t>
  </si>
  <si>
    <t>TRG NEVENKE TOPALUŠIĆ 1</t>
  </si>
  <si>
    <t>MINISTARSTVO VANJSKIH I EUROPSKIH POSLOVA</t>
  </si>
  <si>
    <t>TRG NIKOLE ŠUBIĆA ZRINSKOG 7-8</t>
  </si>
  <si>
    <t>43541122224</t>
  </si>
  <si>
    <t>POVJERENSTVO ZA ODLUČIVANJE O SUKOBU INTERESA</t>
  </si>
  <si>
    <t>ULICA KNEZA MISLAVA 11/3</t>
  </si>
  <si>
    <t>60383416394</t>
  </si>
  <si>
    <t>MINISTARSTVO KULTURE I MEDIJA</t>
  </si>
  <si>
    <t>RUNJANINOVA 2</t>
  </si>
  <si>
    <t>37836302645</t>
  </si>
  <si>
    <t>DRŽAVNI ARHIV U BJELOVARU</t>
  </si>
  <si>
    <t>TRG EUGENA KVATERNIKA 6</t>
  </si>
  <si>
    <t>43000 BJELOVAR</t>
  </si>
  <si>
    <t>80099091562</t>
  </si>
  <si>
    <t>DRŽAVNI ARHIV U DUBROVNIKU</t>
  </si>
  <si>
    <t>SV. DOMINIKA 1</t>
  </si>
  <si>
    <t>01076882554</t>
  </si>
  <si>
    <t>DRŽAVNI ARHIV U GOSPIĆU</t>
  </si>
  <si>
    <t>KANIŠKA 17</t>
  </si>
  <si>
    <t>34694889661</t>
  </si>
  <si>
    <t>DRŽAVNI ARHIV U KARLOVCU</t>
  </si>
  <si>
    <t>LJUDEVITA ŠESTIĆA 5</t>
  </si>
  <si>
    <t>99575902022</t>
  </si>
  <si>
    <t>DRŽAVNI ARHIV U OSIJEKU</t>
  </si>
  <si>
    <t>KAMILA FIRINGERA 1</t>
  </si>
  <si>
    <t>61338774671</t>
  </si>
  <si>
    <t>DRŽAVNI ARHIV U PAZINU</t>
  </si>
  <si>
    <t>VLADIMIRA NAZORA 3</t>
  </si>
  <si>
    <t>52000 PAZIN</t>
  </si>
  <si>
    <t>55059300119</t>
  </si>
  <si>
    <t>DRŽAVNI ARHIV U RIJECI</t>
  </si>
  <si>
    <t>PARK NIKOLE HOSTA 2</t>
  </si>
  <si>
    <t>16391096016</t>
  </si>
  <si>
    <t>DRŽAVNI ARHIV U SISKU</t>
  </si>
  <si>
    <t>FRANKOPANSKA 21</t>
  </si>
  <si>
    <t>35994268014</t>
  </si>
  <si>
    <t>DRŽAVNI ARHIV U SLAVONSKOM BRODU</t>
  </si>
  <si>
    <t>AUGUSTA CESARCA 1</t>
  </si>
  <si>
    <t>11265594372</t>
  </si>
  <si>
    <t>DRŽAVNI ARHIV U SPLITU</t>
  </si>
  <si>
    <t>GLAGOLJAŠKA 18</t>
  </si>
  <si>
    <t>61469620638</t>
  </si>
  <si>
    <t>DRŽAVNI ARHIV U ŠIBENIKU</t>
  </si>
  <si>
    <t>VELIMIRA ŠKORPIKA 6/A</t>
  </si>
  <si>
    <t>97880836355</t>
  </si>
  <si>
    <t>DRŽAVNI ARHIV U VARAŽDINU</t>
  </si>
  <si>
    <t>KOPRIVNIČKA 51</t>
  </si>
  <si>
    <t>72801109643</t>
  </si>
  <si>
    <t xml:space="preserve">DRŽAVNI ARHIV U VIROVITICI </t>
  </si>
  <si>
    <t>TRG BANA JOSIPA JELAČIĆA 24</t>
  </si>
  <si>
    <t>37777848565</t>
  </si>
  <si>
    <t xml:space="preserve">DRŽAVNI ARHIV U VUKOVARU </t>
  </si>
  <si>
    <t>ŽUPANIJSKA 66</t>
  </si>
  <si>
    <t>05275803945</t>
  </si>
  <si>
    <t>DRŽAVNI ARHIV U ZADRU</t>
  </si>
  <si>
    <t>RUĐERA BOŠKOVIĆA BB.</t>
  </si>
  <si>
    <t>46156591639</t>
  </si>
  <si>
    <t>DRŽAVNI ARHIV U ZAGREBU</t>
  </si>
  <si>
    <t>OPATIČKA 29</t>
  </si>
  <si>
    <t>37363837470</t>
  </si>
  <si>
    <t xml:space="preserve">DRŽAVNI ARHIV ZA MEĐIMURJE </t>
  </si>
  <si>
    <t>ŠTRIGOVA 102</t>
  </si>
  <si>
    <t xml:space="preserve">40312 ŠTRIGOVA </t>
  </si>
  <si>
    <t>13768042762</t>
  </si>
  <si>
    <t>HRVATSKI DRŽAVNI ARHIV</t>
  </si>
  <si>
    <t>MARULIĆEV TRG 2</t>
  </si>
  <si>
    <t>46144176176</t>
  </si>
  <si>
    <t>HRVATSKI MEMORIJALNO-DOKUMENTACIJSKI CENTAR DOMOVINSKOGA RATA</t>
  </si>
  <si>
    <t>MARULIĆEV TRG 21</t>
  </si>
  <si>
    <t>57527861125</t>
  </si>
  <si>
    <t>ARHEOLOŠKI MUZEJ ISTRE</t>
  </si>
  <si>
    <t>CARRARINA 3</t>
  </si>
  <si>
    <t>76185043859</t>
  </si>
  <si>
    <t>ARHEOLOŠKI MUZEJ NARONA</t>
  </si>
  <si>
    <t>NARONSKI TRG 6</t>
  </si>
  <si>
    <t>20352 VID</t>
  </si>
  <si>
    <t>85570198172</t>
  </si>
  <si>
    <t>ARHEOLOŠKI MUZEJ OSIJEK</t>
  </si>
  <si>
    <t>TRG SV. TROJSTVA 2</t>
  </si>
  <si>
    <t>36551793962</t>
  </si>
  <si>
    <t>ARHEOLOŠKI MUZEJ U SPLITU</t>
  </si>
  <si>
    <t>ZRINSKO-FRANKOPANSKA 25</t>
  </si>
  <si>
    <t>57340203536</t>
  </si>
  <si>
    <t>ARHEOLOŠKI MUZEJ ZADAR</t>
  </si>
  <si>
    <t>TRG OPATICE ČIKE 1</t>
  </si>
  <si>
    <t xml:space="preserve">23000 ZADAR </t>
  </si>
  <si>
    <t>88252913683</t>
  </si>
  <si>
    <t>DVOR TRAKOŠČAN</t>
  </si>
  <si>
    <t>TRAKOŠČAN 1</t>
  </si>
  <si>
    <t>42253 BEDNJA</t>
  </si>
  <si>
    <t>24929691978</t>
  </si>
  <si>
    <t>GALERIJA KLOVIĆEVI DVORI</t>
  </si>
  <si>
    <t>JEZUITSKI TRG 4</t>
  </si>
  <si>
    <t>78027759648</t>
  </si>
  <si>
    <t>HRVATSKI MUZEJ NAIVNE UMJETNOSTI</t>
  </si>
  <si>
    <t>SV. ĆIRILA I METODA 3</t>
  </si>
  <si>
    <t>57897955082</t>
  </si>
  <si>
    <t>HRVATSKI MUZEJ TURIZMA</t>
  </si>
  <si>
    <t>PARK ANGIOLINA 1</t>
  </si>
  <si>
    <t>47076735780</t>
  </si>
  <si>
    <t>HRVATSKI POVIJESNI MUZEJ</t>
  </si>
  <si>
    <t>MATOŠEVA 9</t>
  </si>
  <si>
    <t>10624495854</t>
  </si>
  <si>
    <t>HRVATSKI ŠPORTSKI MUZEJ</t>
  </si>
  <si>
    <t>PRAŠKA 2</t>
  </si>
  <si>
    <t>61689362030</t>
  </si>
  <si>
    <t>J. U. SPOMEN PODRUČJE JASENOVAC</t>
  </si>
  <si>
    <t>BRAĆE RADIĆA 146</t>
  </si>
  <si>
    <t>44323 JASENOVAC</t>
  </si>
  <si>
    <t>37280079200</t>
  </si>
  <si>
    <t xml:space="preserve">J. U. ZBIRKA UMJETNINA ANTE I WILTRUDE TOPIĆ MIMARA </t>
  </si>
  <si>
    <t>ROOSEVELTOV TRG 5</t>
  </si>
  <si>
    <t>78141312758</t>
  </si>
  <si>
    <t>MODERNA GALERIJA</t>
  </si>
  <si>
    <t>ANDRIJE HEBRANGA 1</t>
  </si>
  <si>
    <t>94391499491</t>
  </si>
  <si>
    <t>MUZEJ ANTIČKOG STAKLA ZADAR</t>
  </si>
  <si>
    <t>POLJANA ZEMALJSKOG ODBORA 1</t>
  </si>
  <si>
    <t>74294482659</t>
  </si>
  <si>
    <t>MUZEJ HRVATSKIH ARHEOLOŠKIH SPOMENIKA SPLIT</t>
  </si>
  <si>
    <t>GUNJAČINA BB</t>
  </si>
  <si>
    <t>88269740410</t>
  </si>
  <si>
    <t>MUZEJ HRVATSKOG ZAGORJA</t>
  </si>
  <si>
    <t>SAMCI 64</t>
  </si>
  <si>
    <t>49245 GORNJA STUBICA</t>
  </si>
  <si>
    <t>11298572202</t>
  </si>
  <si>
    <t>MUZEJ SLAVONIJE OSIJEK</t>
  </si>
  <si>
    <t>TRG SVETOG TROJSTVA 6</t>
  </si>
  <si>
    <t>45589739612</t>
  </si>
  <si>
    <t>MUZEJ VUČEDOLSKE KULTURE</t>
  </si>
  <si>
    <t>ARHEOLOŠKI LOKALITET VUČEDOL</t>
  </si>
  <si>
    <t>05703458858</t>
  </si>
  <si>
    <t xml:space="preserve">MUZEJI IVANA MEŠTROVIĆA </t>
  </si>
  <si>
    <t>ŠETALIŠTE IVANA MEŠTROVIĆA 46</t>
  </si>
  <si>
    <t>49483564012</t>
  </si>
  <si>
    <t>MUZEJSKI DOKUMENTACIJSKI CENTAR</t>
  </si>
  <si>
    <t>ILICA 44</t>
  </si>
  <si>
    <t>28048960411</t>
  </si>
  <si>
    <t>TIFLOLOŠKI MUZEJ</t>
  </si>
  <si>
    <t>AUGUSTA ŠENOE 34/3</t>
  </si>
  <si>
    <t>04200585015</t>
  </si>
  <si>
    <t>AGENCIJA ZA ELEKTRONIČKE MEDIJE</t>
  </si>
  <si>
    <t>JAGIĆEVA 31</t>
  </si>
  <si>
    <t>02307014</t>
  </si>
  <si>
    <t>35237547014</t>
  </si>
  <si>
    <t>ANSAMBL LADO</t>
  </si>
  <si>
    <t>TRG MARŠALA TITA 6A</t>
  </si>
  <si>
    <t>28251263363</t>
  </si>
  <si>
    <t>HRVATSKA KNJIŽNICA ZA SLIJEPE</t>
  </si>
  <si>
    <t>DRAŠKOVIĆEVA 80</t>
  </si>
  <si>
    <t>12091168733</t>
  </si>
  <si>
    <t>HRVATSKI AUDIOVIZUALNI CENTAR</t>
  </si>
  <si>
    <t>NOVA VES 18</t>
  </si>
  <si>
    <t>27103918402</t>
  </si>
  <si>
    <t>HRVATSKI RESTAURATORSKI ZAVOD</t>
  </si>
  <si>
    <t>NIKE GRŠKOVIĆA 23</t>
  </si>
  <si>
    <t>08647229584</t>
  </si>
  <si>
    <t>HRVATSKO NARODNO KAZALIŠTE</t>
  </si>
  <si>
    <t>TRG MARŠALA TITA 15</t>
  </si>
  <si>
    <t>10852199405</t>
  </si>
  <si>
    <t>MEĐUNARODNI CENTAR ZA PODVODNU ARHEOLOGIJU</t>
  </si>
  <si>
    <t>BOŽIDARA PETRANOVIĆA 1</t>
  </si>
  <si>
    <t>42850342757</t>
  </si>
  <si>
    <t>MINISTARSTVO POLJOPRIVREDE</t>
  </si>
  <si>
    <t>76767369197</t>
  </si>
  <si>
    <t>AGENCIJA ZA PLAĆANJA U POLJOPRIVREDI, RIBARSTVU I RURALNOM RAZVOJU</t>
  </si>
  <si>
    <t>ULICA GRADA VUKOVARA 269D</t>
  </si>
  <si>
    <t>99122235709</t>
  </si>
  <si>
    <t>HRVATSKA AGENCIJA ZA POLJOPRIVREDU I HRANU</t>
  </si>
  <si>
    <t>VINKOVAČKA CESTA 63C</t>
  </si>
  <si>
    <t>35506269186</t>
  </si>
  <si>
    <t>DRŽAVNA ERGELA ĐAKOVO I LIPIK</t>
  </si>
  <si>
    <t>AUGUSTA ŠENOE 45</t>
  </si>
  <si>
    <t>59493690843</t>
  </si>
  <si>
    <t xml:space="preserve">MINISTARSTVO REGIONALNOG RAZVOJA I FONDOVA EUROPSKE UNIJE </t>
  </si>
  <si>
    <t>MIRAMARSKA 22</t>
  </si>
  <si>
    <t>69608914212</t>
  </si>
  <si>
    <t>FOND ZA OBNOVU I RAZVOJ GRADA VUKOVARA</t>
  </si>
  <si>
    <t>JOSIPA JURJA STROSSMAYERA 14A</t>
  </si>
  <si>
    <t>32997192616</t>
  </si>
  <si>
    <t>SREDIŠNJA AGENCIJA ZA FINANCIRANJE I UGOVARANJE PROGRAMA I PROJEKATA EU</t>
  </si>
  <si>
    <t>ULICA GRADA VUKOVARA 284</t>
  </si>
  <si>
    <t>11548277852</t>
  </si>
  <si>
    <t>MINISTARSTVO MORA, PROMETA I INFRASTRUKTURE</t>
  </si>
  <si>
    <t>PRISAVLJE 14</t>
  </si>
  <si>
    <t>22874515170</t>
  </si>
  <si>
    <t>AGENCIJA ZA OBALNI LINIJSKI POMORSKI PROMET</t>
  </si>
  <si>
    <t>ATNOFAGASTE 6</t>
  </si>
  <si>
    <t>27735395987</t>
  </si>
  <si>
    <t>AGENCIJA ZA ISTRAŽIVANJE NESREĆA U ZRAČNOM, POMORSKOM I ŽELJEZNIČKOM PROMETU</t>
  </si>
  <si>
    <t>LONJIČKA 2</t>
  </si>
  <si>
    <t>04077199</t>
  </si>
  <si>
    <t>40956403978</t>
  </si>
  <si>
    <t>AGENCIJA ZA SIGURNOST ŽELJEZNIČKOG PROMETA</t>
  </si>
  <si>
    <t>RADNIČKA CESTA 39</t>
  </si>
  <si>
    <t>99256282044</t>
  </si>
  <si>
    <t>HRVATSKA AGENCIJA ZA CIVILNO ZRAKOPLOVSTVO</t>
  </si>
  <si>
    <t>02371219</t>
  </si>
  <si>
    <t>76108805525</t>
  </si>
  <si>
    <t>HRVATSKI HIDROGRAFSKI INSTITUT</t>
  </si>
  <si>
    <t>ZRINSKO-FRANKOPANSKA 161</t>
  </si>
  <si>
    <t>51867618130</t>
  </si>
  <si>
    <t>HRVATSKA REGULATORNA AGENCIJA ZA MREŽNE DJELATNOSTI</t>
  </si>
  <si>
    <t>ROBERTA FRANGEŠA MIHANOVIĆA 9</t>
  </si>
  <si>
    <t>10110 ZAGREB</t>
  </si>
  <si>
    <t>87950783661</t>
  </si>
  <si>
    <t>JAVNA USTANOVA LUČKA UPRAVA SISAK</t>
  </si>
  <si>
    <t>RIMSKA 28</t>
  </si>
  <si>
    <t>01534475</t>
  </si>
  <si>
    <t>80303023744</t>
  </si>
  <si>
    <t>JAVNA USTANOVA LUČKA UPRAVA SLAVONSKI BROD</t>
  </si>
  <si>
    <t>ŠETALIŠTE BRAĆE RADIĆ 19/A</t>
  </si>
  <si>
    <t>01515845</t>
  </si>
  <si>
    <t>14562482156</t>
  </si>
  <si>
    <t>LUČKA UPRAVA DUBROVNIK</t>
  </si>
  <si>
    <t>OBALA PAPE IVANA PAVLA II. 1</t>
  </si>
  <si>
    <t>01317857</t>
  </si>
  <si>
    <t>51303627909</t>
  </si>
  <si>
    <t>LUČKA UPRAVA OSIJEK</t>
  </si>
  <si>
    <t xml:space="preserve">ŠETALIŠTE KARDINALA FRANJE ŠEPERA 6 </t>
  </si>
  <si>
    <t>01541838</t>
  </si>
  <si>
    <t>78159614650</t>
  </si>
  <si>
    <t>LUČKA UPRAVA PLOČE</t>
  </si>
  <si>
    <t>TRG KRALJA TOMISLAVA 21</t>
  </si>
  <si>
    <t>20340 PLOČE</t>
  </si>
  <si>
    <t>01283847</t>
  </si>
  <si>
    <t>98749709951</t>
  </si>
  <si>
    <t>LUČKA UPRAVA RIJEKA</t>
  </si>
  <si>
    <t>RIVA 1</t>
  </si>
  <si>
    <t>01212109</t>
  </si>
  <si>
    <t>60521475400</t>
  </si>
  <si>
    <t>LUČKA UPRAVA SPLIT</t>
  </si>
  <si>
    <t>GAT SV. DUJE 1</t>
  </si>
  <si>
    <t>01308106</t>
  </si>
  <si>
    <t>06992092556</t>
  </si>
  <si>
    <t>LUČKA UPRAVA ŠIBENIK</t>
  </si>
  <si>
    <t>OBALA HRVATSKE MORNARICE 4</t>
  </si>
  <si>
    <t>01961063</t>
  </si>
  <si>
    <t>98609040957</t>
  </si>
  <si>
    <t>LUČKA UPRAVA VUKOVAR</t>
  </si>
  <si>
    <t>PAROBRODARSKA 5</t>
  </si>
  <si>
    <t>01541455</t>
  </si>
  <si>
    <t>43504091006</t>
  </si>
  <si>
    <t>LUČKA UPRAVA ZADAR</t>
  </si>
  <si>
    <t>GAŽENIČKA CESTA 28A</t>
  </si>
  <si>
    <t>01284649</t>
  </si>
  <si>
    <t>03457471323</t>
  </si>
  <si>
    <t>MINISTARSTVO PROSTORNOGA UREĐENJA, GRADITELJSTVA I DRŽAVNE IMOVINE</t>
  </si>
  <si>
    <t>ULICA REPUBLIKE AUSTRIJE 20</t>
  </si>
  <si>
    <t>95093210687</t>
  </si>
  <si>
    <t>AGENCIJA ZA PRAVNI PROMET I POSREDOVANJE NEKRETNINAMA</t>
  </si>
  <si>
    <t>SAVSKA CESTA 41/VI</t>
  </si>
  <si>
    <t>69331375926</t>
  </si>
  <si>
    <t>DRŽAVNA GEODETSKA UPRAVA</t>
  </si>
  <si>
    <t>GRUŠKA 20</t>
  </si>
  <si>
    <t>84891127540</t>
  </si>
  <si>
    <t>FOND ZA OBNOVU GRADA ZAGREBA, KRAPINSKO-ZAGORSKE ŽUPANIJE I ZAGREBAČKE ŽUPANIJE</t>
  </si>
  <si>
    <t>ULICA IVANA DEŽMANA 10</t>
  </si>
  <si>
    <t>20506058112</t>
  </si>
  <si>
    <t>MINISTARSTVO GOSPODARSTVA I ODRŽIVOG RAZVOJA</t>
  </si>
  <si>
    <t>RADNIČKA CESTA 80</t>
  </si>
  <si>
    <t>19370100881</t>
  </si>
  <si>
    <t>JAVNA USTANOVA NACIONALNI PARK BRIJUNI - PUBLIC INSTITUTION BRIJUNI NATIONAL PARK</t>
  </si>
  <si>
    <t>BRIJUNI</t>
  </si>
  <si>
    <t>52100 PULA-POLA</t>
  </si>
  <si>
    <t>79193158584</t>
  </si>
  <si>
    <t xml:space="preserve">J. U. NACIONALNI PARK KORNATI </t>
  </si>
  <si>
    <t>BUTINA 2</t>
  </si>
  <si>
    <t>22243 MURTER-KORNATI</t>
  </si>
  <si>
    <t>63763133364</t>
  </si>
  <si>
    <t>J. U. NACIONALNI PARK KRKA</t>
  </si>
  <si>
    <t>TRG IVANA PAVLA II 5</t>
  </si>
  <si>
    <t>67969498372</t>
  </si>
  <si>
    <t>J. U. NACIONALNI PARK MLJET</t>
  </si>
  <si>
    <t>PRISTANIŠTE 2</t>
  </si>
  <si>
    <t>20226 MLJET</t>
  </si>
  <si>
    <t>41720834491</t>
  </si>
  <si>
    <t>J. U. NACIONALNI PARK PAKLENICA</t>
  </si>
  <si>
    <t>UL. DR. F. TUĐMANA 14A</t>
  </si>
  <si>
    <t>23244 STARIGRAD</t>
  </si>
  <si>
    <t>24913665146</t>
  </si>
  <si>
    <t>J. U. NACIONALNI PARK PLITVIČKA JEZERA</t>
  </si>
  <si>
    <t>PLITVIČKA JEZERA BB</t>
  </si>
  <si>
    <t>53231 PLITVIČKA JEZERA</t>
  </si>
  <si>
    <t>91109303119</t>
  </si>
  <si>
    <t>J. U. NACIONALNI PARK RISNJAK</t>
  </si>
  <si>
    <t>BIJELA VODICA 48</t>
  </si>
  <si>
    <t>51317 DELNICE</t>
  </si>
  <si>
    <t>09269345925</t>
  </si>
  <si>
    <t>J. U. NACIONALNI PARK SJEVERNI VELEBIT</t>
  </si>
  <si>
    <t>KRASNO 96</t>
  </si>
  <si>
    <t>53274 SENJ</t>
  </si>
  <si>
    <t>24661445515</t>
  </si>
  <si>
    <t>J. U. PARK PRIRODE BIOKOVO</t>
  </si>
  <si>
    <t>FRANJEVAČKI PUT 2/A</t>
  </si>
  <si>
    <t>21300 MAKARSKA</t>
  </si>
  <si>
    <t>63685777958</t>
  </si>
  <si>
    <t>J. U. PARK PRIRODE KOPAČKI RIT</t>
  </si>
  <si>
    <t>KOPAČEVO, MALI SAKADAŠ 1</t>
  </si>
  <si>
    <t>31327 BILJE - KOPAČEVO</t>
  </si>
  <si>
    <t>98988824554</t>
  </si>
  <si>
    <t>J. U. PARK PRIRODE LASTOVSKO OTOČJE</t>
  </si>
  <si>
    <t>TRG SVETOG PETRA 7</t>
  </si>
  <si>
    <t>20289 LASTOVO</t>
  </si>
  <si>
    <t>15186719674</t>
  </si>
  <si>
    <t>J. U. PARK PRIRODE LONJSKO POLJE</t>
  </si>
  <si>
    <t>TRG KRALJA PETRA SVAČIĆA BB</t>
  </si>
  <si>
    <t>44324 JASENOVAC</t>
  </si>
  <si>
    <t>13092477849</t>
  </si>
  <si>
    <t>J. U. PARK PRIRODE MEDVEDNICA</t>
  </si>
  <si>
    <t>BLIZNEC BB</t>
  </si>
  <si>
    <t>59832224817</t>
  </si>
  <si>
    <t xml:space="preserve">J. U. PARK PRIRODE PAPUK </t>
  </si>
  <si>
    <t>TRG GOSPE VOĆINSKE BB</t>
  </si>
  <si>
    <t>33552 VOĆIN</t>
  </si>
  <si>
    <t>09100391705</t>
  </si>
  <si>
    <t>J. U. PARK PRIRODE TELAŠĆICA</t>
  </si>
  <si>
    <t>PUT DANIJELA GRBINA BB</t>
  </si>
  <si>
    <t>23281 SALI</t>
  </si>
  <si>
    <t>39112943608</t>
  </si>
  <si>
    <t>J. U. PARK PRIRODE UČKA</t>
  </si>
  <si>
    <t>LIGANJ 42</t>
  </si>
  <si>
    <t>51415 LOVRAN</t>
  </si>
  <si>
    <t>64113345521</t>
  </si>
  <si>
    <t>JAVNA USTANOVA PARK PRIRODE VELEBIT</t>
  </si>
  <si>
    <t>KANIŽA GOSPIĆKA 4B</t>
  </si>
  <si>
    <t>65211368646</t>
  </si>
  <si>
    <t>JAVNA USTANOVA PARK PRIRODE VRANSKO JEZERO</t>
  </si>
  <si>
    <t>KRALJA PETRA SVAČIĆA 2</t>
  </si>
  <si>
    <t>23210 BIOGRAD</t>
  </si>
  <si>
    <t>62106126299</t>
  </si>
  <si>
    <t>J. U. PARK PRIRODE ŽUMBERAK-SAMOBORSKO GORJE</t>
  </si>
  <si>
    <t>SOŠICE BB</t>
  </si>
  <si>
    <t>10457 ŽUMBERAK</t>
  </si>
  <si>
    <t>11528798664</t>
  </si>
  <si>
    <t>DRŽAVNI HIDROMETEOROLOŠKI ZAVOD</t>
  </si>
  <si>
    <t>RAVNICE 48</t>
  </si>
  <si>
    <t>74660437164</t>
  </si>
  <si>
    <t>AGENCIJA ZA UGLJIKOVODIKE</t>
  </si>
  <si>
    <t>MIRAMARSKA 24</t>
  </si>
  <si>
    <t>04171667</t>
  </si>
  <si>
    <t>72156517632</t>
  </si>
  <si>
    <t>HRVATSKA ENERGETSKA REGULATORNA AGENCIJA</t>
  </si>
  <si>
    <t>ULICA GRADA VUKOVARA 14</t>
  </si>
  <si>
    <t>01624482</t>
  </si>
  <si>
    <t>83764654530</t>
  </si>
  <si>
    <t>MINISTARSTVO GOSPODARSTVA I ODRŽIVOG RAZVOJA – RAVNATELJSTVO ZA ROBNE ZALIHE</t>
  </si>
  <si>
    <t>DRŽAVNI ZAVOD ZA MJERITELJSTVO</t>
  </si>
  <si>
    <t>CAPRAŠKA 6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</si>
  <si>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</si>
  <si>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</si>
  <si>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</si>
  <si>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</si>
  <si>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</si>
  <si>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</si>
  <si>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KSAVER 208</t>
  </si>
  <si>
    <t>25609559342</t>
  </si>
  <si>
    <t>KNEZA TRPIMIRA 2B</t>
  </si>
  <si>
    <t>KATOLIČKI BOGOSLOVNI FAKULTET U ĐAKOVU</t>
  </si>
  <si>
    <t>SVEUČILIŠTE U RIJECI, POMORSKI FAKULTET</t>
  </si>
  <si>
    <t>TRG J. F. KENNEDEY-A 6</t>
  </si>
  <si>
    <t>ANDRIJE KAČIĆA MIOŠIĆA 26</t>
  </si>
  <si>
    <t xml:space="preserve">KRALJA PETRA KREŠIMIRA IV. 30 </t>
  </si>
  <si>
    <t>VELEUČILIŠTE U POŽEGI</t>
  </si>
  <si>
    <t>34000 POŽEGA</t>
  </si>
  <si>
    <t>14821098391</t>
  </si>
  <si>
    <t>TRG ANDRIJE HEBRANGA 11</t>
  </si>
  <si>
    <t>EKONOMSKI INSTITUT, ZAGREB</t>
  </si>
  <si>
    <t>TRG J. F. KENNEDY-A 7</t>
  </si>
  <si>
    <t>INSTITUT ZA DRUŠTVENA ISTRAŽIVANJA U ZAGREBU</t>
  </si>
  <si>
    <t>ŠETALIŠTE IVANA MEŠTROVIĆA 63</t>
  </si>
  <si>
    <t>HRV. BRATSKE ZAJEDNICE 4</t>
  </si>
  <si>
    <t>MINISTARSTVO RADA, MIROVINSKOG SUSTAVA, OBITELJI I SOCIJALNE POLITIKE</t>
  </si>
  <si>
    <t>53969486500</t>
  </si>
  <si>
    <t>HRVATSKI ZAVOD ZA ZAPOŠLJAVANJE*</t>
  </si>
  <si>
    <t>SAVSKA CESTA 64</t>
  </si>
  <si>
    <t>91547293790</t>
  </si>
  <si>
    <t>ZAVOD ZA VJEŠTAČENJE, PROFESIONALNU REHABILITACIJU I ZAPOŠLJAVANJE OSOBA S INVALIDITETOM</t>
  </si>
  <si>
    <t>ANTUNA MIHANOVIĆA 3</t>
  </si>
  <si>
    <t>20502470829</t>
  </si>
  <si>
    <t>SREDIŠNJI REGISTAR OSIGURANIKA</t>
  </si>
  <si>
    <t>GAJEVA 5</t>
  </si>
  <si>
    <t>93161265507</t>
  </si>
  <si>
    <t>AGENCIJA ZA OSIGURANJE RADNIČKIH TRAŽBINA</t>
  </si>
  <si>
    <t>FRANKOPANSKA 11</t>
  </si>
  <si>
    <t>04323472109</t>
  </si>
  <si>
    <t>CENTAR ZA PROFESIONALNU REHABILITACIJU OSIJEK</t>
  </si>
  <si>
    <t>TADIJE SMIČIKLASA 2</t>
  </si>
  <si>
    <t>03021866</t>
  </si>
  <si>
    <t>CENTAR ZA PROFESIONALNU REHABILITACIJU RIJEKA</t>
  </si>
  <si>
    <t>WENZELOVA 3/A</t>
  </si>
  <si>
    <t>04453433</t>
  </si>
  <si>
    <t>CENTAR ZA PROFESIONALNU REHABILITACIJU SPLIT</t>
  </si>
  <si>
    <t>RUĐERA BOŠKOVIĆEVA 30</t>
  </si>
  <si>
    <t>04451660</t>
  </si>
  <si>
    <t>CENTAR ZA PROFESIONALNU REHABILITACIJU ZAGREB</t>
  </si>
  <si>
    <t>ULICA REPUBLIKE AUSTRIJE 1</t>
  </si>
  <si>
    <t>04370503</t>
  </si>
  <si>
    <t>CENTAR RUDOLF STEINER DARUVAR</t>
  </si>
  <si>
    <t>MASARYKOVA 85</t>
  </si>
  <si>
    <t>43500 DARUVAR</t>
  </si>
  <si>
    <t>26028963136</t>
  </si>
  <si>
    <t xml:space="preserve">CENTAR ZA ODGOJ I OBRAZOVANJE DUBRAVA </t>
  </si>
  <si>
    <t>PR. TOMISLAVA ŠPOLJARA 20</t>
  </si>
  <si>
    <t>31982620821</t>
  </si>
  <si>
    <t>CENTAR ZA ODGOJ I OBRAZOVANJE JURAJ BONAČI</t>
  </si>
  <si>
    <t>BRUNE BUŠIĆA 30</t>
  </si>
  <si>
    <t>00475993244</t>
  </si>
  <si>
    <t>CENTAR ZA ODGOJ I OBRAZOVANJE LUG</t>
  </si>
  <si>
    <t>BREGANA, KNEZA ZDESLAVA 2</t>
  </si>
  <si>
    <t>10432 SAMOBOR</t>
  </si>
  <si>
    <t>33776947373</t>
  </si>
  <si>
    <t xml:space="preserve">CENTAR ZA ODGOJ I OBRAZOVANJE SLAVA RAŠKAJ SPLIT </t>
  </si>
  <si>
    <t>RADNIČKA 2</t>
  </si>
  <si>
    <t>22392556339</t>
  </si>
  <si>
    <t>CENTAR ZA ODGOJ I OBRAZOVANJE SLAVA RAŠKAJ ZAGREB</t>
  </si>
  <si>
    <t>NAZOROVA 47</t>
  </si>
  <si>
    <t>16745501648</t>
  </si>
  <si>
    <t>CENTAR ZA ODGOJ I OBRAZOVANJE ŠUBIĆEVAC</t>
  </si>
  <si>
    <t>BANA JOSIPA JELAČIĆA 4</t>
  </si>
  <si>
    <t>34291257605</t>
  </si>
  <si>
    <t>CENTAR ZA ODGOJ I OBRAZOVANJE TUŠKANAC</t>
  </si>
  <si>
    <t>TUŠKANAC 15</t>
  </si>
  <si>
    <t>34634200382</t>
  </si>
  <si>
    <t xml:space="preserve">CENTAR ZA ODGOJ I OBRAZOVANJE VELIKA GORICA </t>
  </si>
  <si>
    <t>ZAGREBAČKA 90</t>
  </si>
  <si>
    <t>28129388615</t>
  </si>
  <si>
    <t>CENTAR ZA ODGOJ I OBRAZOVANJE VINKO BEK</t>
  </si>
  <si>
    <t>KUŠLANOVA 59A</t>
  </si>
  <si>
    <t>16898882733</t>
  </si>
  <si>
    <t>CENTAR ZA ODGOJ I OBRAZOVANJE ZAJEZDA</t>
  </si>
  <si>
    <t>ZAJEZDA 31</t>
  </si>
  <si>
    <t>49284 BUDINŠĆINA</t>
  </si>
  <si>
    <t>03599152506</t>
  </si>
  <si>
    <t>CENTAR ZA POSEBNO SKRBNIŠTVO</t>
  </si>
  <si>
    <t>SAVSKA 41/VI</t>
  </si>
  <si>
    <t>15916354928</t>
  </si>
  <si>
    <t>CENTAR ZA PRUŽANJE USLUGA U ZAJEDNICI IZVOR, SELCE</t>
  </si>
  <si>
    <t>EMILA ANTIĆA 20</t>
  </si>
  <si>
    <t>51266 CRIKVENICA</t>
  </si>
  <si>
    <t>75733262824</t>
  </si>
  <si>
    <t>CENTAR ZA PRUŽANJE USLUGA U ZAJEDNICI KLASJE OSIJEK</t>
  </si>
  <si>
    <t>RUŽINA 32</t>
  </si>
  <si>
    <t>13771936999</t>
  </si>
  <si>
    <t>CENTAR ZA PRUŽANJE USLUGA U ZAJEDNICI KUĆA SRETNIH CIGLICA, SLAVONSKI BROD</t>
  </si>
  <si>
    <t>STANKA VRAZA 109A</t>
  </si>
  <si>
    <t>81369633612</t>
  </si>
  <si>
    <t>CENTAR ZA PRUŽANJE USLUGA U ZAJEDNICI LIPIK</t>
  </si>
  <si>
    <t>TRG DR. FRANJE TUĐMANA 1</t>
  </si>
  <si>
    <t>34551 LIPIK</t>
  </si>
  <si>
    <t>57285376027</t>
  </si>
  <si>
    <t>CENTAR ZA PRUŽANJE USLUGA U ZAJEDNICI MOCIRE</t>
  </si>
  <si>
    <t>ASJE PETRIČIĆ 5</t>
  </si>
  <si>
    <t>01092203507</t>
  </si>
  <si>
    <t>CENTAR ZA PRUŽANJE USLUGA U ZAJEDNICI OSIJEK - JA KAO I TI</t>
  </si>
  <si>
    <t>MARTINA DIVALTA 2</t>
  </si>
  <si>
    <t>81122081473</t>
  </si>
  <si>
    <t>CENTAR ZA PRUŽANJE USLUGA U ZAJEDNICI OZALJ</t>
  </si>
  <si>
    <t>JAŠKOVO 50</t>
  </si>
  <si>
    <t>47281 MALI ERJAVEC</t>
  </si>
  <si>
    <t>87620790803</t>
  </si>
  <si>
    <t>CENTAR ZA PRUŽANJE USLUGA U ZAJEDNICI SPLIT</t>
  </si>
  <si>
    <t>HERCEGOVAČKA 65</t>
  </si>
  <si>
    <t>55330565464</t>
  </si>
  <si>
    <t>CENTAR ZA PRUŽANJE USLUGA U ZAJEDNICI SVITANJE</t>
  </si>
  <si>
    <t>TRG TOMISLAVA DR. BARDEKA 10/10</t>
  </si>
  <si>
    <t>75430947376</t>
  </si>
  <si>
    <t>CENTAR ZA PRUŽANJE USLUGA U ZAJEDNICI VLADIMIR NAZOR</t>
  </si>
  <si>
    <t>VLADIMIRA NAZORA 10</t>
  </si>
  <si>
    <t>85866981630</t>
  </si>
  <si>
    <t>CENTAR ZA REHABILITACIJU FRA ANTE SEKELEZ</t>
  </si>
  <si>
    <t>30. SVIBNJA 16</t>
  </si>
  <si>
    <t>21236 VRLIKA</t>
  </si>
  <si>
    <t>51139896464</t>
  </si>
  <si>
    <t>CENTAR ZA REHABILITACIJU JOSIPOVAC</t>
  </si>
  <si>
    <t>NA RIJECI 13A</t>
  </si>
  <si>
    <t>20207 MLINI</t>
  </si>
  <si>
    <t>62252145399</t>
  </si>
  <si>
    <t>CENTAR ZA REHABILITACIJU KOMAREVO</t>
  </si>
  <si>
    <t>GORNJE KOMAREVO - CESTA 52/A</t>
  </si>
  <si>
    <t>44010 GORNJE KOMAREVO</t>
  </si>
  <si>
    <t>07830685349</t>
  </si>
  <si>
    <t>CENTAR ZA REHABILITACIJU MALA TEREZIJA</t>
  </si>
  <si>
    <t>VLADIMIRA GORTANA16</t>
  </si>
  <si>
    <t>32000 VINKOVCI</t>
  </si>
  <si>
    <t>54117433109</t>
  </si>
  <si>
    <t>CENTAR ZA REHABILITACIJU MIR</t>
  </si>
  <si>
    <t>PUT MIRA 16</t>
  </si>
  <si>
    <t>21217 KAŠTELA</t>
  </si>
  <si>
    <t>20663023892</t>
  </si>
  <si>
    <t xml:space="preserve">CENTAR ZA REHABILITACIJU PULA </t>
  </si>
  <si>
    <t>SANTOROVA 11</t>
  </si>
  <si>
    <t>97096220014</t>
  </si>
  <si>
    <t>CENTAR ZA REHABILITACIJU RIJEKA</t>
  </si>
  <si>
    <t>KOZALA 77/ B</t>
  </si>
  <si>
    <t>53418402939</t>
  </si>
  <si>
    <t>CENTAR ZA REHABILITACIJU SAMARITANAC SPLIT</t>
  </si>
  <si>
    <t>ĆIRIL METODOVA 14A</t>
  </si>
  <si>
    <t>60945415147</t>
  </si>
  <si>
    <t>CENTAR ZA REHABILITACIJU STANČIĆ</t>
  </si>
  <si>
    <t>ZAGREBAČKA 23</t>
  </si>
  <si>
    <t>10370 BRCKOVLJANI</t>
  </si>
  <si>
    <t>82103973646</t>
  </si>
  <si>
    <t>CENTAR ZA REHABILITACIJU SVETI FILIP I JAKOV</t>
  </si>
  <si>
    <t>PUT PRIMORJA 56</t>
  </si>
  <si>
    <t>23207 SV. FILIP I JAKOV</t>
  </si>
  <si>
    <t>84459154077</t>
  </si>
  <si>
    <t>CENTAR ZA REHABILITACIJU ZAGREB</t>
  </si>
  <si>
    <t>ORLOVAC 2</t>
  </si>
  <si>
    <t>32686631843</t>
  </si>
  <si>
    <t>CENTAR ZA SOCIJALNU SKRB BELI MANASTIR</t>
  </si>
  <si>
    <t>KRALJA TOMISLAVA 37</t>
  </si>
  <si>
    <t>31300 BELI MANASTIR</t>
  </si>
  <si>
    <t>07622109596</t>
  </si>
  <si>
    <t>CENTAR ZA SOCIJALNU SKRB BENKOVAC</t>
  </si>
  <si>
    <t>TINA UJEVIĆA 7</t>
  </si>
  <si>
    <t>23420 BENKOVAC</t>
  </si>
  <si>
    <t>39615246060</t>
  </si>
  <si>
    <t xml:space="preserve">CENTAR ZA SOCIJALNU SKRB BIOGRAD NA MORU </t>
  </si>
  <si>
    <t>LOŠINJSKA 2A</t>
  </si>
  <si>
    <t>23210 BIOGRAD NA MORU</t>
  </si>
  <si>
    <t>30600666025</t>
  </si>
  <si>
    <t>CENTAR ZA SOCIJALNU SKRB BJELOVAR</t>
  </si>
  <si>
    <t>JOSIPA JURJA STROSSMAYERA 2</t>
  </si>
  <si>
    <t>74571480923</t>
  </si>
  <si>
    <t>CENTAR ZA SOCIJALNU SKRB BRAČ - SUPETAR</t>
  </si>
  <si>
    <t>MLADENA VODANOVIĆA 18</t>
  </si>
  <si>
    <t>21400 SUPETAR</t>
  </si>
  <si>
    <t>08337817529</t>
  </si>
  <si>
    <t>CENTAR ZA SOCIJALNU SKRB BUJE, CENTRO DI ASSISTENZA SOCIALE DI BUIE</t>
  </si>
  <si>
    <t>RUDINE 1</t>
  </si>
  <si>
    <t>52460 BUJE</t>
  </si>
  <si>
    <t>87917355080</t>
  </si>
  <si>
    <t>CENTAR ZA SOCIJALNU SKRB CRES-LOŠINJ</t>
  </si>
  <si>
    <t>BRAĆE VIDULIĆA 8</t>
  </si>
  <si>
    <t>51550 MALI LOŠINJ</t>
  </si>
  <si>
    <t>42190505366</t>
  </si>
  <si>
    <t>CENTAR ZA SOCIJALNU SKRB CRIKVENICA</t>
  </si>
  <si>
    <t>GORICA BRAĆE CVETIĆ 2</t>
  </si>
  <si>
    <t>51260 CRIKVENICA</t>
  </si>
  <si>
    <t>73096118098</t>
  </si>
  <si>
    <t xml:space="preserve">CENTAR ZA SOCIJALNU SKRB ČAKOVEC </t>
  </si>
  <si>
    <t>JAKOVA GOTOVCA 9</t>
  </si>
  <si>
    <t>86846610976</t>
  </si>
  <si>
    <t xml:space="preserve">CENTAR ZA SOCIJALNU SKRB ČAZMA </t>
  </si>
  <si>
    <t>TRG ČAZMANSKOG KAPTOLA 6</t>
  </si>
  <si>
    <t>43240 ČAZMA</t>
  </si>
  <si>
    <t>34497154725</t>
  </si>
  <si>
    <t xml:space="preserve">CENTAR ZA SOCIJALNU SKRB DARUVAR </t>
  </si>
  <si>
    <t>NIKOLE TESLE 1/A</t>
  </si>
  <si>
    <t>17273800882</t>
  </si>
  <si>
    <t xml:space="preserve">CENTAR ZA SOCIJALNU SKRB DONJA STUBICA </t>
  </si>
  <si>
    <t>STAROGRADSKA 3</t>
  </si>
  <si>
    <t>49240 DONJA STUBICA</t>
  </si>
  <si>
    <t>37661305531</t>
  </si>
  <si>
    <t>CENTAR ZA SOCIJALNU SKRB DONJI MIHOLJAC</t>
  </si>
  <si>
    <t>VUKOVARSKA 7</t>
  </si>
  <si>
    <t>31540 DONJI MIHOLJAC</t>
  </si>
  <si>
    <t>46631238611</t>
  </si>
  <si>
    <t>CENTAR ZA SOCIJALNU SKRB DRNIŠ</t>
  </si>
  <si>
    <t xml:space="preserve">KARDINALA ALOJZIJA STEPINCA </t>
  </si>
  <si>
    <t>22320 DRNIŠ</t>
  </si>
  <si>
    <t>48232698465</t>
  </si>
  <si>
    <t>CENTAR ZA SOCIJALNU SKRB DUBROVNIK</t>
  </si>
  <si>
    <t>MIHA PRACATA 1</t>
  </si>
  <si>
    <t>53180008172</t>
  </si>
  <si>
    <t>CENTAR ZA SOCIJALNU SKRB DUGA RESA</t>
  </si>
  <si>
    <t>ULICA 137 BRIGADE 3</t>
  </si>
  <si>
    <t>47250 DUGA RESA</t>
  </si>
  <si>
    <t>65202060373</t>
  </si>
  <si>
    <t>CENTAR ZA SOCIJALNU SKRB DUGO SELO</t>
  </si>
  <si>
    <t>JOSIPA ZORIĆA 3</t>
  </si>
  <si>
    <t>10370 DUGO SELO</t>
  </si>
  <si>
    <t>91370338596</t>
  </si>
  <si>
    <t>CENTAR ZA SOCIJALNU SKRB ĐAKOVO</t>
  </si>
  <si>
    <t>PETRA PRERADOVIĆA 2A</t>
  </si>
  <si>
    <t>02662173046</t>
  </si>
  <si>
    <t>CENTAR ZA SOCIJALNU SKRB ĐURĐEVAC</t>
  </si>
  <si>
    <t>GAJEVA 6</t>
  </si>
  <si>
    <t>48350 ĐURĐEVAC</t>
  </si>
  <si>
    <t>46724675241</t>
  </si>
  <si>
    <t xml:space="preserve">CENTAR ZA SOCIJALNU SKRB GAREŠNICA </t>
  </si>
  <si>
    <t>VLADIMIRA NAZORA 13</t>
  </si>
  <si>
    <t>43280 GAREŠNICA</t>
  </si>
  <si>
    <t>97204528596</t>
  </si>
  <si>
    <t>CENTAR ZA SOCIJALNU SKRB GLINA</t>
  </si>
  <si>
    <t>TRG DR. FRANJE TUĐMANA 24</t>
  </si>
  <si>
    <t>44400 GLINA</t>
  </si>
  <si>
    <t>92730834243</t>
  </si>
  <si>
    <t>CENTAR ZA SOCIJALNU SKRB GOSPIĆ</t>
  </si>
  <si>
    <t>VILE VELEBITA 6</t>
  </si>
  <si>
    <t>84303052937</t>
  </si>
  <si>
    <t>CENTAR ZA SOCIJALNU SKRB GRUBIŠNO POLJE</t>
  </si>
  <si>
    <t>TRG BANA JOSIPA JELAČIĆA 7</t>
  </si>
  <si>
    <t>43290 GRUBIŠNO POLJE</t>
  </si>
  <si>
    <t>80558304116</t>
  </si>
  <si>
    <t>CENTAR ZA SOCIJALNU SKRB HRVATSKA KOSTAJNICA</t>
  </si>
  <si>
    <t>JOSIPA MARIĆA 2</t>
  </si>
  <si>
    <t>44430 HRVATSKA KOSTAJNICA</t>
  </si>
  <si>
    <t>58292354024</t>
  </si>
  <si>
    <t>CENTAR ZA SOCIJALNU SKRB IMOTSKI</t>
  </si>
  <si>
    <t>BRUNE BUŠIĆA 6</t>
  </si>
  <si>
    <t>21260 IMOTSKI</t>
  </si>
  <si>
    <t>63946108971</t>
  </si>
  <si>
    <t>CENTAR ZA SOCIJALNU SKRB IVANEC</t>
  </si>
  <si>
    <t>ĐURE ARNOLDA 11</t>
  </si>
  <si>
    <t>42240 IVANEC</t>
  </si>
  <si>
    <t>61639450947</t>
  </si>
  <si>
    <t>CENTAR ZA SOCIJALNU SKRB IVANIĆ GRAD</t>
  </si>
  <si>
    <t>FRANE JURINCA 6</t>
  </si>
  <si>
    <t>10310 IVANIĆ GRAD</t>
  </si>
  <si>
    <t>33291090566</t>
  </si>
  <si>
    <t>CENTAR ZA SOCIJALNU SKRB JASTREBARSKO</t>
  </si>
  <si>
    <t>TRG LJUBE BABIĆA 29</t>
  </si>
  <si>
    <t>05065053844</t>
  </si>
  <si>
    <t>CENTAR ZA SOCIJALNU SKRB KARLOVAC</t>
  </si>
  <si>
    <t xml:space="preserve">IVANA MEŠTROVIĆA 10 </t>
  </si>
  <si>
    <t>48212013313</t>
  </si>
  <si>
    <t>CENTAR ZA SOCIJALNU SKRB KNIN</t>
  </si>
  <si>
    <t>GOJKA ŠUŠKA 4</t>
  </si>
  <si>
    <t>16906896167</t>
  </si>
  <si>
    <t>CENTAR ZA SOCIJALNU SKRB KOPRIVNICA</t>
  </si>
  <si>
    <t>TRG EUGENA KUMIČIĆA 2</t>
  </si>
  <si>
    <t>48009435950</t>
  </si>
  <si>
    <t>CENTAR ZA SOCIJALNU SKRB KORČULA</t>
  </si>
  <si>
    <t>ŠETALIŠTE FRANA KRŠINIĆA 50</t>
  </si>
  <si>
    <t>20260 KORČULA</t>
  </si>
  <si>
    <t>71397834598</t>
  </si>
  <si>
    <t>CENTAR ZA SOCIJALNU SKRB KRAPINA</t>
  </si>
  <si>
    <t>DRAGUTINA DOMJANIĆA BB</t>
  </si>
  <si>
    <t>90666923133</t>
  </si>
  <si>
    <t>CENTAR ZA SOCIJALNU SKRB KRIŽEVCI</t>
  </si>
  <si>
    <t>BANA JOSIPA JELAČIĆA 5</t>
  </si>
  <si>
    <t>22165957758</t>
  </si>
  <si>
    <t>CENTAR ZA SOCIJALNU SKRB KRK</t>
  </si>
  <si>
    <t>VRŠANSKA 21A</t>
  </si>
  <si>
    <t>51500 KRK</t>
  </si>
  <si>
    <t>84868232360</t>
  </si>
  <si>
    <t>CENTAR ZA SOCIJALNU SKRB KUTINA</t>
  </si>
  <si>
    <t>STJEPANA RADIĆA 7/A</t>
  </si>
  <si>
    <t>44320 KUTINA</t>
  </si>
  <si>
    <t>30070250400</t>
  </si>
  <si>
    <t>CENTAR ZA SOCIJALNU SKRB LABIN</t>
  </si>
  <si>
    <t>ISTARSKA 1</t>
  </si>
  <si>
    <t>52220 LABIN</t>
  </si>
  <si>
    <t>47474661798</t>
  </si>
  <si>
    <t>CENTAR ZA SOCIJALNU SKRB LUDBREG</t>
  </si>
  <si>
    <t>KARDINALA FRANJE KUHARIĆA 12</t>
  </si>
  <si>
    <t>42230 LUDBREG</t>
  </si>
  <si>
    <t>55037689756</t>
  </si>
  <si>
    <t>CENTAR ZA SOCIJALNU SKRB MAKARSKA</t>
  </si>
  <si>
    <t>KIPARA MEŠTROVIĆA 2A, PTC SV. NIKOLA</t>
  </si>
  <si>
    <t>93309675767</t>
  </si>
  <si>
    <t xml:space="preserve">CENTAR ZA SOCIJALNU SKRB METKOVIĆ </t>
  </si>
  <si>
    <t>ANTE STARČEVIĆA 25</t>
  </si>
  <si>
    <t>20350 METKOVIĆ</t>
  </si>
  <si>
    <t>65800553283</t>
  </si>
  <si>
    <t>CENTAR ZA SOCIJALNU SKRB NAŠICE</t>
  </si>
  <si>
    <t>31500 NAŠICE</t>
  </si>
  <si>
    <t>19876782869</t>
  </si>
  <si>
    <t>CENTAR ZA SOCIJALNU SKRB NOVA GRADIŠKA</t>
  </si>
  <si>
    <t>KARLA DIONEŠA 4/I</t>
  </si>
  <si>
    <t>35400 NOVA GRADIŠKA</t>
  </si>
  <si>
    <t>94667388644</t>
  </si>
  <si>
    <t>CENTAR ZA SOCIJALNU SKRB NOVI MAROF</t>
  </si>
  <si>
    <t>MIROSLAVA KRLEŽE 4</t>
  </si>
  <si>
    <t>42220 NOVI MAROF</t>
  </si>
  <si>
    <t>86153055540</t>
  </si>
  <si>
    <t>CENTAR ZA SOCIJALNU SKRB NOVSKA</t>
  </si>
  <si>
    <t>TINA UJEVIĆA 1/A</t>
  </si>
  <si>
    <t>44330 NOVSKA</t>
  </si>
  <si>
    <t>14153105428</t>
  </si>
  <si>
    <t>CENTAR ZA SOCIJALNU SKRB OGULIN</t>
  </si>
  <si>
    <t>VIJENAC IVE MARINKOVIĆA 1</t>
  </si>
  <si>
    <t>47300 OGULIN</t>
  </si>
  <si>
    <t>07116128329</t>
  </si>
  <si>
    <t>CENTAR ZA SOCIJALNU SKRB OMIŠ</t>
  </si>
  <si>
    <t>ČETVRT RIBNJAK BB</t>
  </si>
  <si>
    <t>21310 OMIŠ</t>
  </si>
  <si>
    <t>53905164223</t>
  </si>
  <si>
    <t>CENTAR ZA SOCIJALNU SKRB OPATIJA</t>
  </si>
  <si>
    <t>STUBIŠTE BAREDINE 10/1</t>
  </si>
  <si>
    <t>38485604560</t>
  </si>
  <si>
    <t>CENTAR ZA SOCIJALNU SKRB OSIJEK</t>
  </si>
  <si>
    <t>GUNDULIĆEVA 22</t>
  </si>
  <si>
    <t>97716077231</t>
  </si>
  <si>
    <t>CENTAR ZA SOCIJALNU SKRB PAKRAC</t>
  </si>
  <si>
    <t>PETRA PRERADOVIĆA 1</t>
  </si>
  <si>
    <t>34550 PAKRAC</t>
  </si>
  <si>
    <t>20913274956</t>
  </si>
  <si>
    <t>CENTAR ZA SOCIJALNU SKRB PAZIN</t>
  </si>
  <si>
    <t>PROLAZ OTOKARA KERŠOVANIJA 2</t>
  </si>
  <si>
    <t>04307151048</t>
  </si>
  <si>
    <t>CENTAR ZA SOCIJALNU SKRB PETRINJA</t>
  </si>
  <si>
    <t>TURKULINOVA 35</t>
  </si>
  <si>
    <t>44250 PETRINJA</t>
  </si>
  <si>
    <t>83245315816</t>
  </si>
  <si>
    <t>CENTAR ZA SOCIJALNU SKRB PLOČE</t>
  </si>
  <si>
    <t>DALMATINSKA 40</t>
  </si>
  <si>
    <t>14447760376</t>
  </si>
  <si>
    <t>CENTAR ZA SOCIJALNU SKRB POREČ</t>
  </si>
  <si>
    <t>DR. MAURO GIOSEFFI 2B</t>
  </si>
  <si>
    <t>27446717561</t>
  </si>
  <si>
    <t>CENTAR ZA SOCIJALNU SKRB POŽEGA</t>
  </si>
  <si>
    <t>DR. FILIPA POTREBICE 2</t>
  </si>
  <si>
    <t>90367068913</t>
  </si>
  <si>
    <t>CENTAR ZA SOCIJALNU SKRB PRELOG</t>
  </si>
  <si>
    <t>KRALJA ZVONIMIRA 9</t>
  </si>
  <si>
    <t>40323 PRELOG</t>
  </si>
  <si>
    <t>41243002511</t>
  </si>
  <si>
    <t>CENTAR ZA SOCIJALNU SKRB PULA-POLA</t>
  </si>
  <si>
    <t>SERGIJEVACA 2</t>
  </si>
  <si>
    <t>46797781162</t>
  </si>
  <si>
    <t>CENTAR ZA SOCIJALNU SKRB RIJEKA</t>
  </si>
  <si>
    <t>LAGINJINA 11A</t>
  </si>
  <si>
    <t>16498344320</t>
  </si>
  <si>
    <t>CENTAR ZA SOCIJALNU SKRB ROVINJ</t>
  </si>
  <si>
    <t>CARERA 21/2</t>
  </si>
  <si>
    <t>52210 ROVINJ</t>
  </si>
  <si>
    <t>78200618356</t>
  </si>
  <si>
    <t>CENTAR ZA SOCIJALNU SKRB SAMOBOR</t>
  </si>
  <si>
    <t>ZAGORSKA 1</t>
  </si>
  <si>
    <t>10430 SAMOBOR</t>
  </si>
  <si>
    <t>84486125017</t>
  </si>
  <si>
    <t>CENTAR ZA SOCIJALNU SKRB SENJ</t>
  </si>
  <si>
    <t>VJENCESLAVA NOVAKA 4</t>
  </si>
  <si>
    <t>53270 SENJ</t>
  </si>
  <si>
    <t>86371528033</t>
  </si>
  <si>
    <t>CENTAR ZA SOCIJALNU SKRB SINJ</t>
  </si>
  <si>
    <t>ŽANKOVA GLAVICA 2</t>
  </si>
  <si>
    <t>21230 SINJ</t>
  </si>
  <si>
    <t>07505873008</t>
  </si>
  <si>
    <t>CENTAR ZA SOCIJALNU SKRB SISAK</t>
  </si>
  <si>
    <t>IVANA MEŠTROVIĆA 21</t>
  </si>
  <si>
    <t>71787364335</t>
  </si>
  <si>
    <t>CENTAR ZA SOCIJALNU SKRB SLATINA</t>
  </si>
  <si>
    <t>VLADIMIRA NAZORA 5/1</t>
  </si>
  <si>
    <t>33520 SLATINA</t>
  </si>
  <si>
    <t>90835485697</t>
  </si>
  <si>
    <t>CENTAR ZA SOCIJALNU SKRB SLAVONSKI BROD</t>
  </si>
  <si>
    <t>NASELJE SLAVONIJA I. BB</t>
  </si>
  <si>
    <t>21748116747</t>
  </si>
  <si>
    <t>CENTAR ZA SOCIJALNU SKRB SLUNJ</t>
  </si>
  <si>
    <t>ULICA BRAĆE RADIĆA 1</t>
  </si>
  <si>
    <t>47240 SLUNJ</t>
  </si>
  <si>
    <t>93613587014</t>
  </si>
  <si>
    <t>CENTAR ZA SOCIJALNU SKRB SPLIT</t>
  </si>
  <si>
    <t>GUNDULIĆEVA 25</t>
  </si>
  <si>
    <t>50704222350</t>
  </si>
  <si>
    <t xml:space="preserve">CENTAR ZA SOCIJALNU SKRB SVETI IVAN ZELINA </t>
  </si>
  <si>
    <t>BRAĆE RADIĆA 2</t>
  </si>
  <si>
    <t>10380 SVETI IVAN ZELINA</t>
  </si>
  <si>
    <t>86252898914</t>
  </si>
  <si>
    <t>CENTAR ZA SOCIJALNU SKRB ŠIBENIK</t>
  </si>
  <si>
    <t>PETRA GRUBIŠIĆA 3</t>
  </si>
  <si>
    <t>25482722030</t>
  </si>
  <si>
    <t>CENTAR ZA SOCIJALNU SKRB TROGIR</t>
  </si>
  <si>
    <t>HRVATSKIH MUČENIKA 6</t>
  </si>
  <si>
    <t>21220 TROGIR</t>
  </si>
  <si>
    <t>60991875199</t>
  </si>
  <si>
    <t>CENTAR ZA SOCIJALNU SKRB VALPOVO</t>
  </si>
  <si>
    <t>MATIJE GUPCA 11</t>
  </si>
  <si>
    <t>31550 VALPOVO</t>
  </si>
  <si>
    <t>76702509587</t>
  </si>
  <si>
    <t>CENTAR ZA SOCIJALNU SKRB VARAŽDIN</t>
  </si>
  <si>
    <t>VLADIMIRA NAZORA 22</t>
  </si>
  <si>
    <t>87061553266</t>
  </si>
  <si>
    <t xml:space="preserve">CENTAR ZA SOCIJALNU SKRB VELIKA GORICA </t>
  </si>
  <si>
    <t>TRG KRALJA TOMISLAVA 35</t>
  </si>
  <si>
    <t>81941692775</t>
  </si>
  <si>
    <t>CENTAR ZA SOCIJALNU SKRB VINKOVCI</t>
  </si>
  <si>
    <t>GLAGOLJAŠKA 31E</t>
  </si>
  <si>
    <t xml:space="preserve">32100 VINKOVCI </t>
  </si>
  <si>
    <t>53940614467</t>
  </si>
  <si>
    <t>CENTAR ZA SOCIJALNU SKRB VIROVITICA</t>
  </si>
  <si>
    <t>VLADIMIRA NAZORA 2</t>
  </si>
  <si>
    <t>57720492539</t>
  </si>
  <si>
    <t>CENTAR ZA SOCIJALNU SKRB VRBOVEC</t>
  </si>
  <si>
    <t>TRG PETRA ZRINSKOG 23</t>
  </si>
  <si>
    <t>10340 VRBOVEC</t>
  </si>
  <si>
    <t>68238626105</t>
  </si>
  <si>
    <t>CENTAR ZA SOCIJALNU SKRB VUKOVAR</t>
  </si>
  <si>
    <t>ŽUPANIJSKA 13</t>
  </si>
  <si>
    <t>37171057441</t>
  </si>
  <si>
    <t>CENTAR ZA SOCIJALNU SKRB ZABOK</t>
  </si>
  <si>
    <t>MATIJE GUPCA 53</t>
  </si>
  <si>
    <t>49210 ZABOK</t>
  </si>
  <si>
    <t>32389551255</t>
  </si>
  <si>
    <t>CENTAR ZA SOCIJALNU SKRB ZADAR</t>
  </si>
  <si>
    <t>19924507354</t>
  </si>
  <si>
    <t>CENTAR ZA SOCIJALNU SKRB ZAGREB</t>
  </si>
  <si>
    <t>KUMIČIĆEVA 5</t>
  </si>
  <si>
    <t>15904096423</t>
  </si>
  <si>
    <t>CENTAR ZA SOCIJALNU SKRB ZAPREŠIĆ</t>
  </si>
  <si>
    <t>DRAGE KODRMANA 3A</t>
  </si>
  <si>
    <t>10290 ZAPREŠIĆ</t>
  </si>
  <si>
    <t>75082966551</t>
  </si>
  <si>
    <t>CENTAR ZA SOCIJALNU SKRB ZLATAR BISTRICA</t>
  </si>
  <si>
    <t>STJEPANA RADIĆA 2</t>
  </si>
  <si>
    <t>49247 ZLATAR BISTRICA</t>
  </si>
  <si>
    <t>41999865177</t>
  </si>
  <si>
    <t>CENTAR ZA SOCIJALNU SKRB ŽUPANJA</t>
  </si>
  <si>
    <t>DR. FRANJE RAČKOG 30C</t>
  </si>
  <si>
    <t>32270 ŽUPANJA</t>
  </si>
  <si>
    <t>08142078422</t>
  </si>
  <si>
    <t>DJEČJI DOM "IVANA BRLIĆ MAŽURANIĆ" LOVRAN</t>
  </si>
  <si>
    <t>OMLADINSKA 1</t>
  </si>
  <si>
    <t>74578677561</t>
  </si>
  <si>
    <t>DJEČJI DOM SV. ANA, VINKOVCI</t>
  </si>
  <si>
    <t>ANINA 2D</t>
  </si>
  <si>
    <t>32100 VINKOVCI</t>
  </si>
  <si>
    <t>57830965536</t>
  </si>
  <si>
    <t>DJEČJI DOM VRBINA SISAK</t>
  </si>
  <si>
    <t>ULICA LIPA 11</t>
  </si>
  <si>
    <t>43355278379</t>
  </si>
  <si>
    <t>DNEVNI CENTAR ZA REHABILITACIJU SLAVA RAŠKAJ</t>
  </si>
  <si>
    <t>MIRE RADUNE BAN 14</t>
  </si>
  <si>
    <t>90729071839</t>
  </si>
  <si>
    <t>DOM ZA ODRASLE OSOBE LOBOR-GRAD</t>
  </si>
  <si>
    <t>MARKUŠ BRIJEG 131</t>
  </si>
  <si>
    <t>49253 MARKUŠ BRIJEG</t>
  </si>
  <si>
    <t>45761692556</t>
  </si>
  <si>
    <t>DOM ZA DJECU I MLAĐE PUNOLJETNE OSOBE MASLINA, DUBROVNIK</t>
  </si>
  <si>
    <t>VLAHA BUKOVCA 5</t>
  </si>
  <si>
    <t>53238046672</t>
  </si>
  <si>
    <t>DOM ZA DJECU MAESTRAL SPLIT</t>
  </si>
  <si>
    <t>JURJA ŠIŽGORIĆA 4</t>
  </si>
  <si>
    <t>97141575055</t>
  </si>
  <si>
    <t>DOM ZA DJECU ZA MLAĐE I PUNOLJETNE OSOBE PULA</t>
  </si>
  <si>
    <t>PINO BUDIČIN 17</t>
  </si>
  <si>
    <t>27209159252</t>
  </si>
  <si>
    <t>DJEČJI DOM ZAGREB</t>
  </si>
  <si>
    <t>NAZOROVA 49</t>
  </si>
  <si>
    <t>04517778727</t>
  </si>
  <si>
    <t>DOM ZA ODGOJ DJECE BEDEKOVČINA</t>
  </si>
  <si>
    <t>ALEJA DRAGUTINA DOMJANIĆA 15</t>
  </si>
  <si>
    <t>49221 BEDEKOVČINA</t>
  </si>
  <si>
    <t>71367732581</t>
  </si>
  <si>
    <t>DOM ZA ODGOJ DJECE I MLADEŽI KARLOVAC</t>
  </si>
  <si>
    <t>BANIJA 14</t>
  </si>
  <si>
    <t>18126711159</t>
  </si>
  <si>
    <t>DOM ZA ODGOJ DJECE I MLADEŽI OSIJEK</t>
  </si>
  <si>
    <t>VINKOVAČKA 61</t>
  </si>
  <si>
    <t>61997429886</t>
  </si>
  <si>
    <t>DOM ZA ODGOJ DJECE I MLADEŽI PULA</t>
  </si>
  <si>
    <t>BOŠKOVIĆEV USPON 6</t>
  </si>
  <si>
    <t>61688478244</t>
  </si>
  <si>
    <t>DOM ZA ODGOJ DJECE I MLADEŽI RIJEKA</t>
  </si>
  <si>
    <t>VUKOVARSKA 49</t>
  </si>
  <si>
    <t>94000861535</t>
  </si>
  <si>
    <t>DOM ZA ODGOJ DJECE I MLADEŽI ZADAR</t>
  </si>
  <si>
    <t>JOSIPA BANA JELAČIĆA 8</t>
  </si>
  <si>
    <t>67719867859</t>
  </si>
  <si>
    <t>DOM ZA ODGOJ DJECE I MLADEŽI ZAGREB</t>
  </si>
  <si>
    <t>UL. SV. MATEJA 70A</t>
  </si>
  <si>
    <t>10010 ZAGREB - DUGAVE</t>
  </si>
  <si>
    <t>88189190821</t>
  </si>
  <si>
    <t>DOM ZA ODRASLE OSOBE BIDRUŽICA</t>
  </si>
  <si>
    <t>IVANIĆ DESINIČKI 30</t>
  </si>
  <si>
    <t>49216 DESINIĆ</t>
  </si>
  <si>
    <t>47145266223</t>
  </si>
  <si>
    <t>DOM ZA ODRASLE OSOBE BOROVA</t>
  </si>
  <si>
    <t>STJEPANA RADIĆA 9A</t>
  </si>
  <si>
    <t>33410 SUHOPOLJE</t>
  </si>
  <si>
    <t>75988025471</t>
  </si>
  <si>
    <t>DOM ZA ODRASLE OSOBE I REHABILITACIJU METKOVIĆ</t>
  </si>
  <si>
    <t>61844359091</t>
  </si>
  <si>
    <t>DOM ZA ODRASLE OSOBE LJESKOVICA</t>
  </si>
  <si>
    <t>NOVA LJESKOVICA, JOSIPA KNEŽEVIĆA 41</t>
  </si>
  <si>
    <t>34350 ČAGLIN</t>
  </si>
  <si>
    <t>66458920794</t>
  </si>
  <si>
    <t>DOM ZA ODRASLE OSOBE NUŠTAR</t>
  </si>
  <si>
    <t>V. LISNSKOG 1A</t>
  </si>
  <si>
    <t>32224 NUŠTAR</t>
  </si>
  <si>
    <t>12399538329</t>
  </si>
  <si>
    <t>DOM ZA ODRASLE OSOBE OREHOVICA</t>
  </si>
  <si>
    <t>A. ŠENOE 2</t>
  </si>
  <si>
    <t>40322 OREHOVICA</t>
  </si>
  <si>
    <t>67610036162</t>
  </si>
  <si>
    <t>DOM ZA ODRASLE OSOBE TURNIĆ</t>
  </si>
  <si>
    <t>GIUSEPPE CARABINO 6</t>
  </si>
  <si>
    <t>27939942401</t>
  </si>
  <si>
    <t>DOM ZA ODRASLE OSOBE BJELOVAR</t>
  </si>
  <si>
    <t>DON FRANE BULIĆA BB</t>
  </si>
  <si>
    <t>62693385109</t>
  </si>
  <si>
    <t>DOM ZA PSIHIČKI BOLESNE ODRASLE OSOBE BLATO</t>
  </si>
  <si>
    <t>ULICA 32 49</t>
  </si>
  <si>
    <t>20271 BLATO</t>
  </si>
  <si>
    <t>99467043079</t>
  </si>
  <si>
    <t>DOM ZA ODRASLE OSOBE JALŽABET</t>
  </si>
  <si>
    <t>KOLODVORSKA 1</t>
  </si>
  <si>
    <t>42203 JALŽABET</t>
  </si>
  <si>
    <t>40551161324</t>
  </si>
  <si>
    <t>DOM ZA PSIHIČKI BOLESNE ODRASLE OSOBE MOTOVUN</t>
  </si>
  <si>
    <t>BRKAČ 28</t>
  </si>
  <si>
    <t>52424 MOTOVUN</t>
  </si>
  <si>
    <t>06458028548</t>
  </si>
  <si>
    <t>DOM ZA ODRASLE OSOBE SV. FRANE ZADAR</t>
  </si>
  <si>
    <t>FRA DONATA FABIJANIĆA 6</t>
  </si>
  <si>
    <t>65698739290</t>
  </si>
  <si>
    <t>DOM ZA ODRASLE OSOBE "SVETA NEDJELJA" NEDEŠĆINA</t>
  </si>
  <si>
    <t>NEDEŠĆINA 41</t>
  </si>
  <si>
    <t>52231 SVETA NEDJELJA</t>
  </si>
  <si>
    <t>52406673119</t>
  </si>
  <si>
    <t>DOM ZA PSIHIČKI BOLESNE ODRASLE OSOBE TROGIR</t>
  </si>
  <si>
    <t>TINA UJEVIĆA 11</t>
  </si>
  <si>
    <t>21220 TOGIR</t>
  </si>
  <si>
    <t>50259535567</t>
  </si>
  <si>
    <t>DOM ZA ODRASLE OSOBE VILA MARIA</t>
  </si>
  <si>
    <t>ŠIŠANSKA CESTA 2</t>
  </si>
  <si>
    <t>71297971198</t>
  </si>
  <si>
    <t>DOM ZA PSIHIČKI BOLESNE ODRASLE OSOBE ZAGREB</t>
  </si>
  <si>
    <t>ŠESTINSKI DOL 53</t>
  </si>
  <si>
    <t>70271854148</t>
  </si>
  <si>
    <t>DOM ZA ODRASLE OSOBE ZEMUNIK</t>
  </si>
  <si>
    <t>ULICA I BR. 53</t>
  </si>
  <si>
    <t>23222 ZEMUNIK DONJI</t>
  </si>
  <si>
    <t>26462059731</t>
  </si>
  <si>
    <t>DOM ZA STARIJE I TEŠKO BOLESNE ODRASLE OSOBE "MAJKA MARIJA PETKOVIĆ"</t>
  </si>
  <si>
    <t>33. ULICA 4</t>
  </si>
  <si>
    <t>02263696</t>
  </si>
  <si>
    <t>03115808250</t>
  </si>
  <si>
    <t>DOM ZA STARIJE OSOBE OKLAJ</t>
  </si>
  <si>
    <t>PUT KROZ OKLAJ 87/I</t>
  </si>
  <si>
    <t>22303 OKLAJ</t>
  </si>
  <si>
    <t>66528573284</t>
  </si>
  <si>
    <t>ODGOJNI DOM IVANEC</t>
  </si>
  <si>
    <t>PAHINSKO 6</t>
  </si>
  <si>
    <t>03530904023</t>
  </si>
  <si>
    <t>ODGOJNI DOM MALI LOŠINJ</t>
  </si>
  <si>
    <t>ZAGREBAČKA 16</t>
  </si>
  <si>
    <t>31173278276</t>
  </si>
  <si>
    <t>MINISTARSTVO TURIZMA I SPORTA</t>
  </si>
  <si>
    <t>87892589782</t>
  </si>
  <si>
    <t>47107</t>
  </si>
  <si>
    <t>MINISTARSTVO ZDRAVSTVA</t>
  </si>
  <si>
    <t>KSAVER 200A</t>
  </si>
  <si>
    <t>88362248492</t>
  </si>
  <si>
    <t>KLINIČKA BOLNICA DUBRAVA</t>
  </si>
  <si>
    <t>AVENIJA GOJKA ŠUŠKA 3</t>
  </si>
  <si>
    <t>32206148371</t>
  </si>
  <si>
    <t>KLINIČKA BOLNICA MERKUR</t>
  </si>
  <si>
    <t>ZAJČEVA 19</t>
  </si>
  <si>
    <t>25883882856</t>
  </si>
  <si>
    <t>KLINIČKI BOLNIČKI CENTAR OSIJEK</t>
  </si>
  <si>
    <t>JOSIPA HUTTLERA 4</t>
  </si>
  <si>
    <t>89819375646</t>
  </si>
  <si>
    <t>KLINIČKI BOLNIČKI CENTAR RIJEKA</t>
  </si>
  <si>
    <t>KREŠIMIROVA 42</t>
  </si>
  <si>
    <t>40237608715</t>
  </si>
  <si>
    <t>KLINIČKI BOLNIČKI CENTAR SESTRE MILOSRDNICE</t>
  </si>
  <si>
    <t>VINOGRADSKA CESTA 29</t>
  </si>
  <si>
    <t>84924656517</t>
  </si>
  <si>
    <t>KLINIČKI BOLNIČKI CENTAR SPLIT</t>
  </si>
  <si>
    <t>SPINČIĆEVA 1</t>
  </si>
  <si>
    <t>51401063283</t>
  </si>
  <si>
    <t>KLINIČKI BOLNIČKI CENTAR ZAGREB</t>
  </si>
  <si>
    <t>KIŠPATIĆEVA 12</t>
  </si>
  <si>
    <t>46377257342</t>
  </si>
  <si>
    <t>KLINIKA ZA DJEČJE BOLESTI ZAGREB</t>
  </si>
  <si>
    <t>KLAIĆEVA 16</t>
  </si>
  <si>
    <t>70641763756</t>
  </si>
  <si>
    <t>KLINIKA ZA INFEKTIVNE BOLESTI DR. FRAN MIHALJEVIĆ</t>
  </si>
  <si>
    <t>MIROGOJSKA CESTA 8</t>
  </si>
  <si>
    <t>47767714195</t>
  </si>
  <si>
    <t>KLINIKA ZA ORTOPEDIJU LOVRAN</t>
  </si>
  <si>
    <t>MARŠALA TITA 1</t>
  </si>
  <si>
    <t>09777091543</t>
  </si>
  <si>
    <t>NACIONALNA MEMORIJALNA BOLNICA VUKOVAR</t>
  </si>
  <si>
    <t>ŽUPANIJSKA 35</t>
  </si>
  <si>
    <t>00772208</t>
  </si>
  <si>
    <t>DOM ZDRAVLJA MINISTARSTVA UNUTARNJIH POSLOVA REPUBLIKE HRVATSKE</t>
  </si>
  <si>
    <t>ŠARENGRADSKA 3</t>
  </si>
  <si>
    <t>10561585601</t>
  </si>
  <si>
    <t>HRVATSKI ZAVOD ZA HITNU MEDICINU</t>
  </si>
  <si>
    <t>PLANINSKA 13</t>
  </si>
  <si>
    <t>45218167072</t>
  </si>
  <si>
    <t>HRVATSKI ZAVOD ZA JAVNO ZDRAVSTVO</t>
  </si>
  <si>
    <t>ROCKEFELLEROVA 7</t>
  </si>
  <si>
    <t>75297532041</t>
  </si>
  <si>
    <t>HRVATSKI ZAVOD ZA TRANSFUZIJSKU MEDICINU</t>
  </si>
  <si>
    <t>PETROVA 3</t>
  </si>
  <si>
    <t>61248075289</t>
  </si>
  <si>
    <t>IMUNOLOŠKI ZAVOD</t>
  </si>
  <si>
    <t>ROCKEFELLEROVA 2</t>
  </si>
  <si>
    <t>04440153</t>
  </si>
  <si>
    <t>51786203438</t>
  </si>
  <si>
    <t>HRVATSKA AKADEMIJA ZNANOSTI I UMJETNOSTI</t>
  </si>
  <si>
    <t>ZRINSKI TRG 11</t>
  </si>
  <si>
    <t>61989185242</t>
  </si>
  <si>
    <t>MINISTARSTVO PRAVOSUĐA I UPRAVE</t>
  </si>
  <si>
    <t>ULICA GRADA VUKOVARA 49</t>
  </si>
  <si>
    <t>72910430276</t>
  </si>
  <si>
    <t>PRAVOSUDNA AKADEMIJA</t>
  </si>
  <si>
    <t>02601168</t>
  </si>
  <si>
    <t>45836640931</t>
  </si>
  <si>
    <t>CENTAR ZA DIJAGNOSTIKU U ZAGREBU</t>
  </si>
  <si>
    <t>DR. LUJE NALETILIĆA 1</t>
  </si>
  <si>
    <t>02903989</t>
  </si>
  <si>
    <t xml:space="preserve">CENTAR ZA IZOBRAZBU </t>
  </si>
  <si>
    <t>22515399253</t>
  </si>
  <si>
    <t>KAZNIONICA U GLINI</t>
  </si>
  <si>
    <t>VINOGRADSKA 2</t>
  </si>
  <si>
    <t>19601823684</t>
  </si>
  <si>
    <t>KAZNIONICA U LEPOGLAVI</t>
  </si>
  <si>
    <t>HRVATSKIH PAVLINA 1</t>
  </si>
  <si>
    <t>42250 LEPOGLAVA</t>
  </si>
  <si>
    <t>10236446484</t>
  </si>
  <si>
    <t>KAZNIONICA U LIPOVICI - POPOVAČA</t>
  </si>
  <si>
    <t>LIPOVEČKA 22</t>
  </si>
  <si>
    <t>44317 POPOVAČA</t>
  </si>
  <si>
    <t>22519877219</t>
  </si>
  <si>
    <t>KAZNIONICA U POŽEGI</t>
  </si>
  <si>
    <t>OSJEČKA 77</t>
  </si>
  <si>
    <t>28324816977</t>
  </si>
  <si>
    <t>KAZNIONICA U TUROPOLJU</t>
  </si>
  <si>
    <t>TUROPOLJE BB</t>
  </si>
  <si>
    <t>19085780732</t>
  </si>
  <si>
    <t>KAZNIONICA U VALTURI</t>
  </si>
  <si>
    <t>VALTURSKO POLJE 211</t>
  </si>
  <si>
    <t>17231519023</t>
  </si>
  <si>
    <t>ODGOJNI ZAVOD TUROPOLJE</t>
  </si>
  <si>
    <t>TUROPOLJSKA BB</t>
  </si>
  <si>
    <t>71207730103</t>
  </si>
  <si>
    <t>ODGOJNI ZAVOD U POŽEGI</t>
  </si>
  <si>
    <t>63220735836</t>
  </si>
  <si>
    <t>ZATVOR U BJELOVARU</t>
  </si>
  <si>
    <t>ŠETALIŠTE DR. IVŠE LEBOVIĆA 40</t>
  </si>
  <si>
    <t>81776072137</t>
  </si>
  <si>
    <t xml:space="preserve">ZATVOR U DUBROVNIKU </t>
  </si>
  <si>
    <t>BANA J. JELAČIĆA 12</t>
  </si>
  <si>
    <t>67505868091</t>
  </si>
  <si>
    <t>ZATVOR U GOSPIĆU</t>
  </si>
  <si>
    <t>SENJSKIH ŽRTAVA 15</t>
  </si>
  <si>
    <t>22146074849</t>
  </si>
  <si>
    <t>ZATVOR U KARLOVCU</t>
  </si>
  <si>
    <t>JURIJA HAULIKA 1</t>
  </si>
  <si>
    <t>95460314688</t>
  </si>
  <si>
    <t>ZATVOR U OSIJEKU</t>
  </si>
  <si>
    <t>K. A. STEPINCA 8A</t>
  </si>
  <si>
    <t>41454229611</t>
  </si>
  <si>
    <t>ZATVOR U POŽEGI</t>
  </si>
  <si>
    <t>OSJEČKA 151A</t>
  </si>
  <si>
    <t>74353238879</t>
  </si>
  <si>
    <t>ZATVOR U PULI</t>
  </si>
  <si>
    <t>KRANJČEVIĆEVA 6</t>
  </si>
  <si>
    <t>17447075545</t>
  </si>
  <si>
    <t>ZATVOR U RIJECI</t>
  </si>
  <si>
    <t>ŽRTAVA FAŠIZMA 5</t>
  </si>
  <si>
    <t>33722890668</t>
  </si>
  <si>
    <t>ZATVOR U SISKU</t>
  </si>
  <si>
    <t>RIMSKA 19</t>
  </si>
  <si>
    <t>02167221104</t>
  </si>
  <si>
    <t>ZATVOR U SPLITU</t>
  </si>
  <si>
    <t>DRAČEVAC 2C</t>
  </si>
  <si>
    <t>76049012642</t>
  </si>
  <si>
    <t>ZATVOR U ŠIBENIKU</t>
  </si>
  <si>
    <t>KARLA VIPAUCA 1</t>
  </si>
  <si>
    <t>63458186326</t>
  </si>
  <si>
    <t>ZATVOR U VARAŽDINU</t>
  </si>
  <si>
    <t>BRAĆE RADIĆA 4</t>
  </si>
  <si>
    <t>81202714807</t>
  </si>
  <si>
    <t>ZATVOR U ZADRU</t>
  </si>
  <si>
    <t>ZORE DALMATINSKE 1</t>
  </si>
  <si>
    <t>39019469578</t>
  </si>
  <si>
    <t>ZATVOR U ZAGREBU</t>
  </si>
  <si>
    <t>92668153620</t>
  </si>
  <si>
    <t>ZATVORSKA BOLNICA U ZAGREBU</t>
  </si>
  <si>
    <t>SVETOŠIMUNSKA 107</t>
  </si>
  <si>
    <t>13812320938</t>
  </si>
  <si>
    <t>VRHOVNI SUD REPUBLIKE HRVATSKE</t>
  </si>
  <si>
    <t>TRG NIKOLE ŠUBIĆA ZRINSKOG 3</t>
  </si>
  <si>
    <t>20599635268</t>
  </si>
  <si>
    <t>VISOKI TRGOVAČKI SUD REPUBLIKE HRVATSKE</t>
  </si>
  <si>
    <t>BERISLAVIĆEVA 11</t>
  </si>
  <si>
    <t>97349366519</t>
  </si>
  <si>
    <t>VISOKI UPRAVNI SUD REPUBLIKE HRVATSKE</t>
  </si>
  <si>
    <t>FRANKOPANSKA 16</t>
  </si>
  <si>
    <t>13613360068</t>
  </si>
  <si>
    <t>UPRAVNI SUD U OSIJEKU</t>
  </si>
  <si>
    <t>TRG ANTE STARČEVIĆA 7/II</t>
  </si>
  <si>
    <t>03091658132</t>
  </si>
  <si>
    <t>UPRAVNI SUD U RIJECI</t>
  </si>
  <si>
    <t>ERAZMA BARČIĆA 5</t>
  </si>
  <si>
    <t>46227608101</t>
  </si>
  <si>
    <t>UPRAVNI SUD U SPLITU</t>
  </si>
  <si>
    <t>PUT SUPAVLA 1</t>
  </si>
  <si>
    <t>45765887838</t>
  </si>
  <si>
    <t>UPRAVNI SUD U ZAGREBU</t>
  </si>
  <si>
    <t>AVENIJA DUBROVNIK 6 i 8</t>
  </si>
  <si>
    <t>65338495447</t>
  </si>
  <si>
    <t>DRŽAVNO ODVJETNIŠTVO REPUBLIKE HRVATSKE</t>
  </si>
  <si>
    <t>GAJEVA 30A</t>
  </si>
  <si>
    <t>43539267895</t>
  </si>
  <si>
    <t>DRŽAVNO ODVJETNIČKO VIJEĆE</t>
  </si>
  <si>
    <t>45840051274</t>
  </si>
  <si>
    <t>DRŽAVNO SUDBENO VIJEĆE</t>
  </si>
  <si>
    <t>ULICA GRADA VUKOVARA 271</t>
  </si>
  <si>
    <t>66951444283</t>
  </si>
  <si>
    <t>VISOKI PREKRŠAJNII SUD REPUBLIKE HRVATSKE</t>
  </si>
  <si>
    <t>AUGUSTA ŠENOE 30</t>
  </si>
  <si>
    <t>02594920860</t>
  </si>
  <si>
    <t>VISOKI KAZNENI SUD REPUBLIKE HRVATSKE</t>
  </si>
  <si>
    <t>TRG NIKOLE ŠUBIĆA ZRINSKOG 5</t>
  </si>
  <si>
    <t>66513030326</t>
  </si>
  <si>
    <t>ŽUPANIJSKI SUD U BJELOVARU</t>
  </si>
  <si>
    <t>JOSIPA JELAČIĆA 1</t>
  </si>
  <si>
    <t>26346076385</t>
  </si>
  <si>
    <t>ŽUPANIJSKI SUD U DUBROVNIKU</t>
  </si>
  <si>
    <t>DR. A. STARČEVIĆA 23</t>
  </si>
  <si>
    <t>89577096924</t>
  </si>
  <si>
    <t>ŽUPANIJSKI SUD U KARLOVCU</t>
  </si>
  <si>
    <t>TRG HRVATSKIH BRANITELJA 1</t>
  </si>
  <si>
    <t>03592261620</t>
  </si>
  <si>
    <t>ŽUPANIJSKI SUD U OSIJEKU</t>
  </si>
  <si>
    <t>EUROPSKA AVENIJA 7</t>
  </si>
  <si>
    <t>84896920817</t>
  </si>
  <si>
    <t>ŽUPANIJSKI SUD U PULI - POLA</t>
  </si>
  <si>
    <t>KRANJČEVIĆEVA 8/I</t>
  </si>
  <si>
    <t>52000 PULA</t>
  </si>
  <si>
    <t>69281755283</t>
  </si>
  <si>
    <t>ŽUPANIJSKI SUD U RIJECI</t>
  </si>
  <si>
    <t>ŽRTAVA FAŠIZMA 7</t>
  </si>
  <si>
    <t>22883124500</t>
  </si>
  <si>
    <t>ŽUPANIJSKI SUD U SISKU</t>
  </si>
  <si>
    <t>TRG LJUDEVITA POSAVSKOG 5</t>
  </si>
  <si>
    <t>27877699046</t>
  </si>
  <si>
    <t>ŽUPANIJSKI SUD U SLAVONSKOM BRODU</t>
  </si>
  <si>
    <t>TOME SKALICE 2</t>
  </si>
  <si>
    <t>88717538459</t>
  </si>
  <si>
    <t>ŽUPANIJSKI SUD U SPLITU</t>
  </si>
  <si>
    <t>GUNDULIĆEVA 29/A</t>
  </si>
  <si>
    <t>11748694684</t>
  </si>
  <si>
    <t>ŽUPANIJSKI SUD U ŠIBENIKU</t>
  </si>
  <si>
    <t>STJEPANA RADIĆA 81</t>
  </si>
  <si>
    <t>88341107822</t>
  </si>
  <si>
    <t>ŽUPANIJSKI SUD U VARAŽDINU</t>
  </si>
  <si>
    <t>03344665749</t>
  </si>
  <si>
    <t>ŽUPANIJSKI SUD U VELIKOJ GORICI</t>
  </si>
  <si>
    <t>ULICA HRVATSKE BRATSKE ZAJEDNICE 1</t>
  </si>
  <si>
    <t>18580057518</t>
  </si>
  <si>
    <t>ŽUPANIJSKI SUD U VUKOVARU</t>
  </si>
  <si>
    <t>ŽUPANIJSKA 33</t>
  </si>
  <si>
    <t>92599990351</t>
  </si>
  <si>
    <t>ŽUPANIJSKI SUD U ZADRU</t>
  </si>
  <si>
    <t>PLEMIĆA BORELLI 9</t>
  </si>
  <si>
    <t>97465301721</t>
  </si>
  <si>
    <t>ŽUPANIJSKI SUD U ZAGREBU</t>
  </si>
  <si>
    <t>87134069158</t>
  </si>
  <si>
    <t>TRGOVAČKI SUD U BJELOVARU</t>
  </si>
  <si>
    <t>DR. JUŠE LEBOVIĆA 42</t>
  </si>
  <si>
    <t>07942269267</t>
  </si>
  <si>
    <t>TRGOVAČKI SUD U DUBROVNIKU</t>
  </si>
  <si>
    <t>DR. ANTE STARČEVIĆA 23</t>
  </si>
  <si>
    <t>01422936</t>
  </si>
  <si>
    <t>74081602357</t>
  </si>
  <si>
    <t>TRGOVAČKI SUD U OSIJEKU</t>
  </si>
  <si>
    <t>ZAGREBAČKA 2</t>
  </si>
  <si>
    <t>37588811552</t>
  </si>
  <si>
    <t>TRGOVAČKI SUD U PAZINU</t>
  </si>
  <si>
    <t>DRŠĆEVKA 1</t>
  </si>
  <si>
    <t>46543732715</t>
  </si>
  <si>
    <t>TRGOVAČKI SUD U RIJECI</t>
  </si>
  <si>
    <t>ZADARSKA 1</t>
  </si>
  <si>
    <t>88785964957</t>
  </si>
  <si>
    <t>TRGOVAČKI SUD U SPLITU</t>
  </si>
  <si>
    <t>SUKOIŠANSKA 6</t>
  </si>
  <si>
    <t>30842297926</t>
  </si>
  <si>
    <t>TRGOVAČKI SUD U VARAŽDINU</t>
  </si>
  <si>
    <t>420000 VARAŽDIN</t>
  </si>
  <si>
    <t>07397915111</t>
  </si>
  <si>
    <t>TRGOVAČKI SUD U ZADRU</t>
  </si>
  <si>
    <t>FRANE TUĐMANA 35</t>
  </si>
  <si>
    <t>39670464653</t>
  </si>
  <si>
    <t>TRGOVAČKI SUD U ZAGREBU</t>
  </si>
  <si>
    <t>AMRUŠEVA 2/II</t>
  </si>
  <si>
    <t>37388188772</t>
  </si>
  <si>
    <t>ŽUPANIJSKO DRŽAVNO ODVJETNIŠTVO U BJELOVARU</t>
  </si>
  <si>
    <t>ŠET. DR. IVŠE LEBOVIĆA 40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</si>
  <si>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</si>
  <si>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</si>
  <si>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</si>
  <si>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</si>
  <si>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</si>
  <si>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</si>
  <si>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KAPUCINSKA 21</t>
  </si>
  <si>
    <t>61379160880</t>
  </si>
  <si>
    <t>ŽUPANIJSKO DRŽAVNO ODVJETNIŠTVO U PULI - POLA</t>
  </si>
  <si>
    <t>ROVINJSKA 2A</t>
  </si>
  <si>
    <t>93993757343</t>
  </si>
  <si>
    <t>ŽUPANIJSKO DRŽAVNO ODVJETNIŠTVO U RIJECI</t>
  </si>
  <si>
    <t>FRANA KURELCA BB</t>
  </si>
  <si>
    <t>03377753055</t>
  </si>
  <si>
    <t>ŽUPANIJSKO DRŽAVNO ODVJETNIŠTVO U SISKU</t>
  </si>
  <si>
    <t>FERDE HEFELEA 57</t>
  </si>
  <si>
    <t>05526850490</t>
  </si>
  <si>
    <t>ŽUPANIJSKO DRŽAVNO ODVJETNIŠTVO U SLAVONSKOM BRODU</t>
  </si>
  <si>
    <t>ANTE STARČEVIĆA 40</t>
  </si>
  <si>
    <t>12144806706</t>
  </si>
  <si>
    <t>ŽUPANIJSKO DRŽAVNO ODVJETNIŠTVO U SPLITU</t>
  </si>
  <si>
    <t>GUNDULIĆEVA 29A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</si>
  <si>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</si>
  <si>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</si>
  <si>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</si>
  <si>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</si>
  <si>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</si>
  <si>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</si>
  <si>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ZAGREBAČKA 44</t>
  </si>
  <si>
    <t>96292040276</t>
  </si>
  <si>
    <t>ŽUPANIJSKO DRŽAVNO ODVJETNIŠTVO U VUKOVARU</t>
  </si>
  <si>
    <t>ANDRIJE HEBRANGA 2</t>
  </si>
  <si>
    <t>81618487055</t>
  </si>
  <si>
    <t>ŽUPANIJSKO DRŽAVNO ODVJETNIŠTVO U ZADRU</t>
  </si>
  <si>
    <t>17132768561</t>
  </si>
  <si>
    <t>ŽUPANIJSKO DRŽAVNO ODVJETNIŠTVO U ZAGREBU</t>
  </si>
  <si>
    <t>SAVSKA CESTA 41 4</t>
  </si>
  <si>
    <t>16488001145</t>
  </si>
  <si>
    <t>OPĆINSKI GRAĐANSKI SUD U ZAGREBU</t>
  </si>
  <si>
    <t>ULICA GRADA VUKOVARA 84</t>
  </si>
  <si>
    <t>01252163117</t>
  </si>
  <si>
    <t>OPĆINSKI KAZNENI SUD U ZAGREBU</t>
  </si>
  <si>
    <t>ILICA 207</t>
  </si>
  <si>
    <t>64719361972</t>
  </si>
  <si>
    <t>OPĆINSKI PREKRŠAJNI SUD U SPLITU</t>
  </si>
  <si>
    <t>DOMOVINSKOG RATA 4</t>
  </si>
  <si>
    <t>38198969688</t>
  </si>
  <si>
    <t>OPĆINSKI PREKRŠAJNI SUD U ZAGREBU</t>
  </si>
  <si>
    <t>AVENIJA DUBROVNIK 8</t>
  </si>
  <si>
    <t>95308842799</t>
  </si>
  <si>
    <t>OPĆINSKI RADNI SUD U ZAGREBU</t>
  </si>
  <si>
    <t>04755372979</t>
  </si>
  <si>
    <t>OPĆINSKI SUD U BJELOVARU</t>
  </si>
  <si>
    <t>JOSIPA JELAČIĆA 3</t>
  </si>
  <si>
    <t>57362618039</t>
  </si>
  <si>
    <t>OPĆINSKI SUD U CRIKVENICI</t>
  </si>
  <si>
    <t>ULICA KRALJA TOMISLAVA 85A</t>
  </si>
  <si>
    <t>03127320</t>
  </si>
  <si>
    <t>74084245037</t>
  </si>
  <si>
    <t>OPĆINSKI SUD U ČAKOVCU</t>
  </si>
  <si>
    <t>RUĐERA BOŠKOVIĆA 18</t>
  </si>
  <si>
    <t>55277272395</t>
  </si>
  <si>
    <t>OPĆINSKI SUD U DUBROVNIKU</t>
  </si>
  <si>
    <t>48074464528</t>
  </si>
  <si>
    <t>OPĆINSKI SUD U ĐAKOVU</t>
  </si>
  <si>
    <t>TRG DR. FRANJE TUĐMANA 2</t>
  </si>
  <si>
    <t>03012069</t>
  </si>
  <si>
    <t>18244017371</t>
  </si>
  <si>
    <t>OPĆINSKI SUD U GOSPIĆU</t>
  </si>
  <si>
    <t>TRG ALOJZIJA STEPINCA 3</t>
  </si>
  <si>
    <t>29608777564</t>
  </si>
  <si>
    <t>OPĆINSKI SUD U KARLOVCU</t>
  </si>
  <si>
    <t>05541256968</t>
  </si>
  <si>
    <t>OPĆINSKI SUD U KOPRIVNICI</t>
  </si>
  <si>
    <t>HRVATSKE DRŽAVNOSTI 5</t>
  </si>
  <si>
    <t>68516938975</t>
  </si>
  <si>
    <t>OPĆINSKI SUD U KUTINI</t>
  </si>
  <si>
    <t>HRVATSKIH BRANITELJA 1</t>
  </si>
  <si>
    <t>03319164</t>
  </si>
  <si>
    <t>69359602385</t>
  </si>
  <si>
    <t>OPĆINSKI SUD U MAKARSKOJ</t>
  </si>
  <si>
    <t>KRALJA PETRA KREŠIMIRA IV. 2</t>
  </si>
  <si>
    <t>03309568</t>
  </si>
  <si>
    <t>10188505675</t>
  </si>
  <si>
    <t>OPĆINSKI SUD U METKOVIĆU</t>
  </si>
  <si>
    <t>ANDRIJE HEBRANGA 9</t>
  </si>
  <si>
    <t>03107957</t>
  </si>
  <si>
    <t>46522572970</t>
  </si>
  <si>
    <t>OPĆINSKI SUD U NOVOM ZAGREBU</t>
  </si>
  <si>
    <t>TURININA 3</t>
  </si>
  <si>
    <t>87297014856</t>
  </si>
  <si>
    <t>OPĆINSKI SUD U OSIJEKU</t>
  </si>
  <si>
    <t>EUROPSKE AVENIJE 7</t>
  </si>
  <si>
    <t>38625793303</t>
  </si>
  <si>
    <t>OPĆINSKI SUD U PAZINU</t>
  </si>
  <si>
    <t>FRANJEVAČKE STUBE 2</t>
  </si>
  <si>
    <t>03089541</t>
  </si>
  <si>
    <t>27672461276</t>
  </si>
  <si>
    <t>OPĆINSKI SUD U POŽEGI</t>
  </si>
  <si>
    <t>SV. FLORIJANA 2</t>
  </si>
  <si>
    <t>49328464172</t>
  </si>
  <si>
    <t>OPĆINSKI SUD U PULI - POLA</t>
  </si>
  <si>
    <t>KRANJČEVIĆEVA 8</t>
  </si>
  <si>
    <t>38304616284</t>
  </si>
  <si>
    <t>OPĆINSKI SUD U RIJECI</t>
  </si>
  <si>
    <t>54566384631</t>
  </si>
  <si>
    <t>OPĆINSKI SUD U SESVETAMA</t>
  </si>
  <si>
    <t>ZAGREBAČKA 22, SESVETE</t>
  </si>
  <si>
    <t>10360 SESVETE</t>
  </si>
  <si>
    <t>03389014</t>
  </si>
  <si>
    <t>72931567836</t>
  </si>
  <si>
    <t>OPĆINSKI SUD U SISKU</t>
  </si>
  <si>
    <t>74610670107</t>
  </si>
  <si>
    <t>OPĆINSKI SUD U SLAVONSKOM BRODU</t>
  </si>
  <si>
    <t>TRG POBJEDE 13</t>
  </si>
  <si>
    <t>28673386029</t>
  </si>
  <si>
    <t>OPĆINSKI SUD U SPLITU</t>
  </si>
  <si>
    <t>GUNDULIĆEVA 29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</si>
  <si>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</si>
  <si>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</si>
  <si>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</si>
  <si>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</si>
  <si>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</si>
  <si>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</si>
  <si>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TRG KRALJA TOMISLAVA 36</t>
  </si>
  <si>
    <t>32284739479</t>
  </si>
  <si>
    <t>OPĆINSKI SUD U VINKOVCIMA</t>
  </si>
  <si>
    <t>TRG BANA J. ŠOKČEVIĆA 17</t>
  </si>
  <si>
    <t>03301818</t>
  </si>
  <si>
    <t>77561654785</t>
  </si>
  <si>
    <t>OPĆINSKI SUD U VIROVITICI</t>
  </si>
  <si>
    <t>MASARYKOVA 8</t>
  </si>
  <si>
    <t>47974453918</t>
  </si>
  <si>
    <t>OPĆINSKI SUD U VUKOVARU</t>
  </si>
  <si>
    <t>ŽUPANIJSKA 31</t>
  </si>
  <si>
    <t>69370038985</t>
  </si>
  <si>
    <t>OPĆINSKI SUD U ZADRU</t>
  </si>
  <si>
    <t>78866932443</t>
  </si>
  <si>
    <t>OPĆINSKI SUD U ZLATARU</t>
  </si>
  <si>
    <t>TRG SLOBODE 14A</t>
  </si>
  <si>
    <t>49250 ZLATAR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</si>
  <si>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</si>
  <si>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</si>
  <si>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</si>
  <si>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</si>
  <si>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</si>
  <si>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</si>
  <si>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</si>
  <si>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</si>
  <si>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</si>
  <si>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</si>
  <si>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</si>
  <si>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</si>
  <si>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HRVATSKE DRŽAVNOSTI 5A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</si>
  <si>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</si>
  <si>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</si>
  <si>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</si>
  <si>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</si>
  <si>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</si>
  <si>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</si>
  <si>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</si>
  <si>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ULICA HRVATSKE REPUBLIKE 43</t>
  </si>
  <si>
    <t>23673736199</t>
  </si>
  <si>
    <t>OPĆINSKO DRŽAVNO ODVJETNIŠTVO U PAZINU</t>
  </si>
  <si>
    <t>NARODNOG DOMA 2B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</si>
  <si>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</si>
  <si>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</si>
  <si>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</si>
  <si>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</si>
  <si>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</si>
  <si>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</si>
  <si>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</si>
  <si>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FRANA SUPILA 16</t>
  </si>
  <si>
    <t>79067711474</t>
  </si>
  <si>
    <t>OPĆINSKO DRŽAVNO ODVJETNIŠTVO U SISKU</t>
  </si>
  <si>
    <t>85077656753</t>
  </si>
  <si>
    <t>OPĆINSKO DRŽAVNO ODVJETNIŠTVO U SLAVONSKOM BRODU</t>
  </si>
  <si>
    <t>TRG POBJEDE 7</t>
  </si>
  <si>
    <t>86687204743</t>
  </si>
  <si>
    <t>OPĆINSKO DRŽAVNO ODVJETNIŠTVO U SPLITU</t>
  </si>
  <si>
    <t>IVANA GUNDULIĆA 29A</t>
  </si>
  <si>
    <t>88116062296</t>
  </si>
  <si>
    <t>OPĆINSKO DRŽAVNO ODVJETNIŠTVO U ŠIBENIKU</t>
  </si>
  <si>
    <t>S. RADIĆA 81</t>
  </si>
  <si>
    <t>83225778075</t>
  </si>
  <si>
    <t>OPĆINSKO DRŽAVNO ODVJETNIŠTVO U VARAŽDINU</t>
  </si>
  <si>
    <t>KRATKA 1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</si>
  <si>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</si>
  <si>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</si>
  <si>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</si>
  <si>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</si>
  <si>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</si>
  <si>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</si>
  <si>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</si>
  <si>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MASARYKOVA 1</t>
  </si>
  <si>
    <t>62300321754</t>
  </si>
  <si>
    <t>OPĆINSKO DRŽAVNO ODVJETNIŠTVO U VUKOVARU</t>
  </si>
  <si>
    <t>41070350826</t>
  </si>
  <si>
    <t>OPĆINSKO DRŽAVNO ODVJETNIŠTVO U ZADRU</t>
  </si>
  <si>
    <t>DR. FRANJE TUĐMANA 35</t>
  </si>
  <si>
    <t>72580451114</t>
  </si>
  <si>
    <t>OPĆINSKO KAZNENO DRŽAVNO ODVJETNIŠTVO U ZAGREBU</t>
  </si>
  <si>
    <t>SELSKA CESTA 2</t>
  </si>
  <si>
    <t>96423371665</t>
  </si>
  <si>
    <t>OPĆINSKO DRŽAVNO ODVJETNIŠTVO U ZLATARU</t>
  </si>
  <si>
    <t>11393950527</t>
  </si>
  <si>
    <t>OPĆINSKO GRAĐANSKO DRŽAVNO ODVJETNIŠTVO U ZAGREBU</t>
  </si>
  <si>
    <t>SLAVONSKA AVENIJA 6</t>
  </si>
  <si>
    <t>89381255328</t>
  </si>
  <si>
    <t xml:space="preserve">DRŽAVNO ODVJETNIŠTVO URED ZA SUZBIJANJE KORUPCIJE I ORGANIZIRANOG KRIMINALITETA </t>
  </si>
  <si>
    <t>VLAŠKA 116</t>
  </si>
  <si>
    <t>32807825145</t>
  </si>
  <si>
    <t>DRŽAVNA ŠKOLA ZA JAVNU UPRAVU</t>
  </si>
  <si>
    <t>MEDULIĆEVA 36</t>
  </si>
  <si>
    <t>01681646554</t>
  </si>
  <si>
    <t>URED PUČKOG PRAVOBRANITELJA</t>
  </si>
  <si>
    <t>TRG HRVATSKIH VELIKANA 6</t>
  </si>
  <si>
    <t>08026537914</t>
  </si>
  <si>
    <t>PRAVOBRANITELJ ZA DJECU</t>
  </si>
  <si>
    <t>NIKOLE TESLE 10</t>
  </si>
  <si>
    <t>71628985886</t>
  </si>
  <si>
    <t>PRAVOBRANITELJ/ICA ZA RAVNOPRAVNOST SPOLOVA</t>
  </si>
  <si>
    <t>PREOBRAŽENSKA 4</t>
  </si>
  <si>
    <t>18164416576</t>
  </si>
  <si>
    <t>PRAVOBRANITELJICA ZA OSOBE S INVALIDITETOM</t>
  </si>
  <si>
    <t>SAVSKA CESTA 41/3</t>
  </si>
  <si>
    <t>39572892750</t>
  </si>
  <si>
    <t>DRŽAVNI ZAVOD ZA STATISTIKU</t>
  </si>
  <si>
    <t>ILICA 3</t>
  </si>
  <si>
    <t>49337502853</t>
  </si>
  <si>
    <t>DRŽAVNI URED ZA REVIZIJU</t>
  </si>
  <si>
    <t xml:space="preserve">TKALČIĆEVA 19 </t>
  </si>
  <si>
    <t>55448281176</t>
  </si>
  <si>
    <t>DRŽAVNA KOMISIJA ZA KONTROLU POSTUPAKA JAVNE NABAVE</t>
  </si>
  <si>
    <t>KOTURAŠKA 43/4</t>
  </si>
  <si>
    <t>95857869241</t>
  </si>
  <si>
    <t>DRŽAVNI INSPEKTORAT</t>
  </si>
  <si>
    <t>ŠUBIĆEVA 29</t>
  </si>
  <si>
    <t>33706439962</t>
  </si>
  <si>
    <t>URED VIJEĆA ZA NACIONALNU SIGURNOST</t>
  </si>
  <si>
    <t>JURJEVSKA 34</t>
  </si>
  <si>
    <t>35550098638</t>
  </si>
  <si>
    <t>OPERATIVNO-TEHNIČKI CENTAR ZA NADZOR TELEKOMUNIKACIJA</t>
  </si>
  <si>
    <t>ZVONIMIROVA 4</t>
  </si>
  <si>
    <t>24069425282</t>
  </si>
  <si>
    <t>ZAVOD ZA SIGURNOST INFORMACIJSKIH SUSTAVA</t>
  </si>
  <si>
    <t>FRA FILIPA GRABOVCA 3</t>
  </si>
  <si>
    <t>43612062527</t>
  </si>
  <si>
    <t>AGENCIJA ZA ZAŠTITU OSOBNIH PODATAKA</t>
  </si>
  <si>
    <t>SELSKA CESTA 136</t>
  </si>
  <si>
    <t>28454963989</t>
  </si>
  <si>
    <t>POVJERENIK ZA INFORMIRANJE</t>
  </si>
  <si>
    <t>TRG ŽRTAVA FAŠIZMA 3</t>
  </si>
  <si>
    <t>*Sukladno čl. 2. st. 4. Pravilnika o proračunskom računovodstvu i Računskom planu (Narodne novine, broj 124/14, 115/15, 87/16, 3/18, 126/19 i 108/20) za potrebe računovodstvenih i drugih proračunskih evidencija i izvještaja Hrvatski zavod za zapošljavanje smatra se izvanproračunskim korisnikom.</t>
  </si>
  <si>
    <t>A622125.172</t>
  </si>
  <si>
    <t>JERICO-S3 Joint European Research Infrastructure of Coastal Observatories: Science, Service,</t>
  </si>
  <si>
    <t>A622125.176</t>
  </si>
  <si>
    <t>A622125.173</t>
  </si>
  <si>
    <t>A622125.178</t>
  </si>
  <si>
    <t>A622125.175</t>
  </si>
  <si>
    <t>ReMADEARI Recyclable materials development at analytical research infrastructures - ReMADEARI</t>
  </si>
  <si>
    <t>A622125.174</t>
  </si>
  <si>
    <t>A622125.177</t>
  </si>
  <si>
    <t>A622125.179</t>
  </si>
  <si>
    <t>Prilogodba mjera kontrole populacije komaraca klimatskim promjenama u Hrvatskoj</t>
  </si>
  <si>
    <t>A622125.180</t>
  </si>
  <si>
    <t>A622125.181</t>
  </si>
  <si>
    <t>A622125.182</t>
  </si>
  <si>
    <t>12</t>
  </si>
  <si>
    <t>3111</t>
  </si>
  <si>
    <t>3132</t>
  </si>
  <si>
    <t>3211</t>
  </si>
  <si>
    <t>3212</t>
  </si>
  <si>
    <t>3213</t>
  </si>
  <si>
    <t>3221</t>
  </si>
  <si>
    <t>3223</t>
  </si>
  <si>
    <t>3224</t>
  </si>
  <si>
    <t>3231</t>
  </si>
  <si>
    <t>3233</t>
  </si>
  <si>
    <t>3234</t>
  </si>
  <si>
    <t>3235</t>
  </si>
  <si>
    <t>3237</t>
  </si>
  <si>
    <t>3239</t>
  </si>
  <si>
    <t>3241</t>
  </si>
  <si>
    <t>3293</t>
  </si>
  <si>
    <t>3295</t>
  </si>
  <si>
    <t>3691</t>
  </si>
  <si>
    <t>3692</t>
  </si>
  <si>
    <t>4224</t>
  </si>
  <si>
    <t>563</t>
  </si>
  <si>
    <t>3693</t>
  </si>
  <si>
    <t>3694</t>
  </si>
  <si>
    <t>RAPTOVAX - Robusne i adaptabilne biološke platforme za nova cjepiva; CAT PHARMA - Inovativna rješenja u katalitičkim proizvodnim procesima za potrebe farmaceutske industrije; IPSted – Inovativni protokoli mikroskopije za interdisciplinarna istraživanja u biomedicini</t>
  </si>
  <si>
    <t>Uredski materijal</t>
  </si>
  <si>
    <t xml:space="preserve">Tekući prijenosi između proračunskih korisnika istog proračuna </t>
  </si>
  <si>
    <t>UNIZG</t>
  </si>
  <si>
    <t>VEF</t>
  </si>
  <si>
    <t>UNI ZD</t>
  </si>
  <si>
    <t>4212</t>
  </si>
  <si>
    <t>K622144</t>
  </si>
  <si>
    <t>UKUPNO</t>
  </si>
  <si>
    <t>Zagreb, 07. prosinac 2022.</t>
  </si>
  <si>
    <t>01/4571 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</si>
</sst>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#&quot;.&quot;"/>
    <numFmt numFmtId="165" formatCode="00000000"/>
    <numFmt numFmtId="166" formatCode="&quot;kn&quot;#,##0.00_);[Red]\(&quot;kn&quot;#,##0.00\)"/>
    <numFmt numFmtId="167" formatCode="#,##0_ ;\-#,##0\ "/>
    <numFmt numFmtId="168" formatCode="&quot;- &quot;@"/>
    <numFmt numFmtId="169" formatCode="&quot;+ &quot;@"/>
    <numFmt numFmtId="170" formatCode="#,##0.0000"/>
    <numFmt numFmtId="171" formatCode="_-* #,##0_-;\-* #,##0_-;_-* &quot;-&quot;??_-;_-@_-"/>
  </numFmts>
  <fonts count="59">
    <font>
      <sz val="11"/>
      <color theme="1"/>
      <name val="Calibri"/>
      <scheme val="minor"/>
    </font>
    <font>
      <b/>
      <sz val="10"/>
      <color rgb="FF000000"/>
      <name val="Open Sans"/>
    </font>
    <font>
      <sz val="10"/>
      <color rgb="FF000000"/>
      <name val="Open Sans"/>
    </font>
    <font>
      <sz val="11"/>
      <color rgb="FF000000"/>
      <name val="Calibri"/>
      <family val="2"/>
      <charset val="238"/>
    </font>
    <font>
      <b/>
      <sz val="10"/>
      <color rgb="FF003366"/>
      <name val="Calibri"/>
      <family val="2"/>
      <charset val="238"/>
    </font>
    <font>
      <sz val="11"/>
      <name val="Calibri"/>
      <family val="2"/>
      <charset val="238"/>
    </font>
    <font>
      <sz val="10"/>
      <color rgb="FF003366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1"/>
      <color rgb="FFFFC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6"/>
      <color rgb="FF333399"/>
      <name val="Calibri"/>
      <family val="2"/>
      <charset val="238"/>
    </font>
    <font>
      <b/>
      <sz val="10"/>
      <color rgb="FF333399"/>
      <name val="Calibri"/>
      <family val="2"/>
      <charset val="238"/>
    </font>
    <font>
      <b/>
      <sz val="10"/>
      <color rgb="FFF2F2F2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2"/>
      <color rgb="FFFFFFFF"/>
      <name val="Calibri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11"/>
      <color rgb="FF00B050"/>
      <name val="Calibri"/>
      <family val="2"/>
      <charset val="238"/>
    </font>
    <font>
      <b/>
      <sz val="15"/>
      <color rgb="FF44546A"/>
      <name val="Calibri"/>
      <family val="2"/>
      <charset val="238"/>
    </font>
    <font>
      <b/>
      <sz val="15"/>
      <color rgb="FFFF0000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333399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333399"/>
        <bgColor rgb="FF33339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CCCCFF"/>
        <bgColor rgb="FFCCCCFF"/>
      </patternFill>
    </fill>
    <fill>
      <patternFill patternType="solid">
        <fgColor rgb="FFD8D8D8"/>
        <bgColor rgb="FFD8D8D8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  <fill>
      <patternFill patternType="solid">
        <fgColor rgb="FFDEEAF6"/>
        <bgColor rgb="FFDEEAF6"/>
      </patternFill>
    </fill>
  </fills>
  <borders count="4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/>
      <bottom/>
      <diagonal/>
    </border>
    <border>
      <left style="thin">
        <color rgb="FF000080"/>
      </left>
      <right/>
      <top/>
      <bottom/>
      <diagonal/>
    </border>
    <border>
      <left/>
      <right style="thin">
        <color rgb="FF00008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52" fillId="0" borderId="0" applyFont="0" applyFill="0" applyBorder="0" applyAlignment="0" applyProtection="0"/>
  </cellStyleXfs>
  <cellXfs count="32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8" fillId="0" borderId="11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165" fontId="8" fillId="0" borderId="12" xfId="0" applyNumberFormat="1" applyFont="1" applyBorder="1" applyAlignment="1">
      <alignment horizontal="left" vertical="center"/>
    </xf>
    <xf numFmtId="165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left" vertical="center"/>
    </xf>
    <xf numFmtId="49" fontId="10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3" borderId="12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3" fillId="4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3" fontId="12" fillId="5" borderId="9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3" fontId="12" fillId="5" borderId="9" xfId="0" applyNumberFormat="1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/>
    </xf>
    <xf numFmtId="1" fontId="15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15" fillId="3" borderId="12" xfId="0" applyFont="1" applyFill="1" applyBorder="1" applyAlignment="1">
      <alignment horizontal="left" vertical="center"/>
    </xf>
    <xf numFmtId="165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9" xfId="0" applyFont="1" applyBorder="1" applyAlignment="1">
      <alignment horizontal="left" vertical="center" wrapText="1"/>
    </xf>
    <xf numFmtId="0" fontId="12" fillId="0" borderId="9" xfId="0" quotePrefix="1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/>
    </xf>
    <xf numFmtId="3" fontId="12" fillId="6" borderId="9" xfId="0" applyNumberFormat="1" applyFont="1" applyFill="1" applyBorder="1" applyAlignment="1">
      <alignment horizontal="right" vertical="center"/>
    </xf>
    <xf numFmtId="3" fontId="12" fillId="6" borderId="9" xfId="0" applyNumberFormat="1" applyFont="1" applyFill="1" applyBorder="1" applyAlignment="1">
      <alignment horizontal="right" vertical="center" wrapText="1"/>
    </xf>
    <xf numFmtId="166" fontId="3" fillId="0" borderId="0" xfId="0" applyNumberFormat="1" applyFont="1" applyAlignment="1">
      <alignment vertical="center"/>
    </xf>
    <xf numFmtId="0" fontId="13" fillId="4" borderId="14" xfId="0" applyFont="1" applyFill="1" applyBorder="1" applyAlignment="1">
      <alignment horizontal="left" vertical="center" wrapText="1"/>
    </xf>
    <xf numFmtId="3" fontId="13" fillId="4" borderId="14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8" fillId="0" borderId="12" xfId="0" applyFont="1" applyBorder="1"/>
    <xf numFmtId="0" fontId="9" fillId="0" borderId="0" xfId="0" applyFont="1" applyAlignment="1">
      <alignment vertical="top"/>
    </xf>
    <xf numFmtId="4" fontId="10" fillId="0" borderId="0" xfId="0" applyNumberFormat="1" applyFont="1"/>
    <xf numFmtId="0" fontId="19" fillId="4" borderId="16" xfId="0" quotePrefix="1" applyFont="1" applyFill="1" applyBorder="1" applyAlignment="1">
      <alignment horizontal="left" vertical="center"/>
    </xf>
    <xf numFmtId="3" fontId="20" fillId="4" borderId="16" xfId="0" quotePrefix="1" applyNumberFormat="1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4" fontId="19" fillId="4" borderId="18" xfId="0" applyNumberFormat="1" applyFont="1" applyFill="1" applyBorder="1" applyAlignment="1">
      <alignment horizontal="center" vertical="center" wrapText="1"/>
    </xf>
    <xf numFmtId="0" fontId="22" fillId="0" borderId="16" xfId="0" quotePrefix="1" applyFont="1" applyBorder="1" applyAlignment="1">
      <alignment horizontal="left" vertical="center"/>
    </xf>
    <xf numFmtId="49" fontId="23" fillId="2" borderId="16" xfId="0" applyNumberFormat="1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left" vertical="center"/>
    </xf>
    <xf numFmtId="0" fontId="22" fillId="3" borderId="16" xfId="0" quotePrefix="1" applyFont="1" applyFill="1" applyBorder="1" applyAlignment="1">
      <alignment horizontal="center" vertical="center"/>
    </xf>
    <xf numFmtId="0" fontId="23" fillId="2" borderId="16" xfId="0" applyFont="1" applyFill="1" applyBorder="1"/>
    <xf numFmtId="3" fontId="23" fillId="0" borderId="16" xfId="0" applyNumberFormat="1" applyFont="1" applyBorder="1" applyAlignment="1">
      <alignment horizontal="right" vertical="center"/>
    </xf>
    <xf numFmtId="0" fontId="22" fillId="3" borderId="16" xfId="0" applyFont="1" applyFill="1" applyBorder="1" applyAlignment="1">
      <alignment horizontal="center" vertical="center"/>
    </xf>
    <xf numFmtId="0" fontId="24" fillId="0" borderId="0" xfId="0" applyFont="1"/>
    <xf numFmtId="3" fontId="19" fillId="4" borderId="16" xfId="0" quotePrefix="1" applyNumberFormat="1" applyFont="1" applyFill="1" applyBorder="1" applyAlignment="1">
      <alignment horizontal="left" vertical="center" wrapText="1"/>
    </xf>
    <xf numFmtId="0" fontId="19" fillId="4" borderId="19" xfId="0" applyFont="1" applyFill="1" applyBorder="1" applyAlignment="1">
      <alignment horizontal="left" vertical="center"/>
    </xf>
    <xf numFmtId="0" fontId="23" fillId="0" borderId="16" xfId="0" quotePrefix="1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10" fillId="7" borderId="17" xfId="0" applyFont="1" applyFill="1" applyBorder="1" applyAlignment="1">
      <alignment horizontal="right"/>
    </xf>
    <xf numFmtId="0" fontId="10" fillId="7" borderId="17" xfId="0" applyFont="1" applyFill="1" applyBorder="1"/>
    <xf numFmtId="0" fontId="3" fillId="0" borderId="0" xfId="0" applyFont="1"/>
    <xf numFmtId="0" fontId="23" fillId="7" borderId="16" xfId="0" applyFont="1" applyFill="1" applyBorder="1" applyAlignment="1">
      <alignment horizontal="left" vertical="center"/>
    </xf>
    <xf numFmtId="0" fontId="23" fillId="7" borderId="16" xfId="0" quotePrefix="1" applyFont="1" applyFill="1" applyBorder="1" applyAlignment="1">
      <alignment horizontal="left" vertical="center"/>
    </xf>
    <xf numFmtId="0" fontId="23" fillId="2" borderId="16" xfId="0" applyFont="1" applyFill="1" applyBorder="1" applyAlignment="1">
      <alignment horizontal="left" vertical="center"/>
    </xf>
    <xf numFmtId="3" fontId="10" fillId="0" borderId="0" xfId="0" applyNumberFormat="1" applyFont="1"/>
    <xf numFmtId="0" fontId="14" fillId="0" borderId="0" xfId="0" applyFont="1" applyAlignment="1">
      <alignment horizontal="right"/>
    </xf>
    <xf numFmtId="0" fontId="17" fillId="0" borderId="0" xfId="0" applyFont="1"/>
    <xf numFmtId="4" fontId="19" fillId="4" borderId="17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10" fillId="3" borderId="17" xfId="0" applyFont="1" applyFill="1" applyBorder="1"/>
    <xf numFmtId="0" fontId="3" fillId="7" borderId="17" xfId="0" applyFont="1" applyFill="1" applyBorder="1"/>
    <xf numFmtId="0" fontId="19" fillId="4" borderId="17" xfId="0" quotePrefix="1" applyFont="1" applyFill="1" applyBorder="1" applyAlignment="1">
      <alignment horizontal="left" vertical="center"/>
    </xf>
    <xf numFmtId="0" fontId="21" fillId="4" borderId="16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14" fontId="23" fillId="0" borderId="16" xfId="0" applyNumberFormat="1" applyFont="1" applyBorder="1" applyAlignment="1">
      <alignment horizontal="right" vertical="center"/>
    </xf>
    <xf numFmtId="0" fontId="25" fillId="7" borderId="17" xfId="0" applyFont="1" applyFill="1" applyBorder="1"/>
    <xf numFmtId="0" fontId="26" fillId="0" borderId="9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1" fontId="29" fillId="4" borderId="20" xfId="0" applyNumberFormat="1" applyFont="1" applyFill="1" applyBorder="1" applyAlignment="1">
      <alignment horizontal="left" vertical="center" wrapText="1"/>
    </xf>
    <xf numFmtId="1" fontId="29" fillId="4" borderId="14" xfId="0" applyNumberFormat="1" applyFont="1" applyFill="1" applyBorder="1" applyAlignment="1">
      <alignment horizontal="left" vertical="center" wrapText="1"/>
    </xf>
    <xf numFmtId="1" fontId="29" fillId="4" borderId="14" xfId="0" applyNumberFormat="1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vertical="center"/>
    </xf>
    <xf numFmtId="49" fontId="27" fillId="0" borderId="9" xfId="0" applyNumberFormat="1" applyFont="1" applyBorder="1" applyAlignment="1">
      <alignment horizontal="left"/>
    </xf>
    <xf numFmtId="0" fontId="16" fillId="0" borderId="9" xfId="0" applyFont="1" applyBorder="1" applyAlignment="1">
      <alignment horizontal="left" vertical="center" wrapText="1"/>
    </xf>
    <xf numFmtId="3" fontId="29" fillId="4" borderId="14" xfId="0" applyNumberFormat="1" applyFont="1" applyFill="1" applyBorder="1" applyAlignment="1">
      <alignment horizontal="right"/>
    </xf>
    <xf numFmtId="3" fontId="27" fillId="0" borderId="9" xfId="0" applyNumberFormat="1" applyFont="1" applyBorder="1" applyAlignment="1">
      <alignment vertical="center"/>
    </xf>
    <xf numFmtId="49" fontId="31" fillId="5" borderId="9" xfId="0" applyNumberFormat="1" applyFont="1" applyFill="1" applyBorder="1" applyAlignment="1">
      <alignment horizontal="left"/>
    </xf>
    <xf numFmtId="0" fontId="26" fillId="5" borderId="9" xfId="0" applyFont="1" applyFill="1" applyBorder="1" applyAlignment="1">
      <alignment horizontal="left" vertical="center" wrapText="1"/>
    </xf>
    <xf numFmtId="3" fontId="31" fillId="5" borderId="9" xfId="0" applyNumberFormat="1" applyFont="1" applyFill="1" applyBorder="1" applyAlignment="1">
      <alignment vertical="center"/>
    </xf>
    <xf numFmtId="49" fontId="16" fillId="0" borderId="9" xfId="0" applyNumberFormat="1" applyFont="1" applyBorder="1" applyAlignment="1">
      <alignment horizontal="left"/>
    </xf>
    <xf numFmtId="167" fontId="16" fillId="0" borderId="9" xfId="0" applyNumberFormat="1" applyFont="1" applyBorder="1" applyAlignment="1">
      <alignment vertical="center"/>
    </xf>
    <xf numFmtId="49" fontId="27" fillId="0" borderId="21" xfId="0" applyNumberFormat="1" applyFont="1" applyBorder="1" applyAlignment="1">
      <alignment horizontal="left"/>
    </xf>
    <xf numFmtId="0" fontId="16" fillId="0" borderId="21" xfId="0" applyFont="1" applyBorder="1" applyAlignment="1">
      <alignment horizontal="left" vertical="center" wrapText="1"/>
    </xf>
    <xf numFmtId="3" fontId="27" fillId="5" borderId="10" xfId="0" applyNumberFormat="1" applyFont="1" applyFill="1" applyBorder="1" applyAlignment="1">
      <alignment vertical="center"/>
    </xf>
    <xf numFmtId="0" fontId="32" fillId="8" borderId="9" xfId="0" applyFont="1" applyFill="1" applyBorder="1" applyAlignment="1">
      <alignment vertical="center" wrapText="1"/>
    </xf>
    <xf numFmtId="3" fontId="33" fillId="8" borderId="9" xfId="0" applyNumberFormat="1" applyFont="1" applyFill="1" applyBorder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67" fontId="27" fillId="0" borderId="9" xfId="0" applyNumberFormat="1" applyFont="1" applyBorder="1" applyAlignment="1">
      <alignment vertical="center"/>
    </xf>
    <xf numFmtId="0" fontId="34" fillId="4" borderId="14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49" fontId="27" fillId="0" borderId="22" xfId="0" applyNumberFormat="1" applyFont="1" applyBorder="1" applyAlignment="1">
      <alignment horizontal="left"/>
    </xf>
    <xf numFmtId="0" fontId="16" fillId="0" borderId="22" xfId="0" applyFont="1" applyBorder="1" applyAlignment="1">
      <alignment horizontal="left" vertical="center" wrapText="1"/>
    </xf>
    <xf numFmtId="3" fontId="27" fillId="0" borderId="22" xfId="0" applyNumberFormat="1" applyFont="1" applyBorder="1" applyAlignment="1">
      <alignment vertical="center"/>
    </xf>
    <xf numFmtId="49" fontId="38" fillId="5" borderId="9" xfId="0" applyNumberFormat="1" applyFont="1" applyFill="1" applyBorder="1" applyAlignment="1">
      <alignment horizontal="left"/>
    </xf>
    <xf numFmtId="0" fontId="39" fillId="5" borderId="9" xfId="0" applyFont="1" applyFill="1" applyBorder="1" applyAlignment="1">
      <alignment horizontal="left" vertical="center" wrapText="1"/>
    </xf>
    <xf numFmtId="3" fontId="38" fillId="5" borderId="9" xfId="0" applyNumberFormat="1" applyFont="1" applyFill="1" applyBorder="1" applyAlignment="1">
      <alignment vertical="center"/>
    </xf>
    <xf numFmtId="0" fontId="27" fillId="0" borderId="9" xfId="0" applyFont="1" applyBorder="1" applyAlignment="1">
      <alignment horizontal="left" wrapText="1"/>
    </xf>
    <xf numFmtId="0" fontId="27" fillId="0" borderId="0" xfId="0" applyFont="1"/>
    <xf numFmtId="0" fontId="11" fillId="0" borderId="23" xfId="0" applyFont="1" applyBorder="1" applyAlignment="1">
      <alignment horizontal="center"/>
    </xf>
    <xf numFmtId="0" fontId="29" fillId="4" borderId="20" xfId="0" applyFont="1" applyFill="1" applyBorder="1" applyAlignment="1">
      <alignment horizontal="center" vertical="center" wrapText="1"/>
    </xf>
    <xf numFmtId="0" fontId="31" fillId="0" borderId="0" xfId="0" applyFont="1"/>
    <xf numFmtId="0" fontId="7" fillId="9" borderId="9" xfId="0" applyFont="1" applyFill="1" applyBorder="1" applyAlignment="1">
      <alignment vertical="center"/>
    </xf>
    <xf numFmtId="3" fontId="33" fillId="8" borderId="9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3" fontId="26" fillId="10" borderId="9" xfId="0" applyNumberFormat="1" applyFont="1" applyFill="1" applyBorder="1" applyAlignment="1">
      <alignment horizontal="left" vertical="center"/>
    </xf>
    <xf numFmtId="3" fontId="26" fillId="10" borderId="9" xfId="0" applyNumberFormat="1" applyFont="1" applyFill="1" applyBorder="1" applyAlignment="1">
      <alignment vertical="center" wrapText="1"/>
    </xf>
    <xf numFmtId="3" fontId="31" fillId="10" borderId="9" xfId="0" applyNumberFormat="1" applyFont="1" applyFill="1" applyBorder="1"/>
    <xf numFmtId="3" fontId="26" fillId="10" borderId="24" xfId="0" applyNumberFormat="1" applyFont="1" applyFill="1" applyBorder="1" applyAlignment="1">
      <alignment vertical="center"/>
    </xf>
    <xf numFmtId="3" fontId="39" fillId="6" borderId="9" xfId="0" applyNumberFormat="1" applyFont="1" applyFill="1" applyBorder="1" applyAlignment="1">
      <alignment horizontal="center" vertical="center"/>
    </xf>
    <xf numFmtId="3" fontId="39" fillId="6" borderId="9" xfId="0" applyNumberFormat="1" applyFont="1" applyFill="1" applyBorder="1" applyAlignment="1">
      <alignment vertical="center" wrapText="1"/>
    </xf>
    <xf numFmtId="3" fontId="31" fillId="5" borderId="25" xfId="0" applyNumberFormat="1" applyFont="1" applyFill="1" applyBorder="1"/>
    <xf numFmtId="3" fontId="16" fillId="6" borderId="9" xfId="0" applyNumberFormat="1" applyFont="1" applyFill="1" applyBorder="1" applyAlignment="1">
      <alignment vertical="center"/>
    </xf>
    <xf numFmtId="0" fontId="38" fillId="0" borderId="0" xfId="0" applyFont="1"/>
    <xf numFmtId="0" fontId="39" fillId="0" borderId="9" xfId="0" applyFont="1" applyBorder="1" applyAlignment="1">
      <alignment horizontal="center" vertical="center"/>
    </xf>
    <xf numFmtId="0" fontId="38" fillId="0" borderId="9" xfId="0" applyFont="1" applyBorder="1" applyAlignment="1">
      <alignment vertical="center"/>
    </xf>
    <xf numFmtId="3" fontId="31" fillId="5" borderId="25" xfId="0" applyNumberFormat="1" applyFont="1" applyFill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26" fillId="10" borderId="9" xfId="0" applyFont="1" applyFill="1" applyBorder="1" applyAlignment="1">
      <alignment horizontal="left" vertical="center"/>
    </xf>
    <xf numFmtId="0" fontId="31" fillId="10" borderId="9" xfId="0" applyFont="1" applyFill="1" applyBorder="1" applyAlignment="1">
      <alignment vertical="center"/>
    </xf>
    <xf numFmtId="3" fontId="31" fillId="10" borderId="9" xfId="0" applyNumberFormat="1" applyFont="1" applyFill="1" applyBorder="1" applyAlignment="1">
      <alignment vertical="center"/>
    </xf>
    <xf numFmtId="3" fontId="31" fillId="10" borderId="10" xfId="0" applyNumberFormat="1" applyFont="1" applyFill="1" applyBorder="1" applyAlignment="1">
      <alignment vertical="center"/>
    </xf>
    <xf numFmtId="0" fontId="35" fillId="0" borderId="0" xfId="0" applyFont="1"/>
    <xf numFmtId="0" fontId="28" fillId="0" borderId="0" xfId="0" applyFont="1" applyAlignment="1">
      <alignment vertical="center" wrapText="1"/>
    </xf>
    <xf numFmtId="0" fontId="29" fillId="4" borderId="14" xfId="0" applyFont="1" applyFill="1" applyBorder="1" applyAlignment="1">
      <alignment horizontal="right" vertical="center" wrapText="1"/>
    </xf>
    <xf numFmtId="0" fontId="33" fillId="8" borderId="9" xfId="0" applyFont="1" applyFill="1" applyBorder="1" applyAlignment="1">
      <alignment vertical="center" wrapText="1"/>
    </xf>
    <xf numFmtId="3" fontId="33" fillId="8" borderId="9" xfId="0" applyNumberFormat="1" applyFont="1" applyFill="1" applyBorder="1" applyAlignment="1">
      <alignment horizontal="right" vertical="center" wrapText="1"/>
    </xf>
    <xf numFmtId="0" fontId="26" fillId="5" borderId="9" xfId="0" applyFont="1" applyFill="1" applyBorder="1" applyAlignment="1">
      <alignment horizontal="right" vertical="center" wrapText="1"/>
    </xf>
    <xf numFmtId="3" fontId="26" fillId="5" borderId="9" xfId="0" applyNumberFormat="1" applyFont="1" applyFill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3" fontId="26" fillId="5" borderId="9" xfId="0" applyNumberFormat="1" applyFont="1" applyFill="1" applyBorder="1" applyAlignment="1">
      <alignment vertical="center" wrapText="1"/>
    </xf>
    <xf numFmtId="0" fontId="40" fillId="4" borderId="17" xfId="0" applyFont="1" applyFill="1" applyBorder="1" applyAlignment="1">
      <alignment horizontal="center" vertical="center"/>
    </xf>
    <xf numFmtId="3" fontId="26" fillId="10" borderId="9" xfId="0" applyNumberFormat="1" applyFont="1" applyFill="1" applyBorder="1" applyAlignment="1">
      <alignment vertical="center"/>
    </xf>
    <xf numFmtId="1" fontId="16" fillId="0" borderId="9" xfId="0" applyNumberFormat="1" applyFont="1" applyBorder="1" applyAlignment="1">
      <alignment horizontal="left" vertical="center" wrapText="1"/>
    </xf>
    <xf numFmtId="0" fontId="41" fillId="11" borderId="29" xfId="0" quotePrefix="1" applyFont="1" applyFill="1" applyBorder="1" applyAlignment="1">
      <alignment horizontal="left" vertical="center" wrapText="1"/>
    </xf>
    <xf numFmtId="49" fontId="10" fillId="0" borderId="0" xfId="0" applyNumberFormat="1" applyFont="1"/>
    <xf numFmtId="168" fontId="23" fillId="0" borderId="16" xfId="0" quotePrefix="1" applyNumberFormat="1" applyFont="1" applyBorder="1" applyAlignment="1">
      <alignment horizontal="left" vertical="center"/>
    </xf>
    <xf numFmtId="0" fontId="42" fillId="0" borderId="16" xfId="0" quotePrefix="1" applyFont="1" applyBorder="1" applyAlignment="1">
      <alignment horizontal="left" vertical="center"/>
    </xf>
    <xf numFmtId="49" fontId="23" fillId="0" borderId="16" xfId="0" quotePrefix="1" applyNumberFormat="1" applyFont="1" applyBorder="1" applyAlignment="1">
      <alignment horizontal="left" vertical="center"/>
    </xf>
    <xf numFmtId="168" fontId="23" fillId="12" borderId="16" xfId="0" quotePrefix="1" applyNumberFormat="1" applyFont="1" applyFill="1" applyBorder="1" applyAlignment="1">
      <alignment horizontal="left" vertical="center"/>
    </xf>
    <xf numFmtId="0" fontId="23" fillId="12" borderId="16" xfId="0" applyFont="1" applyFill="1" applyBorder="1" applyAlignment="1">
      <alignment horizontal="left" vertical="center"/>
    </xf>
    <xf numFmtId="168" fontId="23" fillId="7" borderId="16" xfId="0" quotePrefix="1" applyNumberFormat="1" applyFont="1" applyFill="1" applyBorder="1" applyAlignment="1">
      <alignment horizontal="left" vertical="center"/>
    </xf>
    <xf numFmtId="168" fontId="23" fillId="13" borderId="16" xfId="0" quotePrefix="1" applyNumberFormat="1" applyFont="1" applyFill="1" applyBorder="1" applyAlignment="1">
      <alignment horizontal="left" vertical="center"/>
    </xf>
    <xf numFmtId="0" fontId="23" fillId="13" borderId="16" xfId="0" quotePrefix="1" applyFont="1" applyFill="1" applyBorder="1" applyAlignment="1">
      <alignment horizontal="left" vertical="center"/>
    </xf>
    <xf numFmtId="168" fontId="23" fillId="14" borderId="16" xfId="0" quotePrefix="1" applyNumberFormat="1" applyFont="1" applyFill="1" applyBorder="1" applyAlignment="1">
      <alignment horizontal="left" vertical="center"/>
    </xf>
    <xf numFmtId="0" fontId="23" fillId="14" borderId="16" xfId="0" quotePrefix="1" applyFont="1" applyFill="1" applyBorder="1" applyAlignment="1">
      <alignment horizontal="left" vertical="center"/>
    </xf>
    <xf numFmtId="168" fontId="23" fillId="8" borderId="16" xfId="0" quotePrefix="1" applyNumberFormat="1" applyFont="1" applyFill="1" applyBorder="1" applyAlignment="1">
      <alignment horizontal="left" vertical="center"/>
    </xf>
    <xf numFmtId="0" fontId="23" fillId="8" borderId="16" xfId="0" quotePrefix="1" applyFont="1" applyFill="1" applyBorder="1" applyAlignment="1">
      <alignment horizontal="left" vertical="center"/>
    </xf>
    <xf numFmtId="169" fontId="23" fillId="12" borderId="16" xfId="0" quotePrefix="1" applyNumberFormat="1" applyFont="1" applyFill="1" applyBorder="1" applyAlignment="1">
      <alignment horizontal="left" vertical="center"/>
    </xf>
    <xf numFmtId="0" fontId="23" fillId="12" borderId="16" xfId="0" quotePrefix="1" applyFont="1" applyFill="1" applyBorder="1" applyAlignment="1">
      <alignment horizontal="left" vertical="center"/>
    </xf>
    <xf numFmtId="169" fontId="42" fillId="12" borderId="16" xfId="0" quotePrefix="1" applyNumberFormat="1" applyFont="1" applyFill="1" applyBorder="1" applyAlignment="1">
      <alignment horizontal="left" vertical="center"/>
    </xf>
    <xf numFmtId="0" fontId="42" fillId="12" borderId="16" xfId="0" quotePrefix="1" applyFont="1" applyFill="1" applyBorder="1" applyAlignment="1">
      <alignment horizontal="left" vertical="center"/>
    </xf>
    <xf numFmtId="169" fontId="43" fillId="12" borderId="16" xfId="0" quotePrefix="1" applyNumberFormat="1" applyFont="1" applyFill="1" applyBorder="1" applyAlignment="1">
      <alignment horizontal="left" vertical="center"/>
    </xf>
    <xf numFmtId="0" fontId="43" fillId="12" borderId="16" xfId="0" quotePrefix="1" applyFont="1" applyFill="1" applyBorder="1" applyAlignment="1">
      <alignment horizontal="left" vertical="center"/>
    </xf>
    <xf numFmtId="0" fontId="44" fillId="0" borderId="0" xfId="0" applyFont="1"/>
    <xf numFmtId="169" fontId="23" fillId="7" borderId="16" xfId="0" quotePrefix="1" applyNumberFormat="1" applyFont="1" applyFill="1" applyBorder="1" applyAlignment="1">
      <alignment horizontal="left" vertical="center"/>
    </xf>
    <xf numFmtId="0" fontId="45" fillId="15" borderId="30" xfId="0" applyFont="1" applyFill="1" applyBorder="1" applyAlignment="1">
      <alignment horizontal="left"/>
    </xf>
    <xf numFmtId="0" fontId="45" fillId="15" borderId="30" xfId="0" applyFont="1" applyFill="1" applyBorder="1" applyAlignment="1">
      <alignment horizontal="center"/>
    </xf>
    <xf numFmtId="49" fontId="46" fillId="15" borderId="30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41" fillId="0" borderId="0" xfId="0" applyFont="1"/>
    <xf numFmtId="0" fontId="48" fillId="0" borderId="3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49" fontId="22" fillId="0" borderId="35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49" fillId="0" borderId="0" xfId="0" applyFont="1"/>
    <xf numFmtId="164" fontId="48" fillId="0" borderId="11" xfId="0" applyNumberFormat="1" applyFont="1" applyBorder="1" applyAlignment="1">
      <alignment horizontal="center" vertical="center" wrapText="1"/>
    </xf>
    <xf numFmtId="0" fontId="48" fillId="0" borderId="3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165" fontId="48" fillId="0" borderId="38" xfId="0" applyNumberFormat="1" applyFont="1" applyBorder="1" applyAlignment="1">
      <alignment horizontal="center" vertical="center" wrapText="1"/>
    </xf>
    <xf numFmtId="49" fontId="48" fillId="0" borderId="39" xfId="0" applyNumberFormat="1" applyFont="1" applyBorder="1" applyAlignment="1">
      <alignment horizontal="center" vertical="center"/>
    </xf>
    <xf numFmtId="0" fontId="47" fillId="0" borderId="0" xfId="0" applyFont="1"/>
    <xf numFmtId="0" fontId="48" fillId="0" borderId="38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left" vertical="center" wrapText="1"/>
    </xf>
    <xf numFmtId="165" fontId="48" fillId="0" borderId="12" xfId="0" applyNumberFormat="1" applyFont="1" applyBorder="1" applyAlignment="1">
      <alignment horizontal="center" vertical="center" wrapText="1"/>
    </xf>
    <xf numFmtId="49" fontId="48" fillId="0" borderId="13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12" xfId="0" quotePrefix="1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165" fontId="48" fillId="0" borderId="12" xfId="0" quotePrefix="1" applyNumberFormat="1" applyFont="1" applyBorder="1" applyAlignment="1">
      <alignment horizontal="center" vertical="center" wrapText="1"/>
    </xf>
    <xf numFmtId="0" fontId="48" fillId="0" borderId="12" xfId="0" applyFont="1" applyBorder="1" applyAlignment="1">
      <alignment horizontal="left" vertical="center"/>
    </xf>
    <xf numFmtId="165" fontId="8" fillId="0" borderId="12" xfId="0" applyNumberFormat="1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41" xfId="0" applyNumberFormat="1" applyFont="1" applyBorder="1" applyAlignment="1">
      <alignment horizontal="center" vertical="center" wrapText="1"/>
    </xf>
    <xf numFmtId="0" fontId="50" fillId="0" borderId="0" xfId="0" applyFont="1"/>
    <xf numFmtId="0" fontId="8" fillId="0" borderId="13" xfId="0" applyFont="1" applyBorder="1" applyAlignment="1">
      <alignment horizontal="right" vertical="center" wrapText="1"/>
    </xf>
    <xf numFmtId="49" fontId="8" fillId="0" borderId="12" xfId="0" quotePrefix="1" applyNumberFormat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49" fontId="8" fillId="0" borderId="13" xfId="0" quotePrefix="1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165" fontId="48" fillId="0" borderId="36" xfId="0" applyNumberFormat="1" applyFont="1" applyBorder="1" applyAlignment="1">
      <alignment horizontal="center" vertical="center" wrapText="1"/>
    </xf>
    <xf numFmtId="49" fontId="48" fillId="0" borderId="37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1" fillId="0" borderId="9" xfId="0" applyFont="1" applyBorder="1" applyAlignment="1">
      <alignment horizontal="center" vertical="center"/>
    </xf>
    <xf numFmtId="170" fontId="10" fillId="0" borderId="0" xfId="0" applyNumberFormat="1" applyFont="1"/>
    <xf numFmtId="3" fontId="14" fillId="0" borderId="0" xfId="0" applyNumberFormat="1" applyFont="1"/>
    <xf numFmtId="171" fontId="53" fillId="0" borderId="0" xfId="1" applyNumberFormat="1" applyFont="1" applyAlignment="1"/>
    <xf numFmtId="171" fontId="0" fillId="0" borderId="0" xfId="0" applyNumberFormat="1" applyFont="1" applyAlignment="1"/>
    <xf numFmtId="0" fontId="42" fillId="0" borderId="16" xfId="0" applyFont="1" applyBorder="1" applyAlignment="1">
      <alignment horizontal="center" vertical="center"/>
    </xf>
    <xf numFmtId="0" fontId="42" fillId="2" borderId="16" xfId="0" applyFont="1" applyFill="1" applyBorder="1" applyAlignment="1">
      <alignment horizontal="left" vertical="center"/>
    </xf>
    <xf numFmtId="3" fontId="42" fillId="0" borderId="16" xfId="0" applyNumberFormat="1" applyFont="1" applyBorder="1" applyAlignment="1">
      <alignment horizontal="right" vertical="center"/>
    </xf>
    <xf numFmtId="3" fontId="0" fillId="0" borderId="0" xfId="0" applyNumberFormat="1" applyFont="1" applyAlignment="1"/>
    <xf numFmtId="43" fontId="0" fillId="0" borderId="0" xfId="0" applyNumberFormat="1" applyFont="1" applyAlignment="1"/>
    <xf numFmtId="43" fontId="10" fillId="0" borderId="0" xfId="1" applyFont="1"/>
    <xf numFmtId="0" fontId="23" fillId="0" borderId="16" xfId="0" applyFont="1" applyBorder="1" applyAlignment="1">
      <alignment horizontal="right" vertical="center" wrapText="1"/>
    </xf>
    <xf numFmtId="0" fontId="0" fillId="0" borderId="0" xfId="0" applyFont="1" applyAlignment="1"/>
    <xf numFmtId="0" fontId="55" fillId="3" borderId="16" xfId="0" applyFont="1" applyFill="1" applyBorder="1" applyAlignment="1">
      <alignment horizontal="center" vertical="center"/>
    </xf>
    <xf numFmtId="0" fontId="5" fillId="0" borderId="0" xfId="0" applyFont="1"/>
    <xf numFmtId="0" fontId="56" fillId="0" borderId="0" xfId="0" applyFont="1" applyAlignment="1"/>
    <xf numFmtId="0" fontId="55" fillId="3" borderId="16" xfId="0" quotePrefix="1" applyFont="1" applyFill="1" applyBorder="1" applyAlignment="1">
      <alignment horizontal="center" vertical="center"/>
    </xf>
    <xf numFmtId="0" fontId="57" fillId="3" borderId="16" xfId="0" applyFont="1" applyFill="1" applyBorder="1" applyAlignment="1">
      <alignment horizontal="center" vertical="center"/>
    </xf>
    <xf numFmtId="0" fontId="54" fillId="0" borderId="0" xfId="0" applyFont="1" applyAlignment="1"/>
    <xf numFmtId="3" fontId="57" fillId="0" borderId="16" xfId="0" applyNumberFormat="1" applyFont="1" applyBorder="1" applyAlignment="1">
      <alignment horizontal="right" vertical="center"/>
    </xf>
    <xf numFmtId="171" fontId="14" fillId="0" borderId="0" xfId="1" applyNumberFormat="1" applyFont="1"/>
    <xf numFmtId="0" fontId="53" fillId="0" borderId="0" xfId="0" applyFont="1" applyAlignment="1"/>
    <xf numFmtId="3" fontId="58" fillId="0" borderId="16" xfId="0" applyNumberFormat="1" applyFont="1" applyBorder="1" applyAlignment="1">
      <alignment horizontal="right" vertical="center"/>
    </xf>
    <xf numFmtId="49" fontId="58" fillId="2" borderId="16" xfId="0" applyNumberFormat="1" applyFont="1" applyFill="1" applyBorder="1" applyAlignment="1">
      <alignment horizontal="left" vertical="center"/>
    </xf>
    <xf numFmtId="0" fontId="58" fillId="0" borderId="16" xfId="0" applyFont="1" applyBorder="1" applyAlignment="1">
      <alignment horizontal="center" vertical="center"/>
    </xf>
    <xf numFmtId="0" fontId="58" fillId="2" borderId="16" xfId="0" applyFont="1" applyFill="1" applyBorder="1" applyAlignment="1">
      <alignment horizontal="left" vertical="center"/>
    </xf>
    <xf numFmtId="0" fontId="56" fillId="0" borderId="0" xfId="0" applyFont="1"/>
    <xf numFmtId="0" fontId="58" fillId="0" borderId="16" xfId="0" applyFont="1" applyBorder="1" applyAlignment="1">
      <alignment horizontal="right" vertical="center"/>
    </xf>
    <xf numFmtId="14" fontId="58" fillId="0" borderId="16" xfId="0" applyNumberFormat="1" applyFont="1" applyBorder="1" applyAlignment="1">
      <alignment horizontal="right" vertical="center"/>
    </xf>
    <xf numFmtId="0" fontId="58" fillId="0" borderId="16" xfId="0" applyFont="1" applyBorder="1" applyAlignment="1">
      <alignment horizontal="left" vertical="center"/>
    </xf>
    <xf numFmtId="0" fontId="16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31" fillId="0" borderId="0" xfId="0" applyFont="1" applyAlignment="1">
      <alignment vertical="center" wrapText="1"/>
    </xf>
    <xf numFmtId="3" fontId="31" fillId="10" borderId="25" xfId="0" applyNumberFormat="1" applyFont="1" applyFill="1" applyBorder="1" applyAlignment="1">
      <alignment vertical="center"/>
    </xf>
    <xf numFmtId="3" fontId="29" fillId="4" borderId="26" xfId="0" applyNumberFormat="1" applyFont="1" applyFill="1" applyBorder="1" applyAlignment="1">
      <alignment horizontal="right"/>
    </xf>
    <xf numFmtId="3" fontId="26" fillId="10" borderId="44" xfId="0" applyNumberFormat="1" applyFont="1" applyFill="1" applyBorder="1" applyAlignment="1">
      <alignment vertical="center"/>
    </xf>
    <xf numFmtId="3" fontId="27" fillId="0" borderId="45" xfId="0" applyNumberFormat="1" applyFont="1" applyBorder="1" applyAlignment="1">
      <alignment vertical="center"/>
    </xf>
    <xf numFmtId="0" fontId="30" fillId="4" borderId="20" xfId="0" applyFont="1" applyFill="1" applyBorder="1" applyAlignment="1">
      <alignment horizontal="center" vertical="center" wrapText="1"/>
    </xf>
    <xf numFmtId="3" fontId="26" fillId="10" borderId="22" xfId="0" applyNumberFormat="1" applyFont="1" applyFill="1" applyBorder="1" applyAlignment="1">
      <alignment vertical="center"/>
    </xf>
    <xf numFmtId="1" fontId="29" fillId="0" borderId="43" xfId="0" applyNumberFormat="1" applyFont="1" applyBorder="1" applyAlignment="1">
      <alignment horizontal="center" vertical="center" wrapText="1"/>
    </xf>
    <xf numFmtId="3" fontId="27" fillId="0" borderId="43" xfId="0" applyNumberFormat="1" applyFont="1" applyBorder="1" applyAlignment="1">
      <alignment vertical="center"/>
    </xf>
    <xf numFmtId="0" fontId="34" fillId="4" borderId="2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 wrapText="1"/>
    </xf>
    <xf numFmtId="0" fontId="18" fillId="0" borderId="15" xfId="0" applyFont="1" applyBorder="1"/>
    <xf numFmtId="0" fontId="5" fillId="0" borderId="15" xfId="0" applyFont="1" applyBorder="1"/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1" fontId="29" fillId="4" borderId="26" xfId="0" applyNumberFormat="1" applyFont="1" applyFill="1" applyBorder="1" applyAlignment="1">
      <alignment horizontal="center" vertical="center" wrapText="1"/>
    </xf>
    <xf numFmtId="0" fontId="5" fillId="0" borderId="27" xfId="0" applyFont="1" applyBorder="1"/>
    <xf numFmtId="0" fontId="40" fillId="4" borderId="26" xfId="0" applyFont="1" applyFill="1" applyBorder="1" applyAlignment="1">
      <alignment horizontal="center" vertical="center"/>
    </xf>
    <xf numFmtId="0" fontId="5" fillId="0" borderId="28" xfId="0" applyFont="1" applyBorder="1"/>
    <xf numFmtId="0" fontId="47" fillId="0" borderId="31" xfId="0" applyFont="1" applyBorder="1" applyAlignment="1">
      <alignment horizontal="center" vertical="center"/>
    </xf>
    <xf numFmtId="0" fontId="5" fillId="0" borderId="31" xfId="0" applyFont="1" applyBorder="1"/>
    <xf numFmtId="0" fontId="8" fillId="0" borderId="42" xfId="0" applyFont="1" applyBorder="1" applyAlignment="1">
      <alignment horizontal="left" vertical="center" wrapText="1"/>
    </xf>
    <xf numFmtId="0" fontId="5" fillId="0" borderId="42" xfId="0" applyFont="1" applyBorder="1"/>
  </cellXfs>
  <cellStyles count="2">
    <cellStyle name="Comma" xfId="1" builtinId="3"/>
    <cellStyle name="Normal" xfId="0" builtinId="0"/>
  </cellStyles>
  <dxfs count="1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</xdr:row>
      <xdr:rowOff>0</xdr:rowOff>
    </xdr:from>
    <xdr:ext cx="314325" cy="161925"/>
    <xdr:grpSp>
      <xdr:nvGrpSpPr>
        <xdr:cNvPr id="2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4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6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8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0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1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2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1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4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1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16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1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18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1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20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2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22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2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4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26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2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28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2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0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0</xdr:rowOff>
    </xdr:from>
    <xdr:ext cx="1076325" cy="161925"/>
    <xdr:grpSp>
      <xdr:nvGrpSpPr>
        <xdr:cNvPr id="32" name="Shape 2"/>
        <xdr:cNvGrpSpPr/>
      </xdr:nvGrpSpPr>
      <xdr:grpSpPr>
        <a:xfrm>
          <a:off x="476250" y="619125"/>
          <a:ext cx="1076325" cy="161925"/>
          <a:chOff x="4807838" y="3699038"/>
          <a:chExt cx="1076325" cy="161925"/>
        </a:xfrm>
      </xdr:grpSpPr>
      <xdr:cxnSp macro="">
        <xdr:nvCxnSpPr>
          <xdr:cNvPr id="3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0</xdr:rowOff>
    </xdr:from>
    <xdr:ext cx="314325" cy="161925"/>
    <xdr:grpSp>
      <xdr:nvGrpSpPr>
        <xdr:cNvPr id="34" name="Shape 2"/>
        <xdr:cNvGrpSpPr/>
      </xdr:nvGrpSpPr>
      <xdr:grpSpPr>
        <a:xfrm>
          <a:off x="485775" y="619125"/>
          <a:ext cx="314325" cy="161925"/>
          <a:chOff x="5193600" y="3699038"/>
          <a:chExt cx="304800" cy="161925"/>
        </a:xfrm>
      </xdr:grpSpPr>
      <xdr:cxnSp macro="">
        <xdr:nvCxnSpPr>
          <xdr:cNvPr id="3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11</xdr:row>
      <xdr:rowOff>0</xdr:rowOff>
    </xdr:from>
    <xdr:ext cx="1076325" cy="161925"/>
    <xdr:grpSp>
      <xdr:nvGrpSpPr>
        <xdr:cNvPr id="36" name="Shape 2"/>
        <xdr:cNvGrpSpPr/>
      </xdr:nvGrpSpPr>
      <xdr:grpSpPr>
        <a:xfrm>
          <a:off x="476250" y="2209800"/>
          <a:ext cx="1076325" cy="161925"/>
          <a:chOff x="4807838" y="3699038"/>
          <a:chExt cx="1076325" cy="161925"/>
        </a:xfrm>
      </xdr:grpSpPr>
      <xdr:cxnSp macro="">
        <xdr:nvCxnSpPr>
          <xdr:cNvPr id="3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38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3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0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4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2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43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4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4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46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4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48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4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0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5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2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5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4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55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56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57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58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59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0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61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2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63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4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65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66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67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19</xdr:row>
      <xdr:rowOff>0</xdr:rowOff>
    </xdr:from>
    <xdr:ext cx="314325" cy="161925"/>
    <xdr:grpSp>
      <xdr:nvGrpSpPr>
        <xdr:cNvPr id="68" name="Shape 2"/>
        <xdr:cNvGrpSpPr/>
      </xdr:nvGrpSpPr>
      <xdr:grpSpPr>
        <a:xfrm>
          <a:off x="485775" y="3600450"/>
          <a:ext cx="314325" cy="161925"/>
          <a:chOff x="5193600" y="3699038"/>
          <a:chExt cx="304800" cy="161925"/>
        </a:xfrm>
      </xdr:grpSpPr>
      <xdr:cxnSp macro="">
        <xdr:nvCxnSpPr>
          <xdr:cNvPr id="69" name="Shape 3"/>
          <xdr:cNvCxnSpPr/>
        </xdr:nvCxnSpPr>
        <xdr:spPr>
          <a:xfrm>
            <a:off x="5193600" y="3699038"/>
            <a:ext cx="304800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19</xdr:row>
      <xdr:rowOff>0</xdr:rowOff>
    </xdr:from>
    <xdr:ext cx="1076325" cy="161925"/>
    <xdr:grpSp>
      <xdr:nvGrpSpPr>
        <xdr:cNvPr id="70" name="Shape 2"/>
        <xdr:cNvGrpSpPr/>
      </xdr:nvGrpSpPr>
      <xdr:grpSpPr>
        <a:xfrm>
          <a:off x="476250" y="3600450"/>
          <a:ext cx="1076325" cy="161925"/>
          <a:chOff x="4807838" y="3699038"/>
          <a:chExt cx="1076325" cy="161925"/>
        </a:xfrm>
      </xdr:grpSpPr>
      <xdr:cxnSp macro="">
        <xdr:nvCxnSpPr>
          <xdr:cNvPr id="71" name="Shape 4"/>
          <xdr:cNvCxnSpPr/>
        </xdr:nvCxnSpPr>
        <xdr:spPr>
          <a:xfrm>
            <a:off x="4807838" y="3699038"/>
            <a:ext cx="1076325" cy="1619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2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8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9525</xdr:rowOff>
    </xdr:from>
    <xdr:ext cx="1076325" cy="342900"/>
    <xdr:grpSp>
      <xdr:nvGrpSpPr>
        <xdr:cNvPr id="3" name="Shape 2"/>
        <xdr:cNvGrpSpPr/>
      </xdr:nvGrpSpPr>
      <xdr:grpSpPr>
        <a:xfrm>
          <a:off x="466725" y="523875"/>
          <a:ext cx="1076325" cy="342900"/>
          <a:chOff x="4807838" y="3613313"/>
          <a:chExt cx="1076325" cy="333375"/>
        </a:xfrm>
      </xdr:grpSpPr>
      <xdr:cxnSp macro="">
        <xdr:nvCxnSpPr>
          <xdr:cNvPr id="9" name="Shape 9"/>
          <xdr:cNvCxnSpPr/>
        </xdr:nvCxnSpPr>
        <xdr:spPr>
          <a:xfrm>
            <a:off x="4807838" y="3613313"/>
            <a:ext cx="1076325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4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5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6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10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7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11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12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13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14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15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16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17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18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19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20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21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22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23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24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25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9525</xdr:rowOff>
    </xdr:from>
    <xdr:ext cx="1076325" cy="342900"/>
    <xdr:grpSp>
      <xdr:nvGrpSpPr>
        <xdr:cNvPr id="26" name="Shape 2"/>
        <xdr:cNvGrpSpPr/>
      </xdr:nvGrpSpPr>
      <xdr:grpSpPr>
        <a:xfrm>
          <a:off x="466725" y="523875"/>
          <a:ext cx="1076325" cy="342900"/>
          <a:chOff x="4807838" y="3613313"/>
          <a:chExt cx="1076325" cy="333375"/>
        </a:xfrm>
      </xdr:grpSpPr>
      <xdr:cxnSp macro="">
        <xdr:nvCxnSpPr>
          <xdr:cNvPr id="27" name="Shape 9"/>
          <xdr:cNvCxnSpPr/>
        </xdr:nvCxnSpPr>
        <xdr:spPr>
          <a:xfrm>
            <a:off x="4807838" y="3613313"/>
            <a:ext cx="1076325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28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29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30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31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3</xdr:row>
      <xdr:rowOff>9525</xdr:rowOff>
    </xdr:from>
    <xdr:ext cx="1076325" cy="342900"/>
    <xdr:grpSp>
      <xdr:nvGrpSpPr>
        <xdr:cNvPr id="32" name="Shape 2"/>
        <xdr:cNvGrpSpPr/>
      </xdr:nvGrpSpPr>
      <xdr:grpSpPr>
        <a:xfrm>
          <a:off x="466725" y="523875"/>
          <a:ext cx="1076325" cy="342900"/>
          <a:chOff x="4807838" y="3613313"/>
          <a:chExt cx="1076325" cy="333375"/>
        </a:xfrm>
      </xdr:grpSpPr>
      <xdr:cxnSp macro="">
        <xdr:nvCxnSpPr>
          <xdr:cNvPr id="33" name="Shape 9"/>
          <xdr:cNvCxnSpPr/>
        </xdr:nvCxnSpPr>
        <xdr:spPr>
          <a:xfrm>
            <a:off x="4807838" y="3613313"/>
            <a:ext cx="1076325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3</xdr:row>
      <xdr:rowOff>9525</xdr:rowOff>
    </xdr:from>
    <xdr:ext cx="314325" cy="342900"/>
    <xdr:grpSp>
      <xdr:nvGrpSpPr>
        <xdr:cNvPr id="34" name="Shape 2"/>
        <xdr:cNvGrpSpPr/>
      </xdr:nvGrpSpPr>
      <xdr:grpSpPr>
        <a:xfrm>
          <a:off x="476250" y="523875"/>
          <a:ext cx="314325" cy="342900"/>
          <a:chOff x="5193600" y="3613313"/>
          <a:chExt cx="304800" cy="333375"/>
        </a:xfrm>
      </xdr:grpSpPr>
      <xdr:cxnSp macro="">
        <xdr:nvCxnSpPr>
          <xdr:cNvPr id="35" name="Shape 8"/>
          <xdr:cNvCxnSpPr/>
        </xdr:nvCxnSpPr>
        <xdr:spPr>
          <a:xfrm>
            <a:off x="5193600" y="3613313"/>
            <a:ext cx="30480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14</xdr:row>
      <xdr:rowOff>9525</xdr:rowOff>
    </xdr:from>
    <xdr:ext cx="1076325" cy="314325"/>
    <xdr:grpSp>
      <xdr:nvGrpSpPr>
        <xdr:cNvPr id="36" name="Shape 2"/>
        <xdr:cNvGrpSpPr/>
      </xdr:nvGrpSpPr>
      <xdr:grpSpPr>
        <a:xfrm>
          <a:off x="466725" y="3200400"/>
          <a:ext cx="1076325" cy="314325"/>
          <a:chOff x="4807838" y="3627600"/>
          <a:chExt cx="1076325" cy="304800"/>
        </a:xfrm>
      </xdr:grpSpPr>
      <xdr:cxnSp macro="">
        <xdr:nvCxnSpPr>
          <xdr:cNvPr id="37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38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39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40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41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42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43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44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45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46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47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48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49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50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51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52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53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54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55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56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57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58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59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60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61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62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63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64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65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66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67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9525</xdr:colOff>
      <xdr:row>25</xdr:row>
      <xdr:rowOff>9525</xdr:rowOff>
    </xdr:from>
    <xdr:ext cx="314325" cy="314325"/>
    <xdr:grpSp>
      <xdr:nvGrpSpPr>
        <xdr:cNvPr id="68" name="Shape 2"/>
        <xdr:cNvGrpSpPr/>
      </xdr:nvGrpSpPr>
      <xdr:grpSpPr>
        <a:xfrm>
          <a:off x="476250" y="6010275"/>
          <a:ext cx="314325" cy="314325"/>
          <a:chOff x="5193600" y="3627600"/>
          <a:chExt cx="304800" cy="304800"/>
        </a:xfrm>
      </xdr:grpSpPr>
      <xdr:cxnSp macro="">
        <xdr:nvCxnSpPr>
          <xdr:cNvPr id="69" name="Shape 10"/>
          <xdr:cNvCxnSpPr/>
        </xdr:nvCxnSpPr>
        <xdr:spPr>
          <a:xfrm>
            <a:off x="5193600" y="3627600"/>
            <a:ext cx="304800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</xdr:col>
      <xdr:colOff>0</xdr:colOff>
      <xdr:row>25</xdr:row>
      <xdr:rowOff>9525</xdr:rowOff>
    </xdr:from>
    <xdr:ext cx="1076325" cy="314325"/>
    <xdr:grpSp>
      <xdr:nvGrpSpPr>
        <xdr:cNvPr id="70" name="Shape 2"/>
        <xdr:cNvGrpSpPr/>
      </xdr:nvGrpSpPr>
      <xdr:grpSpPr>
        <a:xfrm>
          <a:off x="466725" y="6010275"/>
          <a:ext cx="1076325" cy="314325"/>
          <a:chOff x="4807838" y="3627600"/>
          <a:chExt cx="1076325" cy="304800"/>
        </a:xfrm>
      </xdr:grpSpPr>
      <xdr:cxnSp macro="">
        <xdr:nvCxnSpPr>
          <xdr:cNvPr id="71" name="Shape 11"/>
          <xdr:cNvCxnSpPr/>
        </xdr:nvCxnSpPr>
        <xdr:spPr>
          <a:xfrm>
            <a:off x="4807838" y="3627600"/>
            <a:ext cx="1076325" cy="30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showGridLines="0" tabSelected="1" workbookViewId="0">
      <selection activeCell="AC10" sqref="AC10"/>
    </sheetView>
  </sheetViews>
  <sheetFormatPr defaultColWidth="14.42578125" defaultRowHeight="15" customHeight="1"/>
  <cols>
    <col min="1" max="1" width="7.5703125" customWidth="1"/>
    <col min="2" max="2" width="36.140625" customWidth="1"/>
    <col min="3" max="3" width="21.42578125" customWidth="1"/>
    <col min="4" max="4" width="21.140625" customWidth="1"/>
    <col min="5" max="5" width="21.7109375" customWidth="1"/>
    <col min="6" max="6" width="11.42578125" customWidth="1"/>
    <col min="7" max="11" width="11.42578125" hidden="1" customWidth="1"/>
    <col min="12" max="12" width="16.42578125" hidden="1" customWidth="1"/>
    <col min="13" max="13" width="7.85546875" hidden="1" customWidth="1"/>
    <col min="14" max="14" width="97.5703125" hidden="1" customWidth="1"/>
    <col min="15" max="15" width="19.5703125" hidden="1" customWidth="1"/>
    <col min="16" max="18" width="11.42578125" hidden="1" customWidth="1"/>
    <col min="19" max="19" width="12.85546875" hidden="1" customWidth="1"/>
    <col min="20" max="26" width="11.42578125" hidden="1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>
      <c r="A3" s="3"/>
      <c r="B3" s="4" t="s">
        <v>0</v>
      </c>
      <c r="C3" s="300" t="s">
        <v>1</v>
      </c>
      <c r="D3" s="301"/>
      <c r="E3" s="30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"/>
      <c r="B4" s="5" t="s">
        <v>2</v>
      </c>
      <c r="C4" s="303" t="s">
        <v>5412</v>
      </c>
      <c r="D4" s="304"/>
      <c r="E4" s="30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6"/>
      <c r="B5" s="5" t="s">
        <v>3</v>
      </c>
      <c r="C5" s="303" t="s">
        <v>4</v>
      </c>
      <c r="D5" s="304"/>
      <c r="E5" s="305"/>
      <c r="F5" s="3"/>
      <c r="G5" s="3"/>
      <c r="H5" s="3"/>
      <c r="I5" s="3"/>
      <c r="J5" s="3"/>
      <c r="K5" s="7" t="s">
        <v>5</v>
      </c>
      <c r="L5" s="7" t="s">
        <v>6</v>
      </c>
      <c r="M5" s="7" t="s">
        <v>7</v>
      </c>
      <c r="N5" s="7" t="s">
        <v>8</v>
      </c>
      <c r="O5" s="7" t="s">
        <v>9</v>
      </c>
      <c r="P5" s="7" t="s">
        <v>10</v>
      </c>
      <c r="Q5" s="7" t="s">
        <v>11</v>
      </c>
      <c r="R5" s="7" t="s">
        <v>12</v>
      </c>
      <c r="S5" s="7" t="s">
        <v>13</v>
      </c>
      <c r="T5" s="7" t="s">
        <v>14</v>
      </c>
      <c r="U5" s="8" t="s">
        <v>15</v>
      </c>
      <c r="V5" s="3"/>
      <c r="W5" s="3"/>
      <c r="X5" s="3"/>
      <c r="Y5" s="3"/>
      <c r="Z5" s="3"/>
    </row>
    <row r="6" spans="1:26" ht="12.75" customHeight="1">
      <c r="A6" s="9"/>
      <c r="B6" s="5" t="s">
        <v>16</v>
      </c>
      <c r="C6" s="303" t="s">
        <v>5413</v>
      </c>
      <c r="D6" s="304"/>
      <c r="E6" s="305"/>
      <c r="F6" s="3"/>
      <c r="G6" s="3"/>
      <c r="H6" s="3"/>
      <c r="I6" s="3"/>
      <c r="J6" s="3"/>
      <c r="K6" s="2">
        <v>0</v>
      </c>
      <c r="L6" s="2" t="s">
        <v>17</v>
      </c>
      <c r="M6" s="2"/>
      <c r="N6" s="2"/>
      <c r="O6" s="2"/>
      <c r="P6" s="2"/>
      <c r="Q6" s="2"/>
      <c r="R6" s="2"/>
      <c r="S6" s="2"/>
      <c r="T6" s="2" t="s">
        <v>18</v>
      </c>
      <c r="U6" s="2" t="s">
        <v>18</v>
      </c>
      <c r="V6" s="3"/>
      <c r="W6" s="3"/>
      <c r="X6" s="3"/>
      <c r="Y6" s="3"/>
      <c r="Z6" s="3"/>
    </row>
    <row r="7" spans="1:26" ht="12.75" customHeight="1">
      <c r="A7" s="9"/>
      <c r="B7" s="5" t="s">
        <v>19</v>
      </c>
      <c r="C7" s="303" t="s">
        <v>20</v>
      </c>
      <c r="D7" s="304"/>
      <c r="E7" s="305"/>
      <c r="F7" s="3"/>
      <c r="G7" s="3"/>
      <c r="H7" s="3"/>
      <c r="I7" s="3"/>
      <c r="J7" s="3"/>
      <c r="K7" s="10">
        <f t="shared" ref="K7:K120" si="0">+K6+1</f>
        <v>1</v>
      </c>
      <c r="L7" s="11" t="str">
        <f t="shared" ref="L7:L120" si="1">M7&amp;" "&amp;N7</f>
        <v xml:space="preserve">1222 MINISTARSTVO ZNANOSTI I OBRAZOVANJA </v>
      </c>
      <c r="M7" s="11">
        <v>1222</v>
      </c>
      <c r="N7" s="12" t="s">
        <v>21</v>
      </c>
      <c r="O7" s="13"/>
      <c r="P7" s="14" t="s">
        <v>22</v>
      </c>
      <c r="Q7" s="12" t="s">
        <v>23</v>
      </c>
      <c r="R7" s="15">
        <v>3271030</v>
      </c>
      <c r="S7" s="16" t="s">
        <v>24</v>
      </c>
      <c r="T7" s="17" t="s">
        <v>25</v>
      </c>
      <c r="U7" s="18" t="s">
        <v>26</v>
      </c>
      <c r="V7" s="3"/>
      <c r="W7" s="3"/>
      <c r="X7" s="3"/>
      <c r="Y7" s="3"/>
      <c r="Z7" s="3"/>
    </row>
    <row r="8" spans="1:26" ht="12.75" customHeight="1">
      <c r="A8" s="9"/>
      <c r="B8" s="9"/>
      <c r="C8" s="3"/>
      <c r="D8" s="3"/>
      <c r="E8" s="3"/>
      <c r="F8" s="3"/>
      <c r="G8" s="3"/>
      <c r="H8" s="3"/>
      <c r="I8" s="3"/>
      <c r="J8" s="3"/>
      <c r="K8" s="10">
        <f t="shared" si="0"/>
        <v>2</v>
      </c>
      <c r="L8" s="11" t="str">
        <f t="shared" si="1"/>
        <v>2063 FAKULTET ORGANIZACIJE I INFORMATIKE U VARAŽDINU</v>
      </c>
      <c r="M8" s="11">
        <v>2063</v>
      </c>
      <c r="N8" s="12" t="s">
        <v>27</v>
      </c>
      <c r="O8" s="13" t="s">
        <v>28</v>
      </c>
      <c r="P8" s="12" t="s">
        <v>29</v>
      </c>
      <c r="Q8" s="12" t="s">
        <v>30</v>
      </c>
      <c r="R8" s="15">
        <v>3006107</v>
      </c>
      <c r="S8" s="16" t="s">
        <v>31</v>
      </c>
      <c r="T8" s="17" t="s">
        <v>32</v>
      </c>
      <c r="U8" s="18" t="s">
        <v>33</v>
      </c>
      <c r="V8" s="3"/>
      <c r="W8" s="3"/>
      <c r="X8" s="3"/>
      <c r="Y8" s="3"/>
      <c r="Z8" s="3"/>
    </row>
    <row r="9" spans="1:26" ht="28.5" customHeight="1">
      <c r="A9" s="2"/>
      <c r="B9" s="306" t="s">
        <v>34</v>
      </c>
      <c r="C9" s="307"/>
      <c r="D9" s="307"/>
      <c r="E9" s="307"/>
      <c r="F9" s="3"/>
      <c r="G9" s="3"/>
      <c r="H9" s="3"/>
      <c r="I9" s="3"/>
      <c r="J9" s="3"/>
      <c r="K9" s="10">
        <f t="shared" si="0"/>
        <v>3</v>
      </c>
      <c r="L9" s="11" t="str">
        <f t="shared" si="1"/>
        <v>43749 MEĐIMURSKO VELEUČILIŠTE U ČAKOVCU</v>
      </c>
      <c r="M9" s="11">
        <v>43749</v>
      </c>
      <c r="N9" s="12" t="s">
        <v>35</v>
      </c>
      <c r="O9" s="13" t="s">
        <v>36</v>
      </c>
      <c r="P9" s="12" t="s">
        <v>37</v>
      </c>
      <c r="Q9" s="12" t="s">
        <v>38</v>
      </c>
      <c r="R9" s="15">
        <v>2382512</v>
      </c>
      <c r="S9" s="16" t="s">
        <v>39</v>
      </c>
      <c r="T9" s="17" t="s">
        <v>32</v>
      </c>
      <c r="U9" s="18" t="s">
        <v>33</v>
      </c>
      <c r="V9" s="3"/>
      <c r="W9" s="3"/>
      <c r="X9" s="3"/>
      <c r="Y9" s="3"/>
      <c r="Z9" s="3"/>
    </row>
    <row r="10" spans="1:26" ht="18.75" customHeight="1">
      <c r="A10" s="2"/>
      <c r="B10" s="19"/>
      <c r="C10" s="2"/>
      <c r="D10" s="2"/>
      <c r="E10" s="2"/>
      <c r="F10" s="3"/>
      <c r="G10" s="3"/>
      <c r="H10" s="3"/>
      <c r="I10" s="3"/>
      <c r="J10" s="3"/>
      <c r="K10" s="10">
        <f t="shared" si="0"/>
        <v>4</v>
      </c>
      <c r="L10" s="11" t="str">
        <f t="shared" si="1"/>
        <v>2452 SVEUČILIŠTE J. J. STROSSMAYERA U OSIJEKU</v>
      </c>
      <c r="M10" s="11">
        <v>2452</v>
      </c>
      <c r="N10" s="12" t="s">
        <v>40</v>
      </c>
      <c r="O10" s="20" t="s">
        <v>41</v>
      </c>
      <c r="P10" s="12" t="s">
        <v>42</v>
      </c>
      <c r="Q10" s="12" t="s">
        <v>43</v>
      </c>
      <c r="R10" s="15">
        <v>3049779</v>
      </c>
      <c r="S10" s="16" t="s">
        <v>44</v>
      </c>
      <c r="T10" s="17" t="s">
        <v>32</v>
      </c>
      <c r="U10" s="18" t="s">
        <v>33</v>
      </c>
      <c r="V10" s="3"/>
      <c r="W10" s="3"/>
      <c r="X10" s="3"/>
      <c r="Y10" s="3"/>
      <c r="Z10" s="3"/>
    </row>
    <row r="11" spans="1:26" ht="12" customHeight="1">
      <c r="A11" s="2"/>
      <c r="B11" s="306" t="s">
        <v>45</v>
      </c>
      <c r="C11" s="307"/>
      <c r="D11" s="307"/>
      <c r="E11" s="307"/>
      <c r="F11" s="3"/>
      <c r="G11" s="3"/>
      <c r="H11" s="3"/>
      <c r="I11" s="3"/>
      <c r="J11" s="3"/>
      <c r="K11" s="10">
        <f t="shared" si="0"/>
        <v>5</v>
      </c>
      <c r="L11" s="11" t="str">
        <f t="shared" si="1"/>
        <v>50215 SVEUČILIŠTE J. J. STROSSMAYERA U OSIJEKU - AKADEMIJA ZA UMJETNOST I KULTURU U OSIJEKU</v>
      </c>
      <c r="M11" s="11">
        <v>50215</v>
      </c>
      <c r="N11" s="12" t="s">
        <v>46</v>
      </c>
      <c r="O11" s="20" t="s">
        <v>41</v>
      </c>
      <c r="P11" s="12" t="s">
        <v>47</v>
      </c>
      <c r="Q11" s="12" t="s">
        <v>43</v>
      </c>
      <c r="R11" s="15">
        <v>4907361</v>
      </c>
      <c r="S11" s="16" t="s">
        <v>48</v>
      </c>
      <c r="T11" s="17" t="s">
        <v>32</v>
      </c>
      <c r="U11" s="18" t="s">
        <v>33</v>
      </c>
      <c r="V11" s="3"/>
      <c r="W11" s="3"/>
      <c r="X11" s="3"/>
      <c r="Y11" s="3"/>
      <c r="Z11" s="3"/>
    </row>
    <row r="12" spans="1:26" ht="12" customHeight="1">
      <c r="A12" s="2"/>
      <c r="B12" s="19"/>
      <c r="C12" s="2"/>
      <c r="D12" s="2"/>
      <c r="E12" s="2"/>
      <c r="F12" s="3"/>
      <c r="G12" s="3"/>
      <c r="H12" s="3"/>
      <c r="I12" s="3"/>
      <c r="J12" s="3"/>
      <c r="K12" s="10">
        <f t="shared" si="0"/>
        <v>6</v>
      </c>
      <c r="L12" s="11" t="str">
        <f t="shared" si="1"/>
        <v>2284 SVEUČILIŠTE J. J. STROSSMAYERA U OSIJEKU - EKONOMSKI FAKULTET</v>
      </c>
      <c r="M12" s="11">
        <v>2284</v>
      </c>
      <c r="N12" s="12" t="s">
        <v>49</v>
      </c>
      <c r="O12" s="20" t="s">
        <v>41</v>
      </c>
      <c r="P12" s="12" t="s">
        <v>50</v>
      </c>
      <c r="Q12" s="12" t="s">
        <v>43</v>
      </c>
      <c r="R12" s="15">
        <v>3021645</v>
      </c>
      <c r="S12" s="16" t="s">
        <v>51</v>
      </c>
      <c r="T12" s="17" t="s">
        <v>32</v>
      </c>
      <c r="U12" s="18" t="s">
        <v>33</v>
      </c>
      <c r="V12" s="3"/>
      <c r="W12" s="3"/>
      <c r="X12" s="3"/>
      <c r="Y12" s="3"/>
      <c r="Z12" s="3"/>
    </row>
    <row r="13" spans="1:26" ht="33" customHeight="1">
      <c r="A13" s="2"/>
      <c r="B13" s="306" t="s">
        <v>52</v>
      </c>
      <c r="C13" s="307"/>
      <c r="D13" s="307"/>
      <c r="E13" s="307"/>
      <c r="F13" s="21"/>
      <c r="G13" s="3"/>
      <c r="H13" s="3"/>
      <c r="I13" s="3"/>
      <c r="J13" s="3"/>
      <c r="K13" s="10">
        <f t="shared" si="0"/>
        <v>7</v>
      </c>
      <c r="L13" s="11" t="str">
        <f t="shared" si="1"/>
        <v>2268 SVEUČILIŠTE J. J. STROSSMAYERA U OSIJEKU - FAKULTET AGROBIOTEHNIČKIH ZNANOSTI OSIJEK</v>
      </c>
      <c r="M13" s="11">
        <v>2268</v>
      </c>
      <c r="N13" s="12" t="s">
        <v>53</v>
      </c>
      <c r="O13" s="20" t="s">
        <v>41</v>
      </c>
      <c r="P13" s="12" t="s">
        <v>54</v>
      </c>
      <c r="Q13" s="12" t="s">
        <v>43</v>
      </c>
      <c r="R13" s="15">
        <v>3058212</v>
      </c>
      <c r="S13" s="16" t="s">
        <v>55</v>
      </c>
      <c r="T13" s="17" t="s">
        <v>32</v>
      </c>
      <c r="U13" s="18" t="s">
        <v>33</v>
      </c>
      <c r="V13" s="3"/>
      <c r="W13" s="3"/>
      <c r="X13" s="3"/>
      <c r="Y13" s="3"/>
      <c r="Z13" s="3"/>
    </row>
    <row r="14" spans="1:26" ht="19.5" customHeight="1">
      <c r="A14" s="22"/>
      <c r="B14" s="22"/>
      <c r="C14" s="3"/>
      <c r="D14" s="3"/>
      <c r="E14" s="23" t="s">
        <v>56</v>
      </c>
      <c r="F14" s="21"/>
      <c r="G14" s="3"/>
      <c r="H14" s="3"/>
      <c r="I14" s="3"/>
      <c r="J14" s="3"/>
      <c r="K14" s="10">
        <f t="shared" si="0"/>
        <v>8</v>
      </c>
      <c r="L14" s="11" t="str">
        <f t="shared" si="1"/>
        <v>2313 SVEUČILIŠTE J. J. STROSSMAYERA U OSIJEKU - FAKULTET ELEKTROTEHNIKE, RAČUNARSTVA I INFORMACIJSKIH TEHNOLOGIJA OSIJEK</v>
      </c>
      <c r="M14" s="11">
        <v>2313</v>
      </c>
      <c r="N14" s="12" t="s">
        <v>57</v>
      </c>
      <c r="O14" s="20" t="s">
        <v>41</v>
      </c>
      <c r="P14" s="12" t="s">
        <v>58</v>
      </c>
      <c r="Q14" s="12" t="s">
        <v>43</v>
      </c>
      <c r="R14" s="15">
        <v>3392589</v>
      </c>
      <c r="S14" s="16" t="s">
        <v>59</v>
      </c>
      <c r="T14" s="17" t="s">
        <v>32</v>
      </c>
      <c r="U14" s="18" t="s">
        <v>33</v>
      </c>
      <c r="V14" s="3"/>
      <c r="W14" s="3"/>
      <c r="X14" s="3"/>
      <c r="Y14" s="3"/>
      <c r="Z14" s="3"/>
    </row>
    <row r="15" spans="1:26" ht="12.75" customHeight="1">
      <c r="A15" s="24"/>
      <c r="B15" s="24"/>
      <c r="C15" s="24" t="s">
        <v>60</v>
      </c>
      <c r="D15" s="24" t="s">
        <v>61</v>
      </c>
      <c r="E15" s="24" t="s">
        <v>62</v>
      </c>
      <c r="F15" s="3"/>
      <c r="G15" s="3"/>
      <c r="H15" s="3"/>
      <c r="I15" s="3"/>
      <c r="J15" s="3"/>
      <c r="K15" s="10">
        <f t="shared" si="0"/>
        <v>9</v>
      </c>
      <c r="L15" s="11" t="str">
        <f t="shared" si="1"/>
        <v>49796 SVEUČILIŠTE J. J. STROSSMAYERA U OSIJEKU - FAKULTET ZA DENTALNU MEDICINU I ZDRAVSTVO</v>
      </c>
      <c r="M15" s="11">
        <v>49796</v>
      </c>
      <c r="N15" s="12" t="s">
        <v>63</v>
      </c>
      <c r="O15" s="20" t="s">
        <v>41</v>
      </c>
      <c r="P15" s="12" t="s">
        <v>64</v>
      </c>
      <c r="Q15" s="12" t="s">
        <v>43</v>
      </c>
      <c r="R15" s="15">
        <v>4748875</v>
      </c>
      <c r="S15" s="16" t="s">
        <v>65</v>
      </c>
      <c r="T15" s="17" t="s">
        <v>32</v>
      </c>
      <c r="U15" s="18" t="s">
        <v>33</v>
      </c>
      <c r="V15" s="3"/>
      <c r="W15" s="3"/>
      <c r="X15" s="3"/>
      <c r="Y15" s="3"/>
      <c r="Z15" s="3"/>
    </row>
    <row r="16" spans="1:26" ht="19.5" customHeight="1">
      <c r="A16" s="25"/>
      <c r="B16" s="25" t="s">
        <v>66</v>
      </c>
      <c r="C16" s="26">
        <f>SUM(C17:C18)</f>
        <v>70275906.939513892</v>
      </c>
      <c r="D16" s="26">
        <f t="shared" ref="D16:E16" si="2">+D17+D18</f>
        <v>37332206.44542449</v>
      </c>
      <c r="E16" s="26">
        <f t="shared" si="2"/>
        <v>31961159.370170657</v>
      </c>
      <c r="F16" s="3"/>
      <c r="G16" s="27"/>
      <c r="H16" s="3"/>
      <c r="I16" s="3"/>
      <c r="J16" s="3"/>
      <c r="K16" s="10">
        <f t="shared" si="0"/>
        <v>10</v>
      </c>
      <c r="L16" s="11" t="str">
        <f t="shared" si="1"/>
        <v>22486 SVEUČILIŠTE J. J. STROSSMAYERA U OSIJEKU - FAKULTET ZA ODGOJNE I OBRAZOVNE ZNANOSTI</v>
      </c>
      <c r="M16" s="11">
        <v>22486</v>
      </c>
      <c r="N16" s="12" t="s">
        <v>67</v>
      </c>
      <c r="O16" s="20" t="s">
        <v>41</v>
      </c>
      <c r="P16" s="12" t="s">
        <v>68</v>
      </c>
      <c r="Q16" s="12" t="s">
        <v>43</v>
      </c>
      <c r="R16" s="15">
        <v>1404881</v>
      </c>
      <c r="S16" s="16" t="s">
        <v>69</v>
      </c>
      <c r="T16" s="17" t="s">
        <v>32</v>
      </c>
      <c r="U16" s="18" t="s">
        <v>33</v>
      </c>
      <c r="V16" s="3"/>
      <c r="W16" s="3"/>
      <c r="X16" s="3"/>
      <c r="Y16" s="3"/>
      <c r="Z16" s="3"/>
    </row>
    <row r="17" spans="1:26" ht="19.5" customHeight="1">
      <c r="A17" s="28">
        <v>6</v>
      </c>
      <c r="B17" s="25" t="s">
        <v>70</v>
      </c>
      <c r="C17" s="29">
        <f>+'A.1 PRIHODI'!D16</f>
        <v>70275906.939513892</v>
      </c>
      <c r="D17" s="29">
        <f>+'A.1 PRIHODI'!D30</f>
        <v>37332206.44542449</v>
      </c>
      <c r="E17" s="29">
        <f>+'A.1 PRIHODI'!D44</f>
        <v>31961159.370170657</v>
      </c>
      <c r="F17" s="3"/>
      <c r="G17" s="3"/>
      <c r="H17" s="3"/>
      <c r="I17" s="3"/>
      <c r="J17" s="3"/>
      <c r="K17" s="10">
        <f t="shared" si="0"/>
        <v>11</v>
      </c>
      <c r="L17" s="11" t="str">
        <f t="shared" si="1"/>
        <v>2321 SVEUČILIŠTE J. J. STROSSMAYERA U OSIJEKU - FILOZOFSKI FAKULTET</v>
      </c>
      <c r="M17" s="11">
        <v>2321</v>
      </c>
      <c r="N17" s="12" t="s">
        <v>71</v>
      </c>
      <c r="O17" s="20" t="s">
        <v>41</v>
      </c>
      <c r="P17" s="12" t="s">
        <v>72</v>
      </c>
      <c r="Q17" s="12" t="s">
        <v>43</v>
      </c>
      <c r="R17" s="15">
        <v>3014185</v>
      </c>
      <c r="S17" s="16" t="s">
        <v>73</v>
      </c>
      <c r="T17" s="17" t="s">
        <v>32</v>
      </c>
      <c r="U17" s="18" t="s">
        <v>33</v>
      </c>
      <c r="V17" s="3"/>
      <c r="W17" s="3"/>
      <c r="X17" s="3"/>
      <c r="Y17" s="3"/>
      <c r="Z17" s="3"/>
    </row>
    <row r="18" spans="1:26" ht="19.5" customHeight="1">
      <c r="A18" s="28">
        <v>7</v>
      </c>
      <c r="B18" s="30" t="s">
        <v>74</v>
      </c>
      <c r="C18" s="29">
        <f>+'A.1 PRIHODI'!D19</f>
        <v>0</v>
      </c>
      <c r="D18" s="29">
        <f>+'A.1 PRIHODI'!D33</f>
        <v>0</v>
      </c>
      <c r="E18" s="29">
        <f>+'A.1 PRIHODI'!D47</f>
        <v>0</v>
      </c>
      <c r="F18" s="3"/>
      <c r="G18" s="3"/>
      <c r="H18" s="3"/>
      <c r="I18" s="3"/>
      <c r="J18" s="3"/>
      <c r="K18" s="10">
        <f t="shared" si="0"/>
        <v>12</v>
      </c>
      <c r="L18" s="11" t="str">
        <f t="shared" si="1"/>
        <v>2508 SVEUČILIŠTE J. J. STROSSMAYERA U OSIJEKU - GRADSKA I SVEUČILIŠNA KNJIŽNICA</v>
      </c>
      <c r="M18" s="11">
        <v>2508</v>
      </c>
      <c r="N18" s="12" t="s">
        <v>75</v>
      </c>
      <c r="O18" s="20" t="s">
        <v>41</v>
      </c>
      <c r="P18" s="12" t="s">
        <v>76</v>
      </c>
      <c r="Q18" s="12" t="s">
        <v>43</v>
      </c>
      <c r="R18" s="15">
        <v>3014347</v>
      </c>
      <c r="S18" s="16" t="s">
        <v>77</v>
      </c>
      <c r="T18" s="17" t="s">
        <v>32</v>
      </c>
      <c r="U18" s="18" t="s">
        <v>33</v>
      </c>
      <c r="V18" s="3"/>
      <c r="W18" s="3"/>
      <c r="X18" s="3"/>
      <c r="Y18" s="3"/>
      <c r="Z18" s="3"/>
    </row>
    <row r="19" spans="1:26" ht="19.5" customHeight="1">
      <c r="A19" s="31"/>
      <c r="B19" s="30" t="s">
        <v>78</v>
      </c>
      <c r="C19" s="32">
        <f>SUM(C20:C21)</f>
        <v>70275906.968587935</v>
      </c>
      <c r="D19" s="32">
        <f t="shared" ref="D19:E19" si="3">+D20+D21</f>
        <v>37332206.299003847</v>
      </c>
      <c r="E19" s="32">
        <f t="shared" si="3"/>
        <v>31961159.2496439</v>
      </c>
      <c r="F19" s="3"/>
      <c r="G19" s="3"/>
      <c r="H19" s="3"/>
      <c r="I19" s="3"/>
      <c r="J19" s="3"/>
      <c r="K19" s="10">
        <f t="shared" si="0"/>
        <v>13</v>
      </c>
      <c r="L19" s="11" t="str">
        <f t="shared" si="1"/>
        <v>2250 SVEUČILIŠTE J. J. STROSSMAYERA U OSIJEKU - GRAĐEVINSKI I ARHITEKTONSKI FAKULTET OSIJEK</v>
      </c>
      <c r="M19" s="11">
        <v>2250</v>
      </c>
      <c r="N19" s="12" t="s">
        <v>79</v>
      </c>
      <c r="O19" s="20" t="s">
        <v>41</v>
      </c>
      <c r="P19" s="12" t="s">
        <v>80</v>
      </c>
      <c r="Q19" s="12" t="s">
        <v>43</v>
      </c>
      <c r="R19" s="15">
        <v>3397335</v>
      </c>
      <c r="S19" s="16" t="s">
        <v>81</v>
      </c>
      <c r="T19" s="17" t="s">
        <v>32</v>
      </c>
      <c r="U19" s="18" t="s">
        <v>33</v>
      </c>
      <c r="V19" s="3"/>
      <c r="W19" s="3"/>
      <c r="X19" s="3"/>
      <c r="Y19" s="3"/>
      <c r="Z19" s="3"/>
    </row>
    <row r="20" spans="1:26" ht="19.5" customHeight="1">
      <c r="A20" s="31">
        <v>3</v>
      </c>
      <c r="B20" s="25" t="s">
        <v>82</v>
      </c>
      <c r="C20" s="33">
        <f>+'A.2 RASHODI'!D5</f>
        <v>35393753.012482464</v>
      </c>
      <c r="D20" s="34">
        <f>+'A.2 RASHODI'!D22</f>
        <v>32527503.038601696</v>
      </c>
      <c r="E20" s="34">
        <f>+'A.2 RASHODI'!D39</f>
        <v>30989734.2496439</v>
      </c>
      <c r="F20" s="3"/>
      <c r="G20" s="3"/>
      <c r="H20" s="3"/>
      <c r="I20" s="3"/>
      <c r="J20" s="3"/>
      <c r="K20" s="10">
        <f t="shared" si="0"/>
        <v>14</v>
      </c>
      <c r="L20" s="11" t="str">
        <f t="shared" si="1"/>
        <v>38479 SVEUČILIŠTE J. J. STROSSMAYERA U OSIJEKU - KATOLIČKI BOGOSLOVNI FAKULTET U ĐAKOVU</v>
      </c>
      <c r="M20" s="11">
        <v>38479</v>
      </c>
      <c r="N20" s="12" t="s">
        <v>83</v>
      </c>
      <c r="O20" s="20" t="s">
        <v>41</v>
      </c>
      <c r="P20" s="12" t="s">
        <v>84</v>
      </c>
      <c r="Q20" s="12" t="s">
        <v>85</v>
      </c>
      <c r="R20" s="15">
        <v>1986490</v>
      </c>
      <c r="S20" s="16" t="s">
        <v>86</v>
      </c>
      <c r="T20" s="17" t="s">
        <v>32</v>
      </c>
      <c r="U20" s="18" t="s">
        <v>33</v>
      </c>
      <c r="V20" s="3"/>
      <c r="W20" s="3"/>
      <c r="X20" s="3"/>
      <c r="Y20" s="3"/>
      <c r="Z20" s="3"/>
    </row>
    <row r="21" spans="1:26" ht="19.5" customHeight="1">
      <c r="A21" s="28">
        <v>4</v>
      </c>
      <c r="B21" s="30" t="s">
        <v>87</v>
      </c>
      <c r="C21" s="33">
        <f>+'A.2 RASHODI'!D13</f>
        <v>34882153.956105478</v>
      </c>
      <c r="D21" s="34">
        <f>+'A.2 RASHODI'!D30</f>
        <v>4804703.2604021495</v>
      </c>
      <c r="E21" s="34">
        <f>+'A.2 RASHODI'!D47</f>
        <v>971425</v>
      </c>
      <c r="F21" s="3"/>
      <c r="G21" s="3"/>
      <c r="H21" s="3"/>
      <c r="I21" s="3"/>
      <c r="J21" s="3"/>
      <c r="K21" s="10">
        <f t="shared" si="0"/>
        <v>15</v>
      </c>
      <c r="L21" s="11" t="str">
        <f t="shared" si="1"/>
        <v>51450 SVEUČILIŠTE J. J. STROSSMAYERA U OSIJEKU - KINEZIOLOŠKI FAKULTET OSIJEK</v>
      </c>
      <c r="M21" s="11">
        <v>51450</v>
      </c>
      <c r="N21" s="12" t="s">
        <v>88</v>
      </c>
      <c r="O21" s="20" t="s">
        <v>41</v>
      </c>
      <c r="P21" s="12" t="s">
        <v>89</v>
      </c>
      <c r="Q21" s="12" t="s">
        <v>43</v>
      </c>
      <c r="R21" s="15">
        <v>5302099</v>
      </c>
      <c r="S21" s="16" t="s">
        <v>90</v>
      </c>
      <c r="T21" s="17" t="s">
        <v>32</v>
      </c>
      <c r="U21" s="18" t="s">
        <v>33</v>
      </c>
      <c r="V21" s="3"/>
      <c r="W21" s="3"/>
      <c r="X21" s="3"/>
      <c r="Y21" s="3"/>
      <c r="Z21" s="3"/>
    </row>
    <row r="22" spans="1:26" ht="12.75" customHeight="1">
      <c r="A22" s="25"/>
      <c r="B22" s="25" t="s">
        <v>91</v>
      </c>
      <c r="C22" s="26">
        <f t="shared" ref="C22:E22" si="4">+C16-C19</f>
        <v>-2.9074043035507202E-2</v>
      </c>
      <c r="D22" s="26">
        <f t="shared" si="4"/>
        <v>0.14642064273357391</v>
      </c>
      <c r="E22" s="26">
        <f t="shared" si="4"/>
        <v>0.1205267570912838</v>
      </c>
      <c r="F22" s="3"/>
      <c r="G22" s="3"/>
      <c r="H22" s="27"/>
      <c r="I22" s="3"/>
      <c r="J22" s="3"/>
      <c r="K22" s="10">
        <f t="shared" si="0"/>
        <v>16</v>
      </c>
      <c r="L22" s="11" t="str">
        <f t="shared" si="1"/>
        <v>22849 SVEUČILIŠTE J. J. STROSSMAYERA U OSIJEKU - MEDICINSKI FAKULTET</v>
      </c>
      <c r="M22" s="11">
        <v>22849</v>
      </c>
      <c r="N22" s="12" t="s">
        <v>92</v>
      </c>
      <c r="O22" s="20" t="s">
        <v>41</v>
      </c>
      <c r="P22" s="12" t="s">
        <v>93</v>
      </c>
      <c r="Q22" s="12" t="s">
        <v>43</v>
      </c>
      <c r="R22" s="15">
        <v>1388142</v>
      </c>
      <c r="S22" s="16" t="s">
        <v>94</v>
      </c>
      <c r="T22" s="17" t="s">
        <v>32</v>
      </c>
      <c r="U22" s="18" t="s">
        <v>33</v>
      </c>
      <c r="V22" s="3"/>
      <c r="W22" s="3"/>
      <c r="X22" s="3"/>
      <c r="Y22" s="3"/>
      <c r="Z22" s="3"/>
    </row>
    <row r="23" spans="1:26" ht="11.25" customHeight="1">
      <c r="A23" s="2"/>
      <c r="B23" s="308"/>
      <c r="C23" s="307"/>
      <c r="D23" s="307"/>
      <c r="E23" s="307"/>
      <c r="F23" s="3"/>
      <c r="G23" s="3"/>
      <c r="H23" s="35"/>
      <c r="I23" s="3"/>
      <c r="J23" s="3"/>
      <c r="K23" s="10">
        <f t="shared" si="0"/>
        <v>17</v>
      </c>
      <c r="L23" s="11" t="str">
        <f t="shared" si="1"/>
        <v>2292 SVEUČILIŠTE J. J. STROSSMAYERA U OSIJEKU - PRAVNI FAKULTET</v>
      </c>
      <c r="M23" s="11">
        <v>2292</v>
      </c>
      <c r="N23" s="12" t="s">
        <v>95</v>
      </c>
      <c r="O23" s="20" t="s">
        <v>41</v>
      </c>
      <c r="P23" s="12" t="s">
        <v>96</v>
      </c>
      <c r="Q23" s="12" t="s">
        <v>43</v>
      </c>
      <c r="R23" s="15">
        <v>3014193</v>
      </c>
      <c r="S23" s="16" t="s">
        <v>97</v>
      </c>
      <c r="T23" s="17" t="s">
        <v>32</v>
      </c>
      <c r="U23" s="18" t="s">
        <v>33</v>
      </c>
      <c r="V23" s="3"/>
      <c r="W23" s="3"/>
      <c r="X23" s="3"/>
      <c r="Y23" s="3"/>
      <c r="Z23" s="3"/>
    </row>
    <row r="24" spans="1:26" ht="12.75" customHeight="1">
      <c r="A24" s="2"/>
      <c r="B24" s="306" t="s">
        <v>98</v>
      </c>
      <c r="C24" s="307"/>
      <c r="D24" s="307"/>
      <c r="E24" s="307"/>
      <c r="F24" s="3"/>
      <c r="G24" s="3"/>
      <c r="H24" s="35"/>
      <c r="I24" s="3"/>
      <c r="J24" s="3"/>
      <c r="K24" s="10">
        <f t="shared" si="0"/>
        <v>18</v>
      </c>
      <c r="L24" s="11" t="str">
        <f t="shared" si="1"/>
        <v>2276 SVEUČILIŠTE J. J. STROSSMAYERA U OSIJEKU - PREHRAMBENO TEHNOLOŠKI FAKULTET</v>
      </c>
      <c r="M24" s="11">
        <v>2276</v>
      </c>
      <c r="N24" s="12" t="s">
        <v>99</v>
      </c>
      <c r="O24" s="20" t="s">
        <v>41</v>
      </c>
      <c r="P24" s="12" t="s">
        <v>100</v>
      </c>
      <c r="Q24" s="12" t="s">
        <v>43</v>
      </c>
      <c r="R24" s="15">
        <v>3058204</v>
      </c>
      <c r="S24" s="16" t="s">
        <v>101</v>
      </c>
      <c r="T24" s="17" t="s">
        <v>32</v>
      </c>
      <c r="U24" s="18" t="s">
        <v>33</v>
      </c>
      <c r="V24" s="3"/>
      <c r="W24" s="3"/>
      <c r="X24" s="3"/>
      <c r="Y24" s="3"/>
      <c r="Z24" s="3"/>
    </row>
    <row r="25" spans="1:26" ht="12.75" customHeight="1">
      <c r="A25" s="22"/>
      <c r="B25" s="22"/>
      <c r="C25" s="3"/>
      <c r="D25" s="3"/>
      <c r="E25" s="23" t="s">
        <v>56</v>
      </c>
      <c r="F25" s="3"/>
      <c r="G25" s="3"/>
      <c r="H25" s="3"/>
      <c r="I25" s="3"/>
      <c r="J25" s="3"/>
      <c r="K25" s="10">
        <f t="shared" si="0"/>
        <v>19</v>
      </c>
      <c r="L25" s="11" t="str">
        <f t="shared" si="1"/>
        <v>52565 SVEUČILIŠTE J. J. STROSSMAYERA U OSIJEKU - FAKULTET TURIZMA I RURALNOG RAZVOJA U POŽEGI</v>
      </c>
      <c r="M25" s="36">
        <v>52565</v>
      </c>
      <c r="N25" s="37" t="s">
        <v>102</v>
      </c>
      <c r="O25" s="38" t="s">
        <v>41</v>
      </c>
      <c r="P25" s="37" t="s">
        <v>103</v>
      </c>
      <c r="Q25" s="12" t="s">
        <v>43</v>
      </c>
      <c r="R25" s="39">
        <v>5619696</v>
      </c>
      <c r="S25" s="40" t="s">
        <v>104</v>
      </c>
      <c r="T25" s="17" t="s">
        <v>32</v>
      </c>
      <c r="U25" s="18" t="s">
        <v>33</v>
      </c>
      <c r="V25" s="3"/>
      <c r="W25" s="3"/>
      <c r="X25" s="3"/>
      <c r="Y25" s="3"/>
      <c r="Z25" s="3"/>
    </row>
    <row r="26" spans="1:26" ht="30.75" customHeight="1">
      <c r="A26" s="24"/>
      <c r="B26" s="24"/>
      <c r="C26" s="24" t="s">
        <v>60</v>
      </c>
      <c r="D26" s="24" t="s">
        <v>61</v>
      </c>
      <c r="E26" s="24" t="s">
        <v>62</v>
      </c>
      <c r="F26" s="3"/>
      <c r="G26" s="3"/>
      <c r="H26" s="41"/>
      <c r="I26" s="3"/>
      <c r="J26" s="3"/>
      <c r="K26" s="10">
        <f t="shared" si="0"/>
        <v>20</v>
      </c>
      <c r="L26" s="11" t="str">
        <f t="shared" si="1"/>
        <v>42024 SVEUČILIŠTE JURJA DOBRILE U PULI</v>
      </c>
      <c r="M26" s="11">
        <v>42024</v>
      </c>
      <c r="N26" s="12" t="s">
        <v>105</v>
      </c>
      <c r="O26" s="13" t="s">
        <v>106</v>
      </c>
      <c r="P26" s="12" t="s">
        <v>107</v>
      </c>
      <c r="Q26" s="12" t="s">
        <v>108</v>
      </c>
      <c r="R26" s="15">
        <v>2161753</v>
      </c>
      <c r="S26" s="16" t="s">
        <v>109</v>
      </c>
      <c r="T26" s="17" t="s">
        <v>32</v>
      </c>
      <c r="U26" s="18" t="s">
        <v>33</v>
      </c>
      <c r="V26" s="3"/>
      <c r="W26" s="3"/>
      <c r="X26" s="3"/>
      <c r="Y26" s="3"/>
      <c r="Z26" s="3"/>
    </row>
    <row r="27" spans="1:26" ht="12.75" customHeight="1">
      <c r="A27" s="28">
        <v>8</v>
      </c>
      <c r="B27" s="25" t="s">
        <v>110</v>
      </c>
      <c r="C27" s="29">
        <f>+'B. RAČUN FIN'!D6</f>
        <v>0</v>
      </c>
      <c r="D27" s="29">
        <f>+'B. RAČUN FIN'!D17</f>
        <v>0</v>
      </c>
      <c r="E27" s="29">
        <f>+'B. RAČUN FIN'!D28</f>
        <v>0</v>
      </c>
      <c r="F27" s="3"/>
      <c r="G27" s="3"/>
      <c r="H27" s="3"/>
      <c r="I27" s="3"/>
      <c r="J27" s="3"/>
      <c r="K27" s="10">
        <f t="shared" si="0"/>
        <v>21</v>
      </c>
      <c r="L27" s="11" t="str">
        <f t="shared" si="1"/>
        <v>48267 SVEUČILIŠTE SJEVER</v>
      </c>
      <c r="M27" s="11">
        <v>48267</v>
      </c>
      <c r="N27" s="12" t="s">
        <v>111</v>
      </c>
      <c r="O27" s="13" t="s">
        <v>111</v>
      </c>
      <c r="P27" s="12" t="s">
        <v>112</v>
      </c>
      <c r="Q27" s="12" t="s">
        <v>113</v>
      </c>
      <c r="R27" s="15">
        <v>2752298</v>
      </c>
      <c r="S27" s="16" t="s">
        <v>114</v>
      </c>
      <c r="T27" s="17" t="s">
        <v>32</v>
      </c>
      <c r="U27" s="18" t="s">
        <v>33</v>
      </c>
      <c r="V27" s="3"/>
      <c r="W27" s="3"/>
      <c r="X27" s="3"/>
      <c r="Y27" s="3"/>
      <c r="Z27" s="3"/>
    </row>
    <row r="28" spans="1:26" ht="12.75" customHeight="1">
      <c r="A28" s="28">
        <v>5</v>
      </c>
      <c r="B28" s="25" t="s">
        <v>115</v>
      </c>
      <c r="C28" s="29">
        <f>+'B. RAČUN FIN'!D11</f>
        <v>0</v>
      </c>
      <c r="D28" s="29">
        <f>+'B. RAČUN FIN'!D22</f>
        <v>0</v>
      </c>
      <c r="E28" s="29">
        <f>+'B. RAČUN FIN'!D33</f>
        <v>0</v>
      </c>
      <c r="F28" s="42"/>
      <c r="G28" s="3"/>
      <c r="H28" s="3"/>
      <c r="I28" s="3"/>
      <c r="J28" s="3"/>
      <c r="K28" s="10">
        <f t="shared" si="0"/>
        <v>22</v>
      </c>
      <c r="L28" s="11" t="str">
        <f t="shared" si="1"/>
        <v>24141 SVEUČILIŠTE U DUBROVNIKU</v>
      </c>
      <c r="M28" s="11">
        <v>24141</v>
      </c>
      <c r="N28" s="12" t="s">
        <v>116</v>
      </c>
      <c r="O28" s="13" t="s">
        <v>116</v>
      </c>
      <c r="P28" s="12" t="s">
        <v>117</v>
      </c>
      <c r="Q28" s="12" t="s">
        <v>118</v>
      </c>
      <c r="R28" s="15">
        <v>1787578</v>
      </c>
      <c r="S28" s="16" t="s">
        <v>119</v>
      </c>
      <c r="T28" s="17" t="s">
        <v>32</v>
      </c>
      <c r="U28" s="18" t="s">
        <v>33</v>
      </c>
      <c r="V28" s="3"/>
      <c r="W28" s="3"/>
      <c r="X28" s="3"/>
      <c r="Y28" s="3"/>
      <c r="Z28" s="3"/>
    </row>
    <row r="29" spans="1:26" ht="12.75" customHeight="1">
      <c r="A29" s="43" t="s">
        <v>120</v>
      </c>
      <c r="B29" s="44" t="s">
        <v>121</v>
      </c>
      <c r="C29" s="33">
        <f>+'Unos prijenosa'!D5</f>
        <v>0</v>
      </c>
      <c r="D29" s="33">
        <f>+'Unos prijenosa'!D13</f>
        <v>0</v>
      </c>
      <c r="E29" s="33">
        <f>+'Unos prijenosa'!D21</f>
        <v>0</v>
      </c>
      <c r="F29" s="3"/>
      <c r="G29" s="3"/>
      <c r="H29" s="3"/>
      <c r="I29" s="3"/>
      <c r="J29" s="3"/>
      <c r="K29" s="10">
        <f t="shared" si="0"/>
        <v>23</v>
      </c>
      <c r="L29" s="11" t="str">
        <f t="shared" si="1"/>
        <v>2444 SVEUČILIŠTE U RIJECI</v>
      </c>
      <c r="M29" s="11">
        <v>2444</v>
      </c>
      <c r="N29" s="12" t="s">
        <v>122</v>
      </c>
      <c r="O29" s="45" t="s">
        <v>122</v>
      </c>
      <c r="P29" s="12" t="s">
        <v>123</v>
      </c>
      <c r="Q29" s="12" t="s">
        <v>124</v>
      </c>
      <c r="R29" s="15">
        <v>3337413</v>
      </c>
      <c r="S29" s="16" t="s">
        <v>125</v>
      </c>
      <c r="T29" s="17" t="s">
        <v>32</v>
      </c>
      <c r="U29" s="18" t="s">
        <v>33</v>
      </c>
      <c r="V29" s="3"/>
      <c r="W29" s="3"/>
      <c r="X29" s="3"/>
      <c r="Y29" s="3"/>
      <c r="Z29" s="3"/>
    </row>
    <row r="30" spans="1:26" ht="12.75" customHeight="1">
      <c r="A30" s="43" t="s">
        <v>126</v>
      </c>
      <c r="B30" s="44" t="s">
        <v>127</v>
      </c>
      <c r="C30" s="46">
        <f>+'Unos prijenosa'!D7</f>
        <v>0</v>
      </c>
      <c r="D30" s="46">
        <f>+'Unos prijenosa'!D15</f>
        <v>0</v>
      </c>
      <c r="E30" s="47">
        <f>+'Unos prijenosa'!D23</f>
        <v>0</v>
      </c>
      <c r="F30" s="3"/>
      <c r="G30" s="3"/>
      <c r="H30" s="3"/>
      <c r="I30" s="3"/>
      <c r="J30" s="3"/>
      <c r="K30" s="10">
        <f t="shared" si="0"/>
        <v>24</v>
      </c>
      <c r="L30" s="11" t="str">
        <f t="shared" si="1"/>
        <v>38454 SVEUČILIŠTE U RIJECI - AKADEMIJA PRIMJENJENIH UMJETNOSTI</v>
      </c>
      <c r="M30" s="11">
        <v>38454</v>
      </c>
      <c r="N30" s="12" t="s">
        <v>128</v>
      </c>
      <c r="O30" s="45" t="s">
        <v>122</v>
      </c>
      <c r="P30" s="12" t="s">
        <v>129</v>
      </c>
      <c r="Q30" s="12" t="s">
        <v>124</v>
      </c>
      <c r="R30" s="15">
        <v>1954253</v>
      </c>
      <c r="S30" s="16" t="s">
        <v>130</v>
      </c>
      <c r="T30" s="17" t="s">
        <v>32</v>
      </c>
      <c r="U30" s="18" t="s">
        <v>33</v>
      </c>
      <c r="V30" s="3"/>
      <c r="W30" s="3"/>
      <c r="X30" s="3"/>
      <c r="Y30" s="3"/>
      <c r="Z30" s="3"/>
    </row>
    <row r="31" spans="1:26" ht="12.75" customHeight="1">
      <c r="A31" s="25"/>
      <c r="B31" s="25" t="s">
        <v>131</v>
      </c>
      <c r="C31" s="32">
        <f t="shared" ref="C31:E31" si="5">+C27-C28+C29+C30</f>
        <v>0</v>
      </c>
      <c r="D31" s="32">
        <f t="shared" si="5"/>
        <v>0</v>
      </c>
      <c r="E31" s="32">
        <f t="shared" si="5"/>
        <v>0</v>
      </c>
      <c r="F31" s="3"/>
      <c r="G31" s="48"/>
      <c r="H31" s="3"/>
      <c r="I31" s="3"/>
      <c r="J31" s="3"/>
      <c r="K31" s="10">
        <f t="shared" si="0"/>
        <v>25</v>
      </c>
      <c r="L31" s="11" t="str">
        <f t="shared" si="1"/>
        <v>2186 SVEUČILIŠTE U RIJECI - EKONOMSKI FAKULTET</v>
      </c>
      <c r="M31" s="11">
        <v>2186</v>
      </c>
      <c r="N31" s="12" t="s">
        <v>132</v>
      </c>
      <c r="O31" s="45" t="s">
        <v>122</v>
      </c>
      <c r="P31" s="12" t="s">
        <v>133</v>
      </c>
      <c r="Q31" s="12" t="s">
        <v>124</v>
      </c>
      <c r="R31" s="15">
        <v>3328627</v>
      </c>
      <c r="S31" s="16" t="s">
        <v>134</v>
      </c>
      <c r="T31" s="17" t="s">
        <v>32</v>
      </c>
      <c r="U31" s="18" t="s">
        <v>33</v>
      </c>
      <c r="V31" s="3"/>
      <c r="W31" s="3"/>
      <c r="X31" s="3"/>
      <c r="Y31" s="3"/>
      <c r="Z31" s="3"/>
    </row>
    <row r="32" spans="1:26" ht="18.75" customHeight="1">
      <c r="A32" s="2"/>
      <c r="B32" s="308"/>
      <c r="C32" s="307"/>
      <c r="D32" s="307"/>
      <c r="E32" s="307"/>
      <c r="F32" s="3"/>
      <c r="G32" s="3"/>
      <c r="H32" s="3"/>
      <c r="I32" s="3"/>
      <c r="J32" s="3"/>
      <c r="K32" s="10">
        <f t="shared" si="0"/>
        <v>26</v>
      </c>
      <c r="L32" s="11" t="str">
        <f t="shared" si="1"/>
        <v>2194 SVEUČILIŠTE U RIJECI - FAKULTET ZA MENADŽMENT U TURIZMU I UGOSTITELJSTVU</v>
      </c>
      <c r="M32" s="11">
        <v>2194</v>
      </c>
      <c r="N32" s="12" t="s">
        <v>135</v>
      </c>
      <c r="O32" s="45" t="s">
        <v>122</v>
      </c>
      <c r="P32" s="12" t="s">
        <v>136</v>
      </c>
      <c r="Q32" s="12" t="s">
        <v>137</v>
      </c>
      <c r="R32" s="15">
        <v>3091732</v>
      </c>
      <c r="S32" s="16" t="s">
        <v>138</v>
      </c>
      <c r="T32" s="17" t="s">
        <v>32</v>
      </c>
      <c r="U32" s="18" t="s">
        <v>33</v>
      </c>
      <c r="V32" s="3"/>
      <c r="W32" s="3"/>
      <c r="X32" s="3"/>
      <c r="Y32" s="3"/>
      <c r="Z32" s="3"/>
    </row>
    <row r="33" spans="1:26" ht="12.75" customHeight="1">
      <c r="A33" s="49"/>
      <c r="B33" s="49" t="s">
        <v>139</v>
      </c>
      <c r="C33" s="50">
        <f t="shared" ref="C33:E33" si="6">+C22+C31</f>
        <v>-2.9074043035507202E-2</v>
      </c>
      <c r="D33" s="50">
        <f t="shared" si="6"/>
        <v>0.14642064273357391</v>
      </c>
      <c r="E33" s="50">
        <f t="shared" si="6"/>
        <v>0.1205267570912838</v>
      </c>
      <c r="F33" s="51"/>
      <c r="G33" s="52"/>
      <c r="H33" s="52"/>
      <c r="I33" s="52"/>
      <c r="J33" s="52"/>
      <c r="K33" s="10">
        <f t="shared" si="0"/>
        <v>27</v>
      </c>
      <c r="L33" s="11" t="str">
        <f t="shared" si="1"/>
        <v>48023 SVEUČILIŠTE U RIJECI - FAKULTET ZDRAVSTVENIH STUDIJA U RIJECI</v>
      </c>
      <c r="M33" s="11">
        <v>48023</v>
      </c>
      <c r="N33" s="12" t="s">
        <v>140</v>
      </c>
      <c r="O33" s="45" t="s">
        <v>122</v>
      </c>
      <c r="P33" s="12" t="s">
        <v>141</v>
      </c>
      <c r="Q33" s="12" t="s">
        <v>124</v>
      </c>
      <c r="R33" s="15" t="s">
        <v>142</v>
      </c>
      <c r="S33" s="16" t="s">
        <v>143</v>
      </c>
      <c r="T33" s="17" t="s">
        <v>32</v>
      </c>
      <c r="U33" s="18" t="s">
        <v>33</v>
      </c>
      <c r="V33" s="52"/>
      <c r="W33" s="52"/>
      <c r="X33" s="52"/>
      <c r="Y33" s="52"/>
      <c r="Z33" s="52"/>
    </row>
    <row r="34" spans="1:26" ht="12.75" customHeight="1">
      <c r="A34" s="22"/>
      <c r="B34" s="22"/>
      <c r="C34" s="3"/>
      <c r="D34" s="3"/>
      <c r="E34" s="3"/>
      <c r="F34" s="3"/>
      <c r="G34" s="3"/>
      <c r="H34" s="3"/>
      <c r="I34" s="3"/>
      <c r="J34" s="3"/>
      <c r="K34" s="10">
        <f t="shared" si="0"/>
        <v>28</v>
      </c>
      <c r="L34" s="11" t="str">
        <f t="shared" si="1"/>
        <v>22857 SVEUČILIŠTE U RIJECI - FILOZOFSKI FAKULTET</v>
      </c>
      <c r="M34" s="11">
        <v>22857</v>
      </c>
      <c r="N34" s="12" t="s">
        <v>144</v>
      </c>
      <c r="O34" s="45" t="s">
        <v>122</v>
      </c>
      <c r="P34" s="12" t="s">
        <v>145</v>
      </c>
      <c r="Q34" s="12" t="s">
        <v>124</v>
      </c>
      <c r="R34" s="15">
        <v>3368491</v>
      </c>
      <c r="S34" s="16" t="s">
        <v>146</v>
      </c>
      <c r="T34" s="17" t="s">
        <v>32</v>
      </c>
      <c r="U34" s="18" t="s">
        <v>33</v>
      </c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10">
        <f t="shared" si="0"/>
        <v>29</v>
      </c>
      <c r="L35" s="11" t="str">
        <f t="shared" si="1"/>
        <v>2160 SVEUČILIŠTE U RIJECI - GRAĐEVINSKI FAKULTET</v>
      </c>
      <c r="M35" s="11">
        <v>2160</v>
      </c>
      <c r="N35" s="12" t="s">
        <v>147</v>
      </c>
      <c r="O35" s="45" t="s">
        <v>122</v>
      </c>
      <c r="P35" s="12" t="s">
        <v>148</v>
      </c>
      <c r="Q35" s="12" t="s">
        <v>124</v>
      </c>
      <c r="R35" s="15">
        <v>3395855</v>
      </c>
      <c r="S35" s="16" t="s">
        <v>149</v>
      </c>
      <c r="T35" s="17" t="s">
        <v>32</v>
      </c>
      <c r="U35" s="18" t="s">
        <v>33</v>
      </c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10">
        <f t="shared" si="0"/>
        <v>30</v>
      </c>
      <c r="L36" s="11" t="str">
        <f t="shared" si="1"/>
        <v>2225 SVEUČILIŠTE U RIJECI - MEDICINSKI FAKULTET</v>
      </c>
      <c r="M36" s="11">
        <v>2225</v>
      </c>
      <c r="N36" s="12" t="s">
        <v>150</v>
      </c>
      <c r="O36" s="45" t="s">
        <v>122</v>
      </c>
      <c r="P36" s="12" t="s">
        <v>151</v>
      </c>
      <c r="Q36" s="12" t="s">
        <v>124</v>
      </c>
      <c r="R36" s="15">
        <v>3328554</v>
      </c>
      <c r="S36" s="16" t="s">
        <v>152</v>
      </c>
      <c r="T36" s="17" t="s">
        <v>32</v>
      </c>
      <c r="U36" s="18" t="s">
        <v>33</v>
      </c>
      <c r="V36" s="3"/>
      <c r="W36" s="3"/>
      <c r="X36" s="3"/>
      <c r="Y36" s="3"/>
      <c r="Z36" s="3"/>
    </row>
    <row r="37" spans="1:26" ht="12.75" customHeight="1">
      <c r="A37" s="2"/>
      <c r="B37" s="306" t="s">
        <v>34</v>
      </c>
      <c r="C37" s="307"/>
      <c r="D37" s="307"/>
      <c r="E37" s="307"/>
      <c r="F37" s="3"/>
      <c r="G37" s="3"/>
      <c r="H37" s="3"/>
      <c r="I37" s="3"/>
      <c r="J37" s="3"/>
      <c r="K37" s="10" t="e">
        <f>+#REF!+1</f>
        <v>#REF!</v>
      </c>
      <c r="L37" s="11" t="str">
        <f t="shared" si="1"/>
        <v>2524 SVEUČILIŠTE U SPLITU - SVEUČILIŠNA KNJIŽNICA</v>
      </c>
      <c r="M37" s="11">
        <v>2524</v>
      </c>
      <c r="N37" s="12" t="s">
        <v>206</v>
      </c>
      <c r="O37" s="13" t="s">
        <v>171</v>
      </c>
      <c r="P37" s="12" t="s">
        <v>207</v>
      </c>
      <c r="Q37" s="12" t="s">
        <v>173</v>
      </c>
      <c r="R37" s="15">
        <v>3118436</v>
      </c>
      <c r="S37" s="16" t="s">
        <v>208</v>
      </c>
      <c r="T37" s="17" t="s">
        <v>32</v>
      </c>
      <c r="U37" s="18" t="s">
        <v>33</v>
      </c>
      <c r="V37" s="3"/>
      <c r="W37" s="3"/>
      <c r="X37" s="3"/>
      <c r="Y37" s="3"/>
      <c r="Z37" s="3"/>
    </row>
    <row r="38" spans="1:26" ht="12.75" customHeight="1">
      <c r="A38" s="2"/>
      <c r="B38" s="19"/>
      <c r="C38" s="2"/>
      <c r="D38" s="2"/>
      <c r="E38" s="2"/>
      <c r="F38" s="3"/>
      <c r="G38" s="3"/>
      <c r="H38" s="3"/>
      <c r="I38" s="3"/>
      <c r="J38" s="3"/>
      <c r="K38" s="10" t="e">
        <f t="shared" si="0"/>
        <v>#REF!</v>
      </c>
      <c r="L38" s="11" t="str">
        <f t="shared" si="1"/>
        <v>22478 SVEUČILIŠTE U SPLITU - UMJETNIČKA AKADEMIJA</v>
      </c>
      <c r="M38" s="11">
        <v>22478</v>
      </c>
      <c r="N38" s="12" t="s">
        <v>209</v>
      </c>
      <c r="O38" s="13" t="s">
        <v>171</v>
      </c>
      <c r="P38" s="12" t="s">
        <v>210</v>
      </c>
      <c r="Q38" s="12" t="s">
        <v>173</v>
      </c>
      <c r="R38" s="15">
        <v>1321358</v>
      </c>
      <c r="S38" s="16" t="s">
        <v>211</v>
      </c>
      <c r="T38" s="17" t="s">
        <v>32</v>
      </c>
      <c r="U38" s="18" t="s">
        <v>33</v>
      </c>
      <c r="V38" s="3"/>
      <c r="W38" s="3"/>
      <c r="X38" s="3"/>
      <c r="Y38" s="3"/>
      <c r="Z38" s="3"/>
    </row>
    <row r="39" spans="1:26" ht="12.75" customHeight="1">
      <c r="A39" s="2"/>
      <c r="B39" s="306" t="s">
        <v>45</v>
      </c>
      <c r="C39" s="307"/>
      <c r="D39" s="307"/>
      <c r="E39" s="307"/>
      <c r="F39" s="3"/>
      <c r="G39" s="3"/>
      <c r="H39" s="3"/>
      <c r="I39" s="3"/>
      <c r="J39" s="3"/>
      <c r="K39" s="10" t="e">
        <f t="shared" si="0"/>
        <v>#REF!</v>
      </c>
      <c r="L39" s="11" t="str">
        <f t="shared" si="1"/>
        <v>23815 SVEUČILIŠTE U ZADRU</v>
      </c>
      <c r="M39" s="11">
        <v>23815</v>
      </c>
      <c r="N39" s="12" t="s">
        <v>212</v>
      </c>
      <c r="O39" s="13" t="s">
        <v>212</v>
      </c>
      <c r="P39" s="12" t="s">
        <v>213</v>
      </c>
      <c r="Q39" s="12" t="s">
        <v>214</v>
      </c>
      <c r="R39" s="15">
        <v>1695525</v>
      </c>
      <c r="S39" s="16" t="s">
        <v>215</v>
      </c>
      <c r="T39" s="17" t="s">
        <v>32</v>
      </c>
      <c r="U39" s="18" t="s">
        <v>33</v>
      </c>
      <c r="V39" s="3"/>
      <c r="W39" s="3"/>
      <c r="X39" s="3"/>
      <c r="Y39" s="3"/>
      <c r="Z39" s="3"/>
    </row>
    <row r="40" spans="1:26" ht="12.75" customHeight="1">
      <c r="A40" s="2"/>
      <c r="B40" s="19"/>
      <c r="C40" s="2"/>
      <c r="D40" s="2"/>
      <c r="E40" s="2"/>
      <c r="F40" s="3"/>
      <c r="G40" s="3"/>
      <c r="H40" s="3"/>
      <c r="I40" s="3"/>
      <c r="J40" s="3"/>
      <c r="K40" s="10" t="e">
        <f t="shared" si="0"/>
        <v>#REF!</v>
      </c>
      <c r="L40" s="11" t="str">
        <f t="shared" si="1"/>
        <v>2436 SVEUČILIŠTE U ZAGREBU</v>
      </c>
      <c r="M40" s="11">
        <v>2436</v>
      </c>
      <c r="N40" s="12" t="s">
        <v>28</v>
      </c>
      <c r="O40" s="13" t="s">
        <v>28</v>
      </c>
      <c r="P40" s="12" t="s">
        <v>216</v>
      </c>
      <c r="Q40" s="12" t="s">
        <v>23</v>
      </c>
      <c r="R40" s="15">
        <v>3211592</v>
      </c>
      <c r="S40" s="16" t="s">
        <v>217</v>
      </c>
      <c r="T40" s="17" t="s">
        <v>32</v>
      </c>
      <c r="U40" s="18" t="s">
        <v>33</v>
      </c>
      <c r="V40" s="3"/>
      <c r="W40" s="3"/>
      <c r="X40" s="3"/>
      <c r="Y40" s="3"/>
      <c r="Z40" s="3"/>
    </row>
    <row r="41" spans="1:26" ht="12.75" customHeight="1">
      <c r="A41" s="2"/>
      <c r="B41" s="306" t="s">
        <v>52</v>
      </c>
      <c r="C41" s="307"/>
      <c r="D41" s="307"/>
      <c r="E41" s="307"/>
      <c r="F41" s="3"/>
      <c r="G41" s="3"/>
      <c r="H41" s="3"/>
      <c r="I41" s="3"/>
      <c r="J41" s="3"/>
      <c r="K41" s="10" t="e">
        <f t="shared" si="0"/>
        <v>#REF!</v>
      </c>
      <c r="L41" s="11" t="str">
        <f t="shared" si="1"/>
        <v>1923 SVEUČILIŠTE U ZAGREBU - AGRONOMSKI FAKULTET</v>
      </c>
      <c r="M41" s="11">
        <v>1923</v>
      </c>
      <c r="N41" s="12" t="s">
        <v>218</v>
      </c>
      <c r="O41" s="13" t="s">
        <v>28</v>
      </c>
      <c r="P41" s="12" t="s">
        <v>219</v>
      </c>
      <c r="Q41" s="12" t="s">
        <v>23</v>
      </c>
      <c r="R41" s="15">
        <v>3283097</v>
      </c>
      <c r="S41" s="16" t="s">
        <v>220</v>
      </c>
      <c r="T41" s="17" t="s">
        <v>32</v>
      </c>
      <c r="U41" s="18" t="s">
        <v>33</v>
      </c>
      <c r="V41" s="3"/>
      <c r="W41" s="3"/>
      <c r="X41" s="3"/>
      <c r="Y41" s="3"/>
      <c r="Z41" s="3"/>
    </row>
    <row r="42" spans="1:26" ht="12.75" customHeight="1">
      <c r="A42" s="22"/>
      <c r="B42" s="22"/>
      <c r="C42" s="3"/>
      <c r="D42" s="3"/>
      <c r="E42" s="23" t="s">
        <v>221</v>
      </c>
      <c r="F42" s="3"/>
      <c r="G42" s="3"/>
      <c r="H42" s="3"/>
      <c r="I42" s="3"/>
      <c r="J42" s="3"/>
      <c r="K42" s="10" t="e">
        <f t="shared" si="0"/>
        <v>#REF!</v>
      </c>
      <c r="L42" s="11" t="str">
        <f t="shared" si="1"/>
        <v>1974 SVEUČILIŠTE U ZAGREBU - AKADEMIJA DRAMSKE UMJETNOSTI</v>
      </c>
      <c r="M42" s="11">
        <v>1974</v>
      </c>
      <c r="N42" s="12" t="s">
        <v>222</v>
      </c>
      <c r="O42" s="13" t="s">
        <v>28</v>
      </c>
      <c r="P42" s="12" t="s">
        <v>223</v>
      </c>
      <c r="Q42" s="12" t="s">
        <v>23</v>
      </c>
      <c r="R42" s="15">
        <v>3205029</v>
      </c>
      <c r="S42" s="16" t="s">
        <v>224</v>
      </c>
      <c r="T42" s="17" t="s">
        <v>32</v>
      </c>
      <c r="U42" s="18" t="s">
        <v>33</v>
      </c>
      <c r="V42" s="3"/>
      <c r="W42" s="3"/>
      <c r="X42" s="3"/>
      <c r="Y42" s="3"/>
      <c r="Z42" s="3"/>
    </row>
    <row r="43" spans="1:26" ht="15" customHeight="1">
      <c r="A43" s="24"/>
      <c r="B43" s="24"/>
      <c r="C43" s="24" t="s">
        <v>60</v>
      </c>
      <c r="D43" s="24" t="s">
        <v>61</v>
      </c>
      <c r="E43" s="24" t="s">
        <v>62</v>
      </c>
      <c r="F43" s="3"/>
      <c r="G43" s="3"/>
      <c r="H43" s="3"/>
      <c r="I43" s="3"/>
      <c r="J43" s="3"/>
      <c r="K43" s="10" t="e">
        <f t="shared" si="0"/>
        <v>#REF!</v>
      </c>
      <c r="L43" s="11" t="str">
        <f t="shared" si="1"/>
        <v>1982 SVEUČILIŠTE U ZAGREBU - AKADEMIJA LIKOVNIH UMJETNOSTI</v>
      </c>
      <c r="M43" s="11">
        <v>1982</v>
      </c>
      <c r="N43" s="12" t="s">
        <v>225</v>
      </c>
      <c r="O43" s="13" t="s">
        <v>28</v>
      </c>
      <c r="P43" s="12" t="s">
        <v>226</v>
      </c>
      <c r="Q43" s="12" t="s">
        <v>23</v>
      </c>
      <c r="R43" s="15">
        <v>3207919</v>
      </c>
      <c r="S43" s="16" t="s">
        <v>227</v>
      </c>
      <c r="T43" s="17" t="s">
        <v>32</v>
      </c>
      <c r="U43" s="18" t="s">
        <v>33</v>
      </c>
      <c r="V43" s="3"/>
      <c r="W43" s="3"/>
      <c r="X43" s="3"/>
      <c r="Y43" s="3"/>
      <c r="Z43" s="3"/>
    </row>
    <row r="44" spans="1:26" ht="12.75" customHeight="1">
      <c r="A44" s="25"/>
      <c r="B44" s="25" t="s">
        <v>66</v>
      </c>
      <c r="C44" s="26">
        <f>SUM(C45:C46)</f>
        <v>529493820.83576745</v>
      </c>
      <c r="D44" s="26">
        <f t="shared" ref="D44:E44" si="7">+D45+D46</f>
        <v>281279509.46305084</v>
      </c>
      <c r="E44" s="26">
        <f t="shared" si="7"/>
        <v>240811355.27455083</v>
      </c>
      <c r="F44" s="3"/>
      <c r="G44" s="3"/>
      <c r="H44" s="3"/>
      <c r="I44" s="3"/>
      <c r="J44" s="3"/>
      <c r="K44" s="10" t="e">
        <f t="shared" si="0"/>
        <v>#REF!</v>
      </c>
      <c r="L44" s="11" t="str">
        <f t="shared" si="1"/>
        <v xml:space="preserve">1861 SVEUČILIŠTE U ZAGREBU - ARHITEKTONSKI FAKULTET </v>
      </c>
      <c r="M44" s="11">
        <v>1861</v>
      </c>
      <c r="N44" s="12" t="s">
        <v>228</v>
      </c>
      <c r="O44" s="13" t="s">
        <v>28</v>
      </c>
      <c r="P44" s="12" t="s">
        <v>229</v>
      </c>
      <c r="Q44" s="12" t="s">
        <v>23</v>
      </c>
      <c r="R44" s="15">
        <v>3204952</v>
      </c>
      <c r="S44" s="16" t="s">
        <v>230</v>
      </c>
      <c r="T44" s="17" t="s">
        <v>32</v>
      </c>
      <c r="U44" s="18" t="s">
        <v>33</v>
      </c>
      <c r="V44" s="3"/>
      <c r="W44" s="3"/>
      <c r="X44" s="3"/>
      <c r="Y44" s="3"/>
      <c r="Z44" s="3"/>
    </row>
    <row r="45" spans="1:26" ht="15" customHeight="1">
      <c r="A45" s="28">
        <v>6</v>
      </c>
      <c r="B45" s="25" t="s">
        <v>70</v>
      </c>
      <c r="C45" s="29">
        <f>+C17*7.5345</f>
        <v>529493820.83576745</v>
      </c>
      <c r="D45" s="29">
        <f t="shared" ref="C45:E46" si="8">+D17*7.5345</f>
        <v>281279509.46305084</v>
      </c>
      <c r="E45" s="29">
        <f t="shared" si="8"/>
        <v>240811355.27455083</v>
      </c>
      <c r="F45" s="3"/>
      <c r="G45" s="3"/>
      <c r="H45" s="3"/>
      <c r="I45" s="3"/>
      <c r="J45" s="3"/>
      <c r="K45" s="10" t="e">
        <f t="shared" si="0"/>
        <v>#REF!</v>
      </c>
      <c r="L45" s="11" t="str">
        <f t="shared" si="1"/>
        <v xml:space="preserve">1966 SVEUČILIŠTE U ZAGREBU - EDUKACIJSKO-REHABILITACIJSKI FAKULTET </v>
      </c>
      <c r="M45" s="11">
        <v>1966</v>
      </c>
      <c r="N45" s="12" t="s">
        <v>231</v>
      </c>
      <c r="O45" s="13" t="s">
        <v>28</v>
      </c>
      <c r="P45" s="12" t="s">
        <v>232</v>
      </c>
      <c r="Q45" s="12" t="s">
        <v>23</v>
      </c>
      <c r="R45" s="15">
        <v>3219780</v>
      </c>
      <c r="S45" s="16" t="s">
        <v>233</v>
      </c>
      <c r="T45" s="17" t="s">
        <v>32</v>
      </c>
      <c r="U45" s="18" t="s">
        <v>33</v>
      </c>
      <c r="V45" s="3"/>
      <c r="W45" s="3"/>
      <c r="X45" s="3"/>
      <c r="Y45" s="3"/>
      <c r="Z45" s="3"/>
    </row>
    <row r="46" spans="1:26" ht="12.75" customHeight="1">
      <c r="A46" s="28">
        <v>7</v>
      </c>
      <c r="B46" s="30" t="s">
        <v>74</v>
      </c>
      <c r="C46" s="29">
        <f t="shared" si="8"/>
        <v>0</v>
      </c>
      <c r="D46" s="29">
        <f t="shared" si="8"/>
        <v>0</v>
      </c>
      <c r="E46" s="29">
        <f t="shared" si="8"/>
        <v>0</v>
      </c>
      <c r="F46" s="3"/>
      <c r="G46" s="3"/>
      <c r="H46" s="3"/>
      <c r="I46" s="3"/>
      <c r="J46" s="3"/>
      <c r="K46" s="10" t="e">
        <f t="shared" si="0"/>
        <v>#REF!</v>
      </c>
      <c r="L46" s="11" t="str">
        <f t="shared" si="1"/>
        <v>1931 SVEUČILIŠTE U ZAGREBU - EKONOMSKI FAKULTET</v>
      </c>
      <c r="M46" s="11">
        <v>1931</v>
      </c>
      <c r="N46" s="12" t="s">
        <v>234</v>
      </c>
      <c r="O46" s="13" t="s">
        <v>28</v>
      </c>
      <c r="P46" s="12" t="s">
        <v>235</v>
      </c>
      <c r="Q46" s="12" t="s">
        <v>23</v>
      </c>
      <c r="R46" s="15">
        <v>3272079</v>
      </c>
      <c r="S46" s="16" t="s">
        <v>236</v>
      </c>
      <c r="T46" s="17" t="s">
        <v>32</v>
      </c>
      <c r="U46" s="18" t="s">
        <v>33</v>
      </c>
      <c r="V46" s="3"/>
      <c r="W46" s="3"/>
      <c r="X46" s="3"/>
      <c r="Y46" s="3"/>
      <c r="Z46" s="3"/>
    </row>
    <row r="47" spans="1:26" ht="15" customHeight="1">
      <c r="A47" s="31"/>
      <c r="B47" s="30" t="s">
        <v>78</v>
      </c>
      <c r="C47" s="32">
        <f>SUM(C48:C49)</f>
        <v>529493821.0548259</v>
      </c>
      <c r="D47" s="32">
        <f t="shared" ref="D47:E47" si="9">+D48+D49</f>
        <v>281279508.35984451</v>
      </c>
      <c r="E47" s="32">
        <f t="shared" si="9"/>
        <v>240811354.36644197</v>
      </c>
      <c r="F47" s="3"/>
      <c r="G47" s="3"/>
      <c r="H47" s="3"/>
      <c r="I47" s="3"/>
      <c r="J47" s="3"/>
      <c r="K47" s="10" t="e">
        <f t="shared" si="0"/>
        <v>#REF!</v>
      </c>
      <c r="L47" s="11" t="str">
        <f t="shared" si="1"/>
        <v>1757 SVEUČILIŠTE U ZAGREBU - FAKULTET ELEKTROTEHNIKE I RAČUNARSTVA</v>
      </c>
      <c r="M47" s="11">
        <v>1757</v>
      </c>
      <c r="N47" s="12" t="s">
        <v>237</v>
      </c>
      <c r="O47" s="13" t="s">
        <v>28</v>
      </c>
      <c r="P47" s="12" t="s">
        <v>238</v>
      </c>
      <c r="Q47" s="12" t="s">
        <v>23</v>
      </c>
      <c r="R47" s="15">
        <v>3276643</v>
      </c>
      <c r="S47" s="16" t="s">
        <v>239</v>
      </c>
      <c r="T47" s="17" t="s">
        <v>32</v>
      </c>
      <c r="U47" s="18" t="s">
        <v>33</v>
      </c>
      <c r="V47" s="3"/>
      <c r="W47" s="3"/>
      <c r="X47" s="3"/>
      <c r="Y47" s="3"/>
      <c r="Z47" s="3"/>
    </row>
    <row r="48" spans="1:26" ht="12.75" customHeight="1">
      <c r="A48" s="31">
        <v>3</v>
      </c>
      <c r="B48" s="25" t="s">
        <v>82</v>
      </c>
      <c r="C48" s="29">
        <f t="shared" ref="C48:E49" si="10">+C20*7.5345</f>
        <v>266674232.07254913</v>
      </c>
      <c r="D48" s="29">
        <f t="shared" si="10"/>
        <v>245078471.64434451</v>
      </c>
      <c r="E48" s="29">
        <f t="shared" si="10"/>
        <v>233492152.70394197</v>
      </c>
      <c r="F48" s="3"/>
      <c r="G48" s="3"/>
      <c r="H48" s="3"/>
      <c r="I48" s="3"/>
      <c r="J48" s="3"/>
      <c r="K48" s="10" t="e">
        <f t="shared" si="0"/>
        <v>#REF!</v>
      </c>
      <c r="L48" s="11" t="str">
        <f t="shared" si="1"/>
        <v>6154 SVEUČILIŠTE U ZAGREBU - FAKULTET FILOZOFIJE I RELIGIJSKIH ZNANOSTI</v>
      </c>
      <c r="M48" s="11">
        <v>6154</v>
      </c>
      <c r="N48" s="12" t="s">
        <v>240</v>
      </c>
      <c r="O48" s="13" t="s">
        <v>28</v>
      </c>
      <c r="P48" s="12" t="s">
        <v>241</v>
      </c>
      <c r="Q48" s="12" t="s">
        <v>23</v>
      </c>
      <c r="R48" s="15">
        <v>1235664</v>
      </c>
      <c r="S48" s="16" t="s">
        <v>242</v>
      </c>
      <c r="T48" s="17" t="s">
        <v>32</v>
      </c>
      <c r="U48" s="18" t="s">
        <v>33</v>
      </c>
      <c r="V48" s="3"/>
      <c r="W48" s="3"/>
      <c r="X48" s="3"/>
      <c r="Y48" s="3"/>
      <c r="Z48" s="3"/>
    </row>
    <row r="49" spans="1:26" ht="12.75" customHeight="1">
      <c r="A49" s="28">
        <v>4</v>
      </c>
      <c r="B49" s="30" t="s">
        <v>87</v>
      </c>
      <c r="C49" s="29">
        <f t="shared" si="10"/>
        <v>262819588.98227674</v>
      </c>
      <c r="D49" s="29">
        <f t="shared" si="10"/>
        <v>36201036.715499997</v>
      </c>
      <c r="E49" s="29">
        <f t="shared" si="10"/>
        <v>7319201.6625000006</v>
      </c>
      <c r="F49" s="3"/>
      <c r="G49" s="3"/>
      <c r="H49" s="3"/>
      <c r="I49" s="3"/>
      <c r="J49" s="3"/>
      <c r="K49" s="10" t="e">
        <f t="shared" si="0"/>
        <v>#REF!</v>
      </c>
      <c r="L49" s="11" t="str">
        <f t="shared" si="1"/>
        <v>51191 SVEUČILIŠTE U ZAGREBU - FAKULTET HRVATSKIH STUDIJA</v>
      </c>
      <c r="M49" s="11">
        <v>51191</v>
      </c>
      <c r="N49" s="12" t="s">
        <v>243</v>
      </c>
      <c r="O49" s="13" t="s">
        <v>28</v>
      </c>
      <c r="P49" s="12" t="s">
        <v>244</v>
      </c>
      <c r="Q49" s="12" t="s">
        <v>23</v>
      </c>
      <c r="R49" s="15">
        <v>5214068</v>
      </c>
      <c r="S49" s="16" t="s">
        <v>245</v>
      </c>
      <c r="T49" s="17" t="s">
        <v>32</v>
      </c>
      <c r="U49" s="18" t="s">
        <v>33</v>
      </c>
      <c r="V49" s="3"/>
      <c r="W49" s="3"/>
      <c r="X49" s="3"/>
      <c r="Y49" s="3"/>
      <c r="Z49" s="3"/>
    </row>
    <row r="50" spans="1:26" ht="12.75" customHeight="1">
      <c r="A50" s="25"/>
      <c r="B50" s="25" t="s">
        <v>91</v>
      </c>
      <c r="C50" s="26">
        <f t="shared" ref="C50:E50" si="11">+C44-C47</f>
        <v>-0.21905845403671265</v>
      </c>
      <c r="D50" s="26">
        <f t="shared" si="11"/>
        <v>1.1032063364982605</v>
      </c>
      <c r="E50" s="26">
        <f t="shared" si="11"/>
        <v>0.90810886025428772</v>
      </c>
      <c r="F50" s="3"/>
      <c r="G50" s="3"/>
      <c r="H50" s="3"/>
      <c r="I50" s="3"/>
      <c r="J50" s="3"/>
      <c r="K50" s="10" t="e">
        <f t="shared" si="0"/>
        <v>#REF!</v>
      </c>
      <c r="L50" s="11" t="str">
        <f t="shared" si="1"/>
        <v>1790 SVEUČILIŠTE U ZAGREBU - FAKULTET KEMIJSKOG INŽENJERSTVA I TEHNOLOGIJE</v>
      </c>
      <c r="M50" s="11">
        <v>1790</v>
      </c>
      <c r="N50" s="12" t="s">
        <v>246</v>
      </c>
      <c r="O50" s="13" t="s">
        <v>28</v>
      </c>
      <c r="P50" s="12" t="s">
        <v>247</v>
      </c>
      <c r="Q50" s="12" t="s">
        <v>23</v>
      </c>
      <c r="R50" s="15">
        <v>3250270</v>
      </c>
      <c r="S50" s="16" t="s">
        <v>248</v>
      </c>
      <c r="T50" s="17" t="s">
        <v>32</v>
      </c>
      <c r="U50" s="18" t="s">
        <v>33</v>
      </c>
      <c r="V50" s="3"/>
      <c r="W50" s="3"/>
      <c r="X50" s="3"/>
      <c r="Y50" s="3"/>
      <c r="Z50" s="3"/>
    </row>
    <row r="51" spans="1:26" ht="12.75" customHeight="1">
      <c r="A51" s="2"/>
      <c r="B51" s="308"/>
      <c r="C51" s="307"/>
      <c r="D51" s="307"/>
      <c r="E51" s="307"/>
      <c r="F51" s="3"/>
      <c r="G51" s="3"/>
      <c r="H51" s="3"/>
      <c r="I51" s="3"/>
      <c r="J51" s="3"/>
      <c r="K51" s="10" t="e">
        <f t="shared" si="0"/>
        <v>#REF!</v>
      </c>
      <c r="L51" s="11" t="str">
        <f t="shared" si="1"/>
        <v>1907 SVEUČILIŠTE U ZAGREBU - FAKULTET POLITIČKIH ZNANOSTI</v>
      </c>
      <c r="M51" s="11">
        <v>1907</v>
      </c>
      <c r="N51" s="12" t="s">
        <v>249</v>
      </c>
      <c r="O51" s="13" t="s">
        <v>28</v>
      </c>
      <c r="P51" s="12" t="s">
        <v>250</v>
      </c>
      <c r="Q51" s="12" t="s">
        <v>23</v>
      </c>
      <c r="R51" s="15">
        <v>3270262</v>
      </c>
      <c r="S51" s="16" t="s">
        <v>251</v>
      </c>
      <c r="T51" s="17" t="s">
        <v>32</v>
      </c>
      <c r="U51" s="18" t="s">
        <v>33</v>
      </c>
      <c r="V51" s="3"/>
      <c r="W51" s="3"/>
      <c r="X51" s="3"/>
      <c r="Y51" s="3"/>
      <c r="Z51" s="3"/>
    </row>
    <row r="52" spans="1:26" ht="12.75" customHeight="1">
      <c r="A52" s="2"/>
      <c r="B52" s="306" t="s">
        <v>98</v>
      </c>
      <c r="C52" s="307"/>
      <c r="D52" s="307"/>
      <c r="E52" s="307"/>
      <c r="F52" s="3"/>
      <c r="G52" s="3"/>
      <c r="H52" s="3"/>
      <c r="I52" s="3"/>
      <c r="J52" s="3"/>
      <c r="K52" s="10" t="e">
        <f t="shared" si="0"/>
        <v>#REF!</v>
      </c>
      <c r="L52" s="11" t="str">
        <f t="shared" si="1"/>
        <v>1812 SVEUČILIŠTE U ZAGREBU - FAKULTET PROMETNIH ZNANOSTI</v>
      </c>
      <c r="M52" s="11">
        <v>1812</v>
      </c>
      <c r="N52" s="12" t="s">
        <v>252</v>
      </c>
      <c r="O52" s="13" t="s">
        <v>28</v>
      </c>
      <c r="P52" s="12" t="s">
        <v>253</v>
      </c>
      <c r="Q52" s="12" t="s">
        <v>23</v>
      </c>
      <c r="R52" s="15">
        <v>3260771</v>
      </c>
      <c r="S52" s="16" t="s">
        <v>254</v>
      </c>
      <c r="T52" s="17" t="s">
        <v>32</v>
      </c>
      <c r="U52" s="18" t="s">
        <v>33</v>
      </c>
      <c r="V52" s="3"/>
      <c r="W52" s="3"/>
      <c r="X52" s="3"/>
      <c r="Y52" s="3"/>
      <c r="Z52" s="3"/>
    </row>
    <row r="53" spans="1:26" ht="12.75" customHeight="1">
      <c r="A53" s="22"/>
      <c r="B53" s="22"/>
      <c r="C53" s="3"/>
      <c r="D53" s="3"/>
      <c r="E53" s="23" t="s">
        <v>221</v>
      </c>
      <c r="F53" s="3"/>
      <c r="G53" s="3"/>
      <c r="H53" s="3"/>
      <c r="I53" s="3"/>
      <c r="J53" s="3"/>
      <c r="K53" s="10" t="e">
        <f t="shared" si="0"/>
        <v>#REF!</v>
      </c>
      <c r="L53" s="11" t="str">
        <f t="shared" si="1"/>
        <v>1829 SVEUČILIŠTE U ZAGREBU - FAKULTET STROJARSTVA I BRODOGRADNJE</v>
      </c>
      <c r="M53" s="11">
        <v>1829</v>
      </c>
      <c r="N53" s="12" t="s">
        <v>255</v>
      </c>
      <c r="O53" s="13" t="s">
        <v>28</v>
      </c>
      <c r="P53" s="12" t="s">
        <v>256</v>
      </c>
      <c r="Q53" s="12" t="s">
        <v>23</v>
      </c>
      <c r="R53" s="15">
        <v>3276546</v>
      </c>
      <c r="S53" s="16" t="s">
        <v>257</v>
      </c>
      <c r="T53" s="17" t="s">
        <v>32</v>
      </c>
      <c r="U53" s="18" t="s">
        <v>33</v>
      </c>
      <c r="V53" s="3"/>
      <c r="W53" s="3"/>
      <c r="X53" s="3"/>
      <c r="Y53" s="3"/>
      <c r="Z53" s="3"/>
    </row>
    <row r="54" spans="1:26" ht="12.75" customHeight="1">
      <c r="A54" s="24"/>
      <c r="B54" s="24"/>
      <c r="C54" s="24" t="s">
        <v>60</v>
      </c>
      <c r="D54" s="24" t="s">
        <v>61</v>
      </c>
      <c r="E54" s="24" t="s">
        <v>62</v>
      </c>
      <c r="F54" s="3"/>
      <c r="G54" s="3"/>
      <c r="H54" s="3"/>
      <c r="I54" s="3"/>
      <c r="J54" s="3"/>
      <c r="K54" s="10" t="e">
        <f t="shared" si="0"/>
        <v>#REF!</v>
      </c>
      <c r="L54" s="11" t="str">
        <f t="shared" si="1"/>
        <v xml:space="preserve">2014 SVEUČILIŠTE U ZAGREBU - FARMACEUTSKO-BIOKEMIJSKI FAKULTET </v>
      </c>
      <c r="M54" s="11">
        <v>2014</v>
      </c>
      <c r="N54" s="12" t="s">
        <v>258</v>
      </c>
      <c r="O54" s="13" t="s">
        <v>28</v>
      </c>
      <c r="P54" s="12" t="s">
        <v>259</v>
      </c>
      <c r="Q54" s="12" t="s">
        <v>23</v>
      </c>
      <c r="R54" s="15">
        <v>3205037</v>
      </c>
      <c r="S54" s="16" t="s">
        <v>260</v>
      </c>
      <c r="T54" s="17" t="s">
        <v>32</v>
      </c>
      <c r="U54" s="18" t="s">
        <v>33</v>
      </c>
      <c r="V54" s="3"/>
      <c r="W54" s="3"/>
      <c r="X54" s="3"/>
      <c r="Y54" s="3"/>
      <c r="Z54" s="3"/>
    </row>
    <row r="55" spans="1:26" ht="12.75" customHeight="1">
      <c r="A55" s="28">
        <v>8</v>
      </c>
      <c r="B55" s="25" t="s">
        <v>110</v>
      </c>
      <c r="C55" s="29">
        <f t="shared" ref="C55:E58" si="12">+C27*7.5345</f>
        <v>0</v>
      </c>
      <c r="D55" s="29">
        <f t="shared" si="12"/>
        <v>0</v>
      </c>
      <c r="E55" s="29">
        <f t="shared" si="12"/>
        <v>0</v>
      </c>
      <c r="F55" s="3"/>
      <c r="G55" s="3"/>
      <c r="H55" s="3"/>
      <c r="I55" s="3"/>
      <c r="J55" s="3"/>
      <c r="K55" s="10" t="e">
        <f t="shared" si="0"/>
        <v>#REF!</v>
      </c>
      <c r="L55" s="11" t="str">
        <f t="shared" si="1"/>
        <v>1958 SVEUČILIŠTE U ZAGREBU - FILOZOFSKI FAKULTET</v>
      </c>
      <c r="M55" s="11">
        <v>1958</v>
      </c>
      <c r="N55" s="12" t="s">
        <v>261</v>
      </c>
      <c r="O55" s="13" t="s">
        <v>28</v>
      </c>
      <c r="P55" s="12" t="s">
        <v>262</v>
      </c>
      <c r="Q55" s="12" t="s">
        <v>23</v>
      </c>
      <c r="R55" s="15">
        <v>3254852</v>
      </c>
      <c r="S55" s="16" t="s">
        <v>263</v>
      </c>
      <c r="T55" s="17" t="s">
        <v>32</v>
      </c>
      <c r="U55" s="18" t="s">
        <v>33</v>
      </c>
      <c r="V55" s="3"/>
      <c r="W55" s="3"/>
      <c r="X55" s="3"/>
      <c r="Y55" s="3"/>
      <c r="Z55" s="3"/>
    </row>
    <row r="56" spans="1:26" ht="12.75" customHeight="1">
      <c r="A56" s="28">
        <v>5</v>
      </c>
      <c r="B56" s="25" t="s">
        <v>115</v>
      </c>
      <c r="C56" s="29">
        <f t="shared" si="12"/>
        <v>0</v>
      </c>
      <c r="D56" s="29">
        <f t="shared" si="12"/>
        <v>0</v>
      </c>
      <c r="E56" s="29">
        <f t="shared" si="12"/>
        <v>0</v>
      </c>
      <c r="F56" s="3"/>
      <c r="G56" s="3"/>
      <c r="H56" s="3"/>
      <c r="I56" s="3"/>
      <c r="J56" s="3"/>
      <c r="K56" s="10" t="e">
        <f t="shared" si="0"/>
        <v>#REF!</v>
      </c>
      <c r="L56" s="11" t="str">
        <f t="shared" si="1"/>
        <v>1853 SVEUČILIŠTE U ZAGREBU - GEODETSKI FAKULTET</v>
      </c>
      <c r="M56" s="11">
        <v>1853</v>
      </c>
      <c r="N56" s="12" t="s">
        <v>264</v>
      </c>
      <c r="O56" s="13" t="s">
        <v>28</v>
      </c>
      <c r="P56" s="12" t="s">
        <v>265</v>
      </c>
      <c r="Q56" s="12" t="s">
        <v>23</v>
      </c>
      <c r="R56" s="15">
        <v>3204987</v>
      </c>
      <c r="S56" s="16" t="s">
        <v>266</v>
      </c>
      <c r="T56" s="17" t="s">
        <v>32</v>
      </c>
      <c r="U56" s="18" t="s">
        <v>33</v>
      </c>
      <c r="V56" s="3"/>
      <c r="W56" s="3"/>
      <c r="X56" s="3"/>
      <c r="Y56" s="3"/>
      <c r="Z56" s="3"/>
    </row>
    <row r="57" spans="1:26" ht="12.75" customHeight="1">
      <c r="A57" s="43" t="s">
        <v>120</v>
      </c>
      <c r="B57" s="44" t="s">
        <v>121</v>
      </c>
      <c r="C57" s="29">
        <f t="shared" si="12"/>
        <v>0</v>
      </c>
      <c r="D57" s="29">
        <f t="shared" si="12"/>
        <v>0</v>
      </c>
      <c r="E57" s="29">
        <f t="shared" si="12"/>
        <v>0</v>
      </c>
      <c r="F57" s="3"/>
      <c r="G57" s="3"/>
      <c r="H57" s="3"/>
      <c r="I57" s="3"/>
      <c r="J57" s="3"/>
      <c r="K57" s="10" t="e">
        <f t="shared" si="0"/>
        <v>#REF!</v>
      </c>
      <c r="L57" s="11" t="str">
        <f t="shared" si="1"/>
        <v>2102 SVEUČILIŠTE U ZAGREBU - GEOTEHNIČKI FAKULTET</v>
      </c>
      <c r="M57" s="11">
        <v>2102</v>
      </c>
      <c r="N57" s="12" t="s">
        <v>267</v>
      </c>
      <c r="O57" s="13" t="s">
        <v>28</v>
      </c>
      <c r="P57" s="12" t="s">
        <v>268</v>
      </c>
      <c r="Q57" s="12" t="s">
        <v>30</v>
      </c>
      <c r="R57" s="15">
        <v>3042316</v>
      </c>
      <c r="S57" s="16" t="s">
        <v>269</v>
      </c>
      <c r="T57" s="17" t="s">
        <v>32</v>
      </c>
      <c r="U57" s="18" t="s">
        <v>33</v>
      </c>
      <c r="V57" s="3"/>
      <c r="W57" s="3"/>
      <c r="X57" s="3"/>
      <c r="Y57" s="3"/>
      <c r="Z57" s="3"/>
    </row>
    <row r="58" spans="1:26" ht="15" customHeight="1">
      <c r="A58" s="43" t="s">
        <v>126</v>
      </c>
      <c r="B58" s="44" t="s">
        <v>127</v>
      </c>
      <c r="C58" s="29">
        <f t="shared" si="12"/>
        <v>0</v>
      </c>
      <c r="D58" s="29">
        <f t="shared" si="12"/>
        <v>0</v>
      </c>
      <c r="E58" s="29">
        <f t="shared" si="12"/>
        <v>0</v>
      </c>
      <c r="F58" s="3"/>
      <c r="G58" s="3"/>
      <c r="H58" s="3"/>
      <c r="I58" s="3"/>
      <c r="J58" s="3"/>
      <c r="K58" s="10" t="e">
        <f t="shared" si="0"/>
        <v>#REF!</v>
      </c>
      <c r="L58" s="11" t="str">
        <f t="shared" si="1"/>
        <v>1837 SVEUČILIŠTE U ZAGREBU - GRAĐEVINSKI FAKULTET</v>
      </c>
      <c r="M58" s="11">
        <v>1837</v>
      </c>
      <c r="N58" s="12" t="s">
        <v>270</v>
      </c>
      <c r="O58" s="13" t="s">
        <v>28</v>
      </c>
      <c r="P58" s="12" t="s">
        <v>271</v>
      </c>
      <c r="Q58" s="12" t="s">
        <v>23</v>
      </c>
      <c r="R58" s="15">
        <v>3227120</v>
      </c>
      <c r="S58" s="16" t="s">
        <v>272</v>
      </c>
      <c r="T58" s="17" t="s">
        <v>32</v>
      </c>
      <c r="U58" s="18" t="s">
        <v>33</v>
      </c>
      <c r="V58" s="3"/>
      <c r="W58" s="3"/>
      <c r="X58" s="3"/>
      <c r="Y58" s="3"/>
      <c r="Z58" s="3"/>
    </row>
    <row r="59" spans="1:26" ht="12.75" customHeight="1">
      <c r="A59" s="25"/>
      <c r="B59" s="25" t="s">
        <v>131</v>
      </c>
      <c r="C59" s="32">
        <f t="shared" ref="C59:E59" si="13">+C55-C56+C57+C58</f>
        <v>0</v>
      </c>
      <c r="D59" s="32">
        <f t="shared" si="13"/>
        <v>0</v>
      </c>
      <c r="E59" s="32">
        <f t="shared" si="13"/>
        <v>0</v>
      </c>
      <c r="F59" s="3"/>
      <c r="G59" s="3"/>
      <c r="H59" s="3"/>
      <c r="I59" s="3"/>
      <c r="J59" s="3"/>
      <c r="K59" s="10" t="e">
        <f t="shared" si="0"/>
        <v>#REF!</v>
      </c>
      <c r="L59" s="11" t="str">
        <f t="shared" si="1"/>
        <v>2080 SVEUČILIŠTE U ZAGREBU - GRAFIČKI FAKULTET</v>
      </c>
      <c r="M59" s="11">
        <v>2080</v>
      </c>
      <c r="N59" s="12" t="s">
        <v>273</v>
      </c>
      <c r="O59" s="13" t="s">
        <v>28</v>
      </c>
      <c r="P59" s="12" t="s">
        <v>274</v>
      </c>
      <c r="Q59" s="12" t="s">
        <v>23</v>
      </c>
      <c r="R59" s="15">
        <v>3219763</v>
      </c>
      <c r="S59" s="16" t="s">
        <v>275</v>
      </c>
      <c r="T59" s="17" t="s">
        <v>32</v>
      </c>
      <c r="U59" s="18" t="s">
        <v>33</v>
      </c>
      <c r="V59" s="3"/>
      <c r="W59" s="3"/>
      <c r="X59" s="3"/>
      <c r="Y59" s="3"/>
      <c r="Z59" s="3"/>
    </row>
    <row r="60" spans="1:26" ht="12.75" customHeight="1">
      <c r="A60" s="2"/>
      <c r="B60" s="308"/>
      <c r="C60" s="307"/>
      <c r="D60" s="307"/>
      <c r="E60" s="307"/>
      <c r="F60" s="3"/>
      <c r="G60" s="3"/>
      <c r="H60" s="3"/>
      <c r="I60" s="3"/>
      <c r="J60" s="3"/>
      <c r="K60" s="10" t="e">
        <f t="shared" si="0"/>
        <v>#REF!</v>
      </c>
      <c r="L60" s="11" t="str">
        <f t="shared" si="1"/>
        <v xml:space="preserve">2135 SVEUČILIŠTE U ZAGREBU - KATOLIČKI BOGOSLOVNI FAKULTET </v>
      </c>
      <c r="M60" s="11">
        <v>2135</v>
      </c>
      <c r="N60" s="12" t="s">
        <v>276</v>
      </c>
      <c r="O60" s="13" t="s">
        <v>28</v>
      </c>
      <c r="P60" s="12" t="s">
        <v>277</v>
      </c>
      <c r="Q60" s="12" t="s">
        <v>23</v>
      </c>
      <c r="R60" s="15">
        <v>3703088</v>
      </c>
      <c r="S60" s="16">
        <v>48987767944</v>
      </c>
      <c r="T60" s="17" t="s">
        <v>32</v>
      </c>
      <c r="U60" s="18" t="s">
        <v>33</v>
      </c>
      <c r="V60" s="3"/>
      <c r="W60" s="3"/>
      <c r="X60" s="3"/>
      <c r="Y60" s="3"/>
      <c r="Z60" s="3"/>
    </row>
    <row r="61" spans="1:26" ht="12.75" customHeight="1">
      <c r="A61" s="49"/>
      <c r="B61" s="49" t="s">
        <v>139</v>
      </c>
      <c r="C61" s="50">
        <f t="shared" ref="C61:E61" si="14">+C50+C59</f>
        <v>-0.21905845403671265</v>
      </c>
      <c r="D61" s="50">
        <f t="shared" si="14"/>
        <v>1.1032063364982605</v>
      </c>
      <c r="E61" s="50">
        <f t="shared" si="14"/>
        <v>0.90810886025428772</v>
      </c>
      <c r="F61" s="3"/>
      <c r="G61" s="3"/>
      <c r="H61" s="3"/>
      <c r="I61" s="3"/>
      <c r="J61" s="3"/>
      <c r="K61" s="10" t="e">
        <f t="shared" si="0"/>
        <v>#REF!</v>
      </c>
      <c r="L61" s="11" t="str">
        <f t="shared" si="1"/>
        <v>2006 SVEUČILIŠTE U ZAGREBU - KINEZIOLOŠKI FAKULTET</v>
      </c>
      <c r="M61" s="11">
        <v>2006</v>
      </c>
      <c r="N61" s="12" t="s">
        <v>278</v>
      </c>
      <c r="O61" s="13" t="s">
        <v>28</v>
      </c>
      <c r="P61" s="12" t="s">
        <v>279</v>
      </c>
      <c r="Q61" s="12" t="s">
        <v>23</v>
      </c>
      <c r="R61" s="15">
        <v>3274080</v>
      </c>
      <c r="S61" s="16" t="s">
        <v>280</v>
      </c>
      <c r="T61" s="17" t="s">
        <v>32</v>
      </c>
      <c r="U61" s="18" t="s">
        <v>33</v>
      </c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10" t="e">
        <f t="shared" si="0"/>
        <v>#REF!</v>
      </c>
      <c r="L62" s="11" t="str">
        <f t="shared" si="1"/>
        <v>1888 SVEUČILIŠTE U ZAGREBU - MEDICINSKI FAKULTET</v>
      </c>
      <c r="M62" s="11">
        <v>1888</v>
      </c>
      <c r="N62" s="12" t="s">
        <v>281</v>
      </c>
      <c r="O62" s="13" t="s">
        <v>28</v>
      </c>
      <c r="P62" s="12" t="s">
        <v>282</v>
      </c>
      <c r="Q62" s="12" t="s">
        <v>23</v>
      </c>
      <c r="R62" s="15">
        <v>3270211</v>
      </c>
      <c r="S62" s="16" t="s">
        <v>283</v>
      </c>
      <c r="T62" s="17" t="s">
        <v>32</v>
      </c>
      <c r="U62" s="18" t="s">
        <v>33</v>
      </c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10" t="e">
        <f t="shared" si="0"/>
        <v>#REF!</v>
      </c>
      <c r="L63" s="11" t="str">
        <f t="shared" si="1"/>
        <v>2071 SVEUČILIŠTE U ZAGREBU - METALURŠKI FAKULTET SISAK</v>
      </c>
      <c r="M63" s="11">
        <v>2071</v>
      </c>
      <c r="N63" s="12" t="s">
        <v>284</v>
      </c>
      <c r="O63" s="13" t="s">
        <v>28</v>
      </c>
      <c r="P63" s="12" t="s">
        <v>285</v>
      </c>
      <c r="Q63" s="12" t="s">
        <v>286</v>
      </c>
      <c r="R63" s="15">
        <v>3313786</v>
      </c>
      <c r="S63" s="16" t="s">
        <v>287</v>
      </c>
      <c r="T63" s="17" t="s">
        <v>32</v>
      </c>
      <c r="U63" s="18" t="s">
        <v>33</v>
      </c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10" t="e">
        <f t="shared" si="0"/>
        <v>#REF!</v>
      </c>
      <c r="L64" s="11" t="str">
        <f t="shared" si="1"/>
        <v>1999 SVEUČILIŠTE U ZAGREBU - MUZIČKA AKADEMIJA</v>
      </c>
      <c r="M64" s="11">
        <v>1999</v>
      </c>
      <c r="N64" s="12" t="s">
        <v>288</v>
      </c>
      <c r="O64" s="13" t="s">
        <v>28</v>
      </c>
      <c r="P64" s="12" t="s">
        <v>289</v>
      </c>
      <c r="Q64" s="12" t="s">
        <v>23</v>
      </c>
      <c r="R64" s="15">
        <v>3205002</v>
      </c>
      <c r="S64" s="16" t="s">
        <v>290</v>
      </c>
      <c r="T64" s="17" t="s">
        <v>32</v>
      </c>
      <c r="U64" s="18" t="s">
        <v>33</v>
      </c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10" t="e">
        <f t="shared" si="0"/>
        <v>#REF!</v>
      </c>
      <c r="L65" s="11" t="str">
        <f t="shared" si="1"/>
        <v>1915 SVEUČILIŠTE U ZAGREBU - PRAVNI FAKULTET</v>
      </c>
      <c r="M65" s="53">
        <v>1915</v>
      </c>
      <c r="N65" s="12" t="s">
        <v>291</v>
      </c>
      <c r="O65" s="13" t="s">
        <v>28</v>
      </c>
      <c r="P65" s="12" t="s">
        <v>216</v>
      </c>
      <c r="Q65" s="12" t="s">
        <v>23</v>
      </c>
      <c r="R65" s="15">
        <v>3225909</v>
      </c>
      <c r="S65" s="16" t="s">
        <v>292</v>
      </c>
      <c r="T65" s="17" t="s">
        <v>32</v>
      </c>
      <c r="U65" s="18" t="s">
        <v>33</v>
      </c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10" t="e">
        <f t="shared" si="0"/>
        <v>#REF!</v>
      </c>
      <c r="L66" s="11" t="str">
        <f t="shared" si="1"/>
        <v>1845 SVEUČILIŠTE U ZAGREBU - PREHRAMBENO BIOTEHNOLOŠKI FAKULTET</v>
      </c>
      <c r="M66" s="11">
        <v>1845</v>
      </c>
      <c r="N66" s="12" t="s">
        <v>293</v>
      </c>
      <c r="O66" s="13" t="s">
        <v>28</v>
      </c>
      <c r="P66" s="12" t="s">
        <v>294</v>
      </c>
      <c r="Q66" s="12" t="s">
        <v>23</v>
      </c>
      <c r="R66" s="15">
        <v>3207102</v>
      </c>
      <c r="S66" s="16" t="s">
        <v>295</v>
      </c>
      <c r="T66" s="17" t="s">
        <v>32</v>
      </c>
      <c r="U66" s="18" t="s">
        <v>33</v>
      </c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10" t="e">
        <f t="shared" si="0"/>
        <v>#REF!</v>
      </c>
      <c r="L67" s="11" t="str">
        <f t="shared" si="1"/>
        <v>1781 SVEUČILIŠTE U ZAGREBU - PRIRODOSLOVNO-MATEMATIČKI FAKULTET</v>
      </c>
      <c r="M67" s="11">
        <v>1781</v>
      </c>
      <c r="N67" s="12" t="s">
        <v>296</v>
      </c>
      <c r="O67" s="13" t="s">
        <v>28</v>
      </c>
      <c r="P67" s="12" t="s">
        <v>297</v>
      </c>
      <c r="Q67" s="12" t="s">
        <v>23</v>
      </c>
      <c r="R67" s="15">
        <v>3270149</v>
      </c>
      <c r="S67" s="16" t="s">
        <v>298</v>
      </c>
      <c r="T67" s="17" t="s">
        <v>32</v>
      </c>
      <c r="U67" s="18" t="s">
        <v>33</v>
      </c>
      <c r="V67" s="3"/>
      <c r="W67" s="3"/>
      <c r="X67" s="3"/>
      <c r="Y67" s="3"/>
      <c r="Z67" s="3"/>
    </row>
    <row r="68" spans="1:26" ht="12.75" hidden="1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10" t="e">
        <f t="shared" si="0"/>
        <v>#REF!</v>
      </c>
      <c r="L68" s="11" t="str">
        <f t="shared" si="1"/>
        <v>2047 SVEUČILIŠTE U ZAGREBU - RUDARSKO-GEOLOŠKO-NAFTNI FAKULTET</v>
      </c>
      <c r="M68" s="11">
        <v>2047</v>
      </c>
      <c r="N68" s="12" t="s">
        <v>299</v>
      </c>
      <c r="O68" s="13" t="s">
        <v>28</v>
      </c>
      <c r="P68" s="14" t="s">
        <v>294</v>
      </c>
      <c r="Q68" s="14" t="s">
        <v>23</v>
      </c>
      <c r="R68" s="15">
        <v>3207005</v>
      </c>
      <c r="S68" s="16" t="s">
        <v>300</v>
      </c>
      <c r="T68" s="17" t="s">
        <v>32</v>
      </c>
      <c r="U68" s="18" t="s">
        <v>33</v>
      </c>
      <c r="V68" s="3"/>
      <c r="W68" s="3"/>
      <c r="X68" s="3"/>
      <c r="Y68" s="3"/>
      <c r="Z68" s="3"/>
    </row>
    <row r="69" spans="1:26" ht="12.75" hidden="1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10" t="e">
        <f t="shared" si="0"/>
        <v>#REF!</v>
      </c>
      <c r="L69" s="11" t="str">
        <f t="shared" si="1"/>
        <v>1870 SVEUČILIŠTE U ZAGREBU - STOMATOLOŠKI FAKULTET</v>
      </c>
      <c r="M69" s="11">
        <v>1870</v>
      </c>
      <c r="N69" s="12" t="s">
        <v>301</v>
      </c>
      <c r="O69" s="13" t="s">
        <v>28</v>
      </c>
      <c r="P69" s="12" t="s">
        <v>302</v>
      </c>
      <c r="Q69" s="12" t="s">
        <v>23</v>
      </c>
      <c r="R69" s="15">
        <v>3204995</v>
      </c>
      <c r="S69" s="16" t="s">
        <v>303</v>
      </c>
      <c r="T69" s="17" t="s">
        <v>32</v>
      </c>
      <c r="U69" s="18" t="s">
        <v>33</v>
      </c>
      <c r="V69" s="3"/>
      <c r="W69" s="3"/>
      <c r="X69" s="3"/>
      <c r="Y69" s="3"/>
      <c r="Z69" s="3"/>
    </row>
    <row r="70" spans="1:26" ht="12.75" hidden="1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10" t="e">
        <f t="shared" si="0"/>
        <v>#REF!</v>
      </c>
      <c r="L70" s="11" t="str">
        <f t="shared" si="1"/>
        <v>1896 SVEUČILIŠTE U ZAGREBU - FAKULTET ŠUMARSTVA I DRVNE TEHNOLOGIJE</v>
      </c>
      <c r="M70" s="11">
        <v>1896</v>
      </c>
      <c r="N70" s="12" t="s">
        <v>304</v>
      </c>
      <c r="O70" s="13" t="s">
        <v>28</v>
      </c>
      <c r="P70" s="12" t="s">
        <v>219</v>
      </c>
      <c r="Q70" s="12" t="s">
        <v>23</v>
      </c>
      <c r="R70" s="15">
        <v>3281485</v>
      </c>
      <c r="S70" s="16" t="s">
        <v>305</v>
      </c>
      <c r="T70" s="17" t="s">
        <v>32</v>
      </c>
      <c r="U70" s="18" t="s">
        <v>33</v>
      </c>
      <c r="V70" s="3"/>
      <c r="W70" s="3"/>
      <c r="X70" s="3"/>
      <c r="Y70" s="3"/>
      <c r="Z70" s="3"/>
    </row>
    <row r="71" spans="1:26" ht="12.75" hidden="1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10" t="e">
        <f t="shared" si="0"/>
        <v>#REF!</v>
      </c>
      <c r="L71" s="11" t="str">
        <f t="shared" si="1"/>
        <v>1804 SVEUČILIŠTE U ZAGREBU - TEKSTILNO TEHNOLOŠKI FAKULTET</v>
      </c>
      <c r="M71" s="11">
        <v>1804</v>
      </c>
      <c r="N71" s="12" t="s">
        <v>306</v>
      </c>
      <c r="O71" s="13" t="s">
        <v>28</v>
      </c>
      <c r="P71" s="12" t="s">
        <v>307</v>
      </c>
      <c r="Q71" s="12" t="s">
        <v>23</v>
      </c>
      <c r="R71" s="15">
        <v>3207064</v>
      </c>
      <c r="S71" s="16" t="s">
        <v>308</v>
      </c>
      <c r="T71" s="17" t="s">
        <v>32</v>
      </c>
      <c r="U71" s="18" t="s">
        <v>33</v>
      </c>
      <c r="V71" s="3"/>
      <c r="W71" s="3"/>
      <c r="X71" s="3"/>
      <c r="Y71" s="3"/>
      <c r="Z71" s="3"/>
    </row>
    <row r="72" spans="1:26" ht="12.75" hidden="1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10" t="e">
        <f t="shared" si="0"/>
        <v>#REF!</v>
      </c>
      <c r="L72" s="11" t="str">
        <f t="shared" si="1"/>
        <v>1940 SVEUČILIŠTE U ZAGREBU - UČITELJSKI FAKULTET</v>
      </c>
      <c r="M72" s="11">
        <v>1940</v>
      </c>
      <c r="N72" s="12" t="s">
        <v>309</v>
      </c>
      <c r="O72" s="13" t="s">
        <v>28</v>
      </c>
      <c r="P72" s="12" t="s">
        <v>310</v>
      </c>
      <c r="Q72" s="12" t="s">
        <v>23</v>
      </c>
      <c r="R72" s="15">
        <v>1422545</v>
      </c>
      <c r="S72" s="16" t="s">
        <v>311</v>
      </c>
      <c r="T72" s="17" t="s">
        <v>32</v>
      </c>
      <c r="U72" s="18" t="s">
        <v>33</v>
      </c>
      <c r="V72" s="3"/>
      <c r="W72" s="3"/>
      <c r="X72" s="3"/>
      <c r="Y72" s="3"/>
      <c r="Z72" s="3"/>
    </row>
    <row r="73" spans="1:26" ht="12.75" hidden="1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10" t="e">
        <f t="shared" si="0"/>
        <v>#REF!</v>
      </c>
      <c r="L73" s="11" t="str">
        <f t="shared" si="1"/>
        <v>2022 SVEUČILIŠTE U ZAGREBU - VETERINARSKI FAKULTET</v>
      </c>
      <c r="M73" s="11">
        <v>2022</v>
      </c>
      <c r="N73" s="12" t="s">
        <v>312</v>
      </c>
      <c r="O73" s="13" t="s">
        <v>28</v>
      </c>
      <c r="P73" s="12" t="s">
        <v>313</v>
      </c>
      <c r="Q73" s="12" t="s">
        <v>23</v>
      </c>
      <c r="R73" s="15">
        <v>3225755</v>
      </c>
      <c r="S73" s="16" t="s">
        <v>314</v>
      </c>
      <c r="T73" s="17" t="s">
        <v>32</v>
      </c>
      <c r="U73" s="18" t="s">
        <v>33</v>
      </c>
      <c r="V73" s="3"/>
      <c r="W73" s="3"/>
      <c r="X73" s="3"/>
      <c r="Y73" s="3"/>
      <c r="Z73" s="3"/>
    </row>
    <row r="74" spans="1:26" ht="12.75" hidden="1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10" t="e">
        <f t="shared" si="0"/>
        <v>#REF!</v>
      </c>
      <c r="L74" s="11" t="str">
        <f t="shared" si="1"/>
        <v>22427 TEHNIČKO VELEUČILIŠTE U ZAGREBU</v>
      </c>
      <c r="M74" s="11">
        <v>22427</v>
      </c>
      <c r="N74" s="12" t="s">
        <v>315</v>
      </c>
      <c r="O74" s="13" t="s">
        <v>36</v>
      </c>
      <c r="P74" s="12" t="s">
        <v>316</v>
      </c>
      <c r="Q74" s="12" t="s">
        <v>23</v>
      </c>
      <c r="R74" s="15">
        <v>1398270</v>
      </c>
      <c r="S74" s="16" t="s">
        <v>317</v>
      </c>
      <c r="T74" s="17" t="s">
        <v>32</v>
      </c>
      <c r="U74" s="18" t="s">
        <v>33</v>
      </c>
      <c r="V74" s="3"/>
      <c r="W74" s="3"/>
      <c r="X74" s="3"/>
      <c r="Y74" s="3"/>
      <c r="Z74" s="3"/>
    </row>
    <row r="75" spans="1:26" ht="12.75" hidden="1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10" t="e">
        <f t="shared" si="0"/>
        <v>#REF!</v>
      </c>
      <c r="L75" s="11" t="str">
        <f t="shared" si="1"/>
        <v>50848 VELEUČILIŠTE HRVATSKO ZAGORJE KRAPINA</v>
      </c>
      <c r="M75" s="11">
        <v>50848</v>
      </c>
      <c r="N75" s="12" t="s">
        <v>318</v>
      </c>
      <c r="O75" s="13" t="s">
        <v>36</v>
      </c>
      <c r="P75" s="12" t="s">
        <v>319</v>
      </c>
      <c r="Q75" s="12" t="s">
        <v>320</v>
      </c>
      <c r="R75" s="15">
        <v>2271354</v>
      </c>
      <c r="S75" s="16" t="s">
        <v>321</v>
      </c>
      <c r="T75" s="17" t="s">
        <v>32</v>
      </c>
      <c r="U75" s="18" t="s">
        <v>33</v>
      </c>
      <c r="V75" s="3"/>
      <c r="W75" s="3"/>
      <c r="X75" s="3"/>
      <c r="Y75" s="3"/>
      <c r="Z75" s="3"/>
    </row>
    <row r="76" spans="1:26" ht="12.75" hidden="1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10" t="e">
        <f t="shared" si="0"/>
        <v>#REF!</v>
      </c>
      <c r="L76" s="11" t="str">
        <f t="shared" si="1"/>
        <v>38446 VELEUČILIŠTE LAVOSLAV RUŽIČKA U VUKOVARU</v>
      </c>
      <c r="M76" s="11">
        <v>38446</v>
      </c>
      <c r="N76" s="12" t="s">
        <v>322</v>
      </c>
      <c r="O76" s="13" t="s">
        <v>36</v>
      </c>
      <c r="P76" s="12" t="s">
        <v>323</v>
      </c>
      <c r="Q76" s="12" t="s">
        <v>324</v>
      </c>
      <c r="R76" s="15">
        <v>1970828</v>
      </c>
      <c r="S76" s="16" t="s">
        <v>325</v>
      </c>
      <c r="T76" s="17" t="s">
        <v>32</v>
      </c>
      <c r="U76" s="18" t="s">
        <v>33</v>
      </c>
      <c r="V76" s="3"/>
      <c r="W76" s="3"/>
      <c r="X76" s="3"/>
      <c r="Y76" s="3"/>
      <c r="Z76" s="3"/>
    </row>
    <row r="77" spans="1:26" ht="12.75" hidden="1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10" t="e">
        <f t="shared" si="0"/>
        <v>#REF!</v>
      </c>
      <c r="L77" s="11" t="str">
        <f t="shared" si="1"/>
        <v>38438 VELEUČILIŠTE MARKO MARULIĆ U KNINU</v>
      </c>
      <c r="M77" s="11">
        <v>38438</v>
      </c>
      <c r="N77" s="12" t="s">
        <v>326</v>
      </c>
      <c r="O77" s="13" t="s">
        <v>36</v>
      </c>
      <c r="P77" s="12" t="s">
        <v>327</v>
      </c>
      <c r="Q77" s="12" t="s">
        <v>328</v>
      </c>
      <c r="R77" s="15">
        <v>1963813</v>
      </c>
      <c r="S77" s="16" t="s">
        <v>329</v>
      </c>
      <c r="T77" s="17" t="s">
        <v>32</v>
      </c>
      <c r="U77" s="18" t="s">
        <v>33</v>
      </c>
      <c r="V77" s="3"/>
      <c r="W77" s="3"/>
      <c r="X77" s="3"/>
      <c r="Y77" s="3"/>
      <c r="Z77" s="3"/>
    </row>
    <row r="78" spans="1:26" ht="12.75" hidden="1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10" t="e">
        <f t="shared" si="0"/>
        <v>#REF!</v>
      </c>
      <c r="L78" s="11" t="str">
        <f t="shared" si="1"/>
        <v>41185 VELEUČILIŠTE NIKOLA TESLA U GOSPIĆU</v>
      </c>
      <c r="M78" s="11">
        <v>41185</v>
      </c>
      <c r="N78" s="12" t="s">
        <v>330</v>
      </c>
      <c r="O78" s="13" t="s">
        <v>36</v>
      </c>
      <c r="P78" s="12" t="s">
        <v>331</v>
      </c>
      <c r="Q78" s="12" t="s">
        <v>332</v>
      </c>
      <c r="R78" s="15">
        <v>2103133</v>
      </c>
      <c r="S78" s="16" t="s">
        <v>333</v>
      </c>
      <c r="T78" s="17" t="s">
        <v>32</v>
      </c>
      <c r="U78" s="18" t="s">
        <v>33</v>
      </c>
      <c r="V78" s="3"/>
      <c r="W78" s="3"/>
      <c r="X78" s="3"/>
      <c r="Y78" s="3"/>
      <c r="Z78" s="3"/>
    </row>
    <row r="79" spans="1:26" ht="12.75" hidden="1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10" t="e">
        <f t="shared" si="0"/>
        <v>#REF!</v>
      </c>
      <c r="L79" s="11" t="str">
        <f t="shared" si="1"/>
        <v>21053 VELEUČILIŠTE U KARLOVCU</v>
      </c>
      <c r="M79" s="11">
        <v>21053</v>
      </c>
      <c r="N79" s="12" t="s">
        <v>334</v>
      </c>
      <c r="O79" s="13" t="s">
        <v>36</v>
      </c>
      <c r="P79" s="12" t="s">
        <v>335</v>
      </c>
      <c r="Q79" s="12" t="s">
        <v>336</v>
      </c>
      <c r="R79" s="15">
        <v>1286030</v>
      </c>
      <c r="S79" s="16" t="s">
        <v>337</v>
      </c>
      <c r="T79" s="17" t="s">
        <v>32</v>
      </c>
      <c r="U79" s="18" t="s">
        <v>33</v>
      </c>
      <c r="V79" s="3"/>
      <c r="W79" s="3"/>
      <c r="X79" s="3"/>
      <c r="Y79" s="3"/>
      <c r="Z79" s="3"/>
    </row>
    <row r="80" spans="1:26" ht="12.75" hidden="1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10" t="e">
        <f t="shared" si="0"/>
        <v>#REF!</v>
      </c>
      <c r="L80" s="11" t="str">
        <f t="shared" si="1"/>
        <v>22494 VELEUČILIŠTE U RIJECI</v>
      </c>
      <c r="M80" s="11">
        <v>22494</v>
      </c>
      <c r="N80" s="12" t="s">
        <v>338</v>
      </c>
      <c r="O80" s="13" t="s">
        <v>36</v>
      </c>
      <c r="P80" s="12" t="s">
        <v>339</v>
      </c>
      <c r="Q80" s="12" t="s">
        <v>124</v>
      </c>
      <c r="R80" s="15">
        <v>1387332</v>
      </c>
      <c r="S80" s="16" t="s">
        <v>340</v>
      </c>
      <c r="T80" s="17" t="s">
        <v>32</v>
      </c>
      <c r="U80" s="18" t="s">
        <v>33</v>
      </c>
      <c r="V80" s="3"/>
      <c r="W80" s="3"/>
      <c r="X80" s="3"/>
      <c r="Y80" s="3"/>
      <c r="Z80" s="3"/>
    </row>
    <row r="81" spans="1:26" ht="12.75" hidden="1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10" t="e">
        <f t="shared" si="0"/>
        <v>#REF!</v>
      </c>
      <c r="L81" s="11" t="str">
        <f t="shared" si="1"/>
        <v>22824 VELEUČILIŠTE U ŠIBENIKU</v>
      </c>
      <c r="M81" s="11">
        <v>22824</v>
      </c>
      <c r="N81" s="12" t="s">
        <v>341</v>
      </c>
      <c r="O81" s="13" t="s">
        <v>36</v>
      </c>
      <c r="P81" s="12" t="s">
        <v>342</v>
      </c>
      <c r="Q81" s="12" t="s">
        <v>343</v>
      </c>
      <c r="R81" s="15">
        <v>2100673</v>
      </c>
      <c r="S81" s="16" t="s">
        <v>344</v>
      </c>
      <c r="T81" s="17" t="s">
        <v>32</v>
      </c>
      <c r="U81" s="18" t="s">
        <v>33</v>
      </c>
      <c r="V81" s="3"/>
      <c r="W81" s="3"/>
      <c r="X81" s="3"/>
      <c r="Y81" s="3"/>
      <c r="Z81" s="3"/>
    </row>
    <row r="82" spans="1:26" ht="12.75" hidden="1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10" t="e">
        <f t="shared" si="0"/>
        <v>#REF!</v>
      </c>
      <c r="L82" s="11" t="str">
        <f t="shared" si="1"/>
        <v>42993 VELEUČILIŠTE U VIROVITICI</v>
      </c>
      <c r="M82" s="11">
        <v>42993</v>
      </c>
      <c r="N82" s="12" t="s">
        <v>345</v>
      </c>
      <c r="O82" s="13" t="s">
        <v>36</v>
      </c>
      <c r="P82" s="12" t="s">
        <v>346</v>
      </c>
      <c r="Q82" s="12" t="s">
        <v>347</v>
      </c>
      <c r="R82" s="15">
        <v>2282208</v>
      </c>
      <c r="S82" s="16" t="s">
        <v>348</v>
      </c>
      <c r="T82" s="17" t="s">
        <v>32</v>
      </c>
      <c r="U82" s="18" t="s">
        <v>33</v>
      </c>
      <c r="V82" s="3"/>
      <c r="W82" s="3"/>
      <c r="X82" s="3"/>
      <c r="Y82" s="3"/>
      <c r="Z82" s="3"/>
    </row>
    <row r="83" spans="1:26" ht="12.75" hidden="1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10" t="e">
        <f t="shared" si="0"/>
        <v>#REF!</v>
      </c>
      <c r="L83" s="11" t="str">
        <f t="shared" si="1"/>
        <v>22371 VISOKO GOSPODARSKO UČILIŠTE U KRIŽEVCIMA</v>
      </c>
      <c r="M83" s="11">
        <v>22371</v>
      </c>
      <c r="N83" s="12" t="s">
        <v>349</v>
      </c>
      <c r="O83" s="13" t="s">
        <v>36</v>
      </c>
      <c r="P83" s="12" t="s">
        <v>350</v>
      </c>
      <c r="Q83" s="12" t="s">
        <v>351</v>
      </c>
      <c r="R83" s="15">
        <v>1411942</v>
      </c>
      <c r="S83" s="16" t="s">
        <v>352</v>
      </c>
      <c r="T83" s="17" t="s">
        <v>32</v>
      </c>
      <c r="U83" s="18" t="s">
        <v>33</v>
      </c>
      <c r="V83" s="3"/>
      <c r="W83" s="3"/>
      <c r="X83" s="3"/>
      <c r="Y83" s="3"/>
      <c r="Z83" s="3"/>
    </row>
    <row r="84" spans="1:26" ht="12.75" hidden="1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10" t="e">
        <f t="shared" si="0"/>
        <v>#REF!</v>
      </c>
      <c r="L84" s="11" t="str">
        <f t="shared" si="1"/>
        <v>22832 ZDRAVSTVENO VELEUČILIŠTE</v>
      </c>
      <c r="M84" s="11">
        <v>22832</v>
      </c>
      <c r="N84" s="12" t="s">
        <v>353</v>
      </c>
      <c r="O84" s="13" t="s">
        <v>36</v>
      </c>
      <c r="P84" s="12" t="s">
        <v>354</v>
      </c>
      <c r="Q84" s="12" t="s">
        <v>23</v>
      </c>
      <c r="R84" s="15">
        <v>1274597</v>
      </c>
      <c r="S84" s="16" t="s">
        <v>355</v>
      </c>
      <c r="T84" s="17" t="s">
        <v>32</v>
      </c>
      <c r="U84" s="18" t="s">
        <v>33</v>
      </c>
      <c r="V84" s="3"/>
      <c r="W84" s="3"/>
      <c r="X84" s="3"/>
      <c r="Y84" s="3"/>
      <c r="Z84" s="3"/>
    </row>
    <row r="85" spans="1:26" ht="12.75" hidden="1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10" t="e">
        <f t="shared" si="0"/>
        <v>#REF!</v>
      </c>
      <c r="L85" s="11" t="str">
        <f t="shared" si="1"/>
        <v>2918 EKONOMSKI INSTITUT ZAGREB</v>
      </c>
      <c r="M85" s="11">
        <v>2918</v>
      </c>
      <c r="N85" s="12" t="s">
        <v>356</v>
      </c>
      <c r="O85" s="13" t="s">
        <v>36</v>
      </c>
      <c r="P85" s="12" t="s">
        <v>357</v>
      </c>
      <c r="Q85" s="12" t="s">
        <v>23</v>
      </c>
      <c r="R85" s="15">
        <v>3219925</v>
      </c>
      <c r="S85" s="16" t="s">
        <v>358</v>
      </c>
      <c r="T85" s="17" t="s">
        <v>359</v>
      </c>
      <c r="U85" s="18" t="s">
        <v>360</v>
      </c>
      <c r="V85" s="3"/>
      <c r="W85" s="3"/>
      <c r="X85" s="3"/>
      <c r="Y85" s="3"/>
      <c r="Z85" s="3"/>
    </row>
    <row r="86" spans="1:26" ht="12.75" hidden="1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10" t="e">
        <f t="shared" si="0"/>
        <v>#REF!</v>
      </c>
      <c r="L86" s="11" t="str">
        <f t="shared" si="1"/>
        <v xml:space="preserve">22525 HRVATSKI GEOLOŠKI INSTITUT </v>
      </c>
      <c r="M86" s="11">
        <v>22525</v>
      </c>
      <c r="N86" s="12" t="s">
        <v>361</v>
      </c>
      <c r="O86" s="13" t="s">
        <v>36</v>
      </c>
      <c r="P86" s="12" t="s">
        <v>362</v>
      </c>
      <c r="Q86" s="12" t="s">
        <v>23</v>
      </c>
      <c r="R86" s="15">
        <v>3219518</v>
      </c>
      <c r="S86" s="16" t="s">
        <v>363</v>
      </c>
      <c r="T86" s="17" t="s">
        <v>359</v>
      </c>
      <c r="U86" s="18" t="s">
        <v>360</v>
      </c>
      <c r="V86" s="3"/>
      <c r="W86" s="3"/>
      <c r="X86" s="3"/>
      <c r="Y86" s="3"/>
      <c r="Z86" s="3"/>
    </row>
    <row r="87" spans="1:26" ht="12.75" hidden="1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10" t="e">
        <f t="shared" si="0"/>
        <v>#REF!</v>
      </c>
      <c r="L87" s="11" t="str">
        <f t="shared" si="1"/>
        <v>2934 HRVATSKI INSTITUT ZA POVIJEST</v>
      </c>
      <c r="M87" s="11">
        <v>2934</v>
      </c>
      <c r="N87" s="12" t="s">
        <v>364</v>
      </c>
      <c r="O87" s="13" t="s">
        <v>36</v>
      </c>
      <c r="P87" s="12" t="s">
        <v>365</v>
      </c>
      <c r="Q87" s="12" t="s">
        <v>23</v>
      </c>
      <c r="R87" s="15">
        <v>3207153</v>
      </c>
      <c r="S87" s="16" t="s">
        <v>366</v>
      </c>
      <c r="T87" s="17" t="s">
        <v>359</v>
      </c>
      <c r="U87" s="18" t="s">
        <v>360</v>
      </c>
      <c r="V87" s="3"/>
      <c r="W87" s="3"/>
      <c r="X87" s="3"/>
      <c r="Y87" s="3"/>
      <c r="Z87" s="3"/>
    </row>
    <row r="88" spans="1:26" ht="12.75" hidden="1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10" t="e">
        <f t="shared" si="0"/>
        <v>#REF!</v>
      </c>
      <c r="L88" s="11" t="str">
        <f t="shared" si="1"/>
        <v>2967 HRVATSKI ŠUMARSKI INSTITUT</v>
      </c>
      <c r="M88" s="11">
        <v>2967</v>
      </c>
      <c r="N88" s="12" t="s">
        <v>367</v>
      </c>
      <c r="O88" s="13" t="s">
        <v>36</v>
      </c>
      <c r="P88" s="12" t="s">
        <v>368</v>
      </c>
      <c r="Q88" s="12" t="s">
        <v>369</v>
      </c>
      <c r="R88" s="15">
        <v>3115879</v>
      </c>
      <c r="S88" s="16" t="s">
        <v>370</v>
      </c>
      <c r="T88" s="17" t="s">
        <v>359</v>
      </c>
      <c r="U88" s="18" t="s">
        <v>360</v>
      </c>
      <c r="V88" s="3"/>
      <c r="W88" s="3"/>
      <c r="X88" s="3"/>
      <c r="Y88" s="3"/>
      <c r="Z88" s="3"/>
    </row>
    <row r="89" spans="1:26" ht="12.75" hidden="1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10" t="e">
        <f t="shared" si="0"/>
        <v>#REF!</v>
      </c>
      <c r="L89" s="11" t="str">
        <f t="shared" si="1"/>
        <v>2983 HRVATSKI VETERINARSKI INSTITUT</v>
      </c>
      <c r="M89" s="11">
        <v>2983</v>
      </c>
      <c r="N89" s="12" t="s">
        <v>371</v>
      </c>
      <c r="O89" s="13" t="s">
        <v>36</v>
      </c>
      <c r="P89" s="12" t="s">
        <v>372</v>
      </c>
      <c r="Q89" s="12" t="s">
        <v>23</v>
      </c>
      <c r="R89" s="15">
        <v>3274098</v>
      </c>
      <c r="S89" s="16" t="s">
        <v>373</v>
      </c>
      <c r="T89" s="17" t="s">
        <v>359</v>
      </c>
      <c r="U89" s="18" t="s">
        <v>360</v>
      </c>
      <c r="V89" s="3"/>
      <c r="W89" s="3"/>
      <c r="X89" s="3"/>
      <c r="Y89" s="3"/>
      <c r="Z89" s="3"/>
    </row>
    <row r="90" spans="1:26" ht="12.75" hidden="1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10" t="e">
        <f t="shared" si="0"/>
        <v>#REF!</v>
      </c>
      <c r="L90" s="11" t="str">
        <f t="shared" si="1"/>
        <v>3105 INSTITUT DRUŠTVENIH ZNANOSTI IVO PILAR</v>
      </c>
      <c r="M90" s="11">
        <v>3105</v>
      </c>
      <c r="N90" s="12" t="s">
        <v>374</v>
      </c>
      <c r="O90" s="13" t="s">
        <v>36</v>
      </c>
      <c r="P90" s="12" t="s">
        <v>375</v>
      </c>
      <c r="Q90" s="12" t="s">
        <v>23</v>
      </c>
      <c r="R90" s="15">
        <v>3793028</v>
      </c>
      <c r="S90" s="16" t="s">
        <v>376</v>
      </c>
      <c r="T90" s="17" t="s">
        <v>359</v>
      </c>
      <c r="U90" s="18" t="s">
        <v>360</v>
      </c>
      <c r="V90" s="3"/>
      <c r="W90" s="3"/>
      <c r="X90" s="3"/>
      <c r="Y90" s="3"/>
      <c r="Z90" s="3"/>
    </row>
    <row r="91" spans="1:26" ht="12.75" hidden="1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10" t="e">
        <f t="shared" si="0"/>
        <v>#REF!</v>
      </c>
      <c r="L91" s="11" t="str">
        <f t="shared" si="1"/>
        <v>3041 INSTITUT RUĐER BOŠKOVIĆ</v>
      </c>
      <c r="M91" s="11">
        <v>3041</v>
      </c>
      <c r="N91" s="12" t="s">
        <v>377</v>
      </c>
      <c r="O91" s="13" t="s">
        <v>36</v>
      </c>
      <c r="P91" s="12" t="s">
        <v>378</v>
      </c>
      <c r="Q91" s="12" t="s">
        <v>23</v>
      </c>
      <c r="R91" s="15">
        <v>3270289</v>
      </c>
      <c r="S91" s="16" t="s">
        <v>379</v>
      </c>
      <c r="T91" s="17" t="s">
        <v>359</v>
      </c>
      <c r="U91" s="18" t="s">
        <v>360</v>
      </c>
      <c r="V91" s="3"/>
      <c r="W91" s="3"/>
      <c r="X91" s="3"/>
      <c r="Y91" s="3"/>
      <c r="Z91" s="3"/>
    </row>
    <row r="92" spans="1:26" ht="12.75" hidden="1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10" t="e">
        <f t="shared" si="0"/>
        <v>#REF!</v>
      </c>
      <c r="L92" s="11" t="str">
        <f t="shared" si="1"/>
        <v>3113 INSTITUT ZA ANTROPOLOGIJU</v>
      </c>
      <c r="M92" s="11">
        <v>3113</v>
      </c>
      <c r="N92" s="12" t="s">
        <v>380</v>
      </c>
      <c r="O92" s="13" t="s">
        <v>36</v>
      </c>
      <c r="P92" s="12" t="s">
        <v>381</v>
      </c>
      <c r="Q92" s="12" t="s">
        <v>23</v>
      </c>
      <c r="R92" s="15">
        <v>3817121</v>
      </c>
      <c r="S92" s="16" t="s">
        <v>382</v>
      </c>
      <c r="T92" s="17" t="s">
        <v>359</v>
      </c>
      <c r="U92" s="18" t="s">
        <v>360</v>
      </c>
      <c r="V92" s="3"/>
      <c r="W92" s="3"/>
      <c r="X92" s="3"/>
      <c r="Y92" s="3"/>
      <c r="Z92" s="3"/>
    </row>
    <row r="93" spans="1:26" ht="12.75" hidden="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10" t="e">
        <f t="shared" si="0"/>
        <v>#REF!</v>
      </c>
      <c r="L93" s="11" t="str">
        <f t="shared" si="1"/>
        <v>3121 INSTITUT ZA ARHEOLOGIJU</v>
      </c>
      <c r="M93" s="11">
        <v>3121</v>
      </c>
      <c r="N93" s="12" t="s">
        <v>383</v>
      </c>
      <c r="O93" s="13" t="s">
        <v>36</v>
      </c>
      <c r="P93" s="12" t="s">
        <v>381</v>
      </c>
      <c r="Q93" s="12" t="s">
        <v>23</v>
      </c>
      <c r="R93" s="15">
        <v>3937658</v>
      </c>
      <c r="S93" s="16" t="s">
        <v>384</v>
      </c>
      <c r="T93" s="17" t="s">
        <v>359</v>
      </c>
      <c r="U93" s="18" t="s">
        <v>360</v>
      </c>
      <c r="V93" s="3"/>
      <c r="W93" s="3"/>
      <c r="X93" s="3"/>
      <c r="Y93" s="3"/>
      <c r="Z93" s="3"/>
    </row>
    <row r="94" spans="1:26" ht="12.75" hidden="1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10" t="e">
        <f t="shared" si="0"/>
        <v>#REF!</v>
      </c>
      <c r="L94" s="11" t="str">
        <f t="shared" si="1"/>
        <v>3050 INSTITUT ZA DRUŠTVENA ISTRAŽIVANJA</v>
      </c>
      <c r="M94" s="11">
        <v>3050</v>
      </c>
      <c r="N94" s="12" t="s">
        <v>385</v>
      </c>
      <c r="O94" s="13" t="s">
        <v>36</v>
      </c>
      <c r="P94" s="12" t="s">
        <v>386</v>
      </c>
      <c r="Q94" s="12" t="s">
        <v>23</v>
      </c>
      <c r="R94" s="15">
        <v>3205118</v>
      </c>
      <c r="S94" s="16" t="s">
        <v>387</v>
      </c>
      <c r="T94" s="17" t="s">
        <v>359</v>
      </c>
      <c r="U94" s="18" t="s">
        <v>360</v>
      </c>
      <c r="V94" s="3"/>
      <c r="W94" s="3"/>
      <c r="X94" s="3"/>
      <c r="Y94" s="3"/>
      <c r="Z94" s="3"/>
    </row>
    <row r="95" spans="1:26" ht="12.75" hidden="1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10" t="e">
        <f t="shared" si="0"/>
        <v>#REF!</v>
      </c>
      <c r="L95" s="11" t="str">
        <f t="shared" si="1"/>
        <v>3084 INSTITUT ZA ETNOLOGIJU I FOLKLORISTIKU</v>
      </c>
      <c r="M95" s="11">
        <v>3084</v>
      </c>
      <c r="N95" s="12" t="s">
        <v>388</v>
      </c>
      <c r="O95" s="13" t="s">
        <v>36</v>
      </c>
      <c r="P95" s="12" t="s">
        <v>389</v>
      </c>
      <c r="Q95" s="12" t="s">
        <v>23</v>
      </c>
      <c r="R95" s="15">
        <v>3724042</v>
      </c>
      <c r="S95" s="16" t="s">
        <v>390</v>
      </c>
      <c r="T95" s="17" t="s">
        <v>359</v>
      </c>
      <c r="U95" s="18" t="s">
        <v>360</v>
      </c>
      <c r="V95" s="3"/>
      <c r="W95" s="3"/>
      <c r="X95" s="3"/>
      <c r="Y95" s="3"/>
      <c r="Z95" s="3"/>
    </row>
    <row r="96" spans="1:26" ht="12.75" hidden="1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10" t="e">
        <f t="shared" si="0"/>
        <v>#REF!</v>
      </c>
      <c r="L96" s="11" t="str">
        <f t="shared" si="1"/>
        <v>3092 INSTITUT ZA FILOZOFIJU</v>
      </c>
      <c r="M96" s="11">
        <v>3092</v>
      </c>
      <c r="N96" s="12" t="s">
        <v>391</v>
      </c>
      <c r="O96" s="13" t="s">
        <v>36</v>
      </c>
      <c r="P96" s="12" t="s">
        <v>392</v>
      </c>
      <c r="Q96" s="12" t="s">
        <v>23</v>
      </c>
      <c r="R96" s="15">
        <v>3772047</v>
      </c>
      <c r="S96" s="16" t="s">
        <v>393</v>
      </c>
      <c r="T96" s="17" t="s">
        <v>359</v>
      </c>
      <c r="U96" s="18" t="s">
        <v>360</v>
      </c>
      <c r="V96" s="3"/>
      <c r="W96" s="3"/>
      <c r="X96" s="3"/>
      <c r="Y96" s="3"/>
      <c r="Z96" s="3"/>
    </row>
    <row r="97" spans="1:26" ht="12.75" hidden="1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10" t="e">
        <f t="shared" si="0"/>
        <v>#REF!</v>
      </c>
      <c r="L97" s="11" t="str">
        <f t="shared" si="1"/>
        <v>2975 INSTITUT ZA FIZIKU</v>
      </c>
      <c r="M97" s="11">
        <v>2975</v>
      </c>
      <c r="N97" s="12" t="s">
        <v>394</v>
      </c>
      <c r="O97" s="13" t="s">
        <v>36</v>
      </c>
      <c r="P97" s="12" t="s">
        <v>378</v>
      </c>
      <c r="Q97" s="12" t="s">
        <v>23</v>
      </c>
      <c r="R97" s="15">
        <v>3270424</v>
      </c>
      <c r="S97" s="16" t="s">
        <v>395</v>
      </c>
      <c r="T97" s="17" t="s">
        <v>359</v>
      </c>
      <c r="U97" s="18" t="s">
        <v>360</v>
      </c>
      <c r="V97" s="3"/>
      <c r="W97" s="3"/>
      <c r="X97" s="3"/>
      <c r="Y97" s="3"/>
      <c r="Z97" s="3"/>
    </row>
    <row r="98" spans="1:26" ht="12.75" hidden="1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10" t="e">
        <f t="shared" si="0"/>
        <v>#REF!</v>
      </c>
      <c r="L98" s="11" t="str">
        <f t="shared" si="1"/>
        <v>21061 INSTITUT ZA HRVATSKI JEZIK I JEZIKOSLOVLJE</v>
      </c>
      <c r="M98" s="11">
        <v>21061</v>
      </c>
      <c r="N98" s="12" t="s">
        <v>396</v>
      </c>
      <c r="O98" s="13" t="s">
        <v>36</v>
      </c>
      <c r="P98" s="12" t="s">
        <v>397</v>
      </c>
      <c r="Q98" s="12" t="s">
        <v>23</v>
      </c>
      <c r="R98" s="15">
        <v>1259571</v>
      </c>
      <c r="S98" s="16" t="s">
        <v>398</v>
      </c>
      <c r="T98" s="17" t="s">
        <v>359</v>
      </c>
      <c r="U98" s="18" t="s">
        <v>360</v>
      </c>
      <c r="V98" s="3"/>
      <c r="W98" s="3"/>
      <c r="X98" s="3"/>
      <c r="Y98" s="3"/>
      <c r="Z98" s="3"/>
    </row>
    <row r="99" spans="1:26" ht="12.75" hidden="1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10" t="e">
        <f t="shared" si="0"/>
        <v>#REF!</v>
      </c>
      <c r="L99" s="11" t="str">
        <f t="shared" si="1"/>
        <v>3025 INSTITUT ZA JADRANSKE KULTURE I MELIORACIJU KRŠA</v>
      </c>
      <c r="M99" s="11">
        <v>3025</v>
      </c>
      <c r="N99" s="12" t="s">
        <v>399</v>
      </c>
      <c r="O99" s="13" t="s">
        <v>36</v>
      </c>
      <c r="P99" s="12" t="s">
        <v>400</v>
      </c>
      <c r="Q99" s="12" t="s">
        <v>173</v>
      </c>
      <c r="R99" s="15">
        <v>3140792</v>
      </c>
      <c r="S99" s="16" t="s">
        <v>401</v>
      </c>
      <c r="T99" s="17" t="s">
        <v>359</v>
      </c>
      <c r="U99" s="18" t="s">
        <v>360</v>
      </c>
      <c r="V99" s="3"/>
      <c r="W99" s="3"/>
      <c r="X99" s="3"/>
      <c r="Y99" s="3"/>
      <c r="Z99" s="3"/>
    </row>
    <row r="100" spans="1:26" ht="12.75" hidden="1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0" t="e">
        <f t="shared" si="0"/>
        <v>#REF!</v>
      </c>
      <c r="L100" s="11" t="str">
        <f t="shared" si="1"/>
        <v>23286 INSTITUT ZA JAVNE FINANCIJE</v>
      </c>
      <c r="M100" s="11">
        <v>23286</v>
      </c>
      <c r="N100" s="12" t="s">
        <v>402</v>
      </c>
      <c r="O100" s="13" t="s">
        <v>36</v>
      </c>
      <c r="P100" s="12" t="s">
        <v>403</v>
      </c>
      <c r="Q100" s="12" t="s">
        <v>23</v>
      </c>
      <c r="R100" s="15">
        <v>3226344</v>
      </c>
      <c r="S100" s="16" t="s">
        <v>404</v>
      </c>
      <c r="T100" s="17" t="s">
        <v>359</v>
      </c>
      <c r="U100" s="18" t="s">
        <v>360</v>
      </c>
      <c r="V100" s="3"/>
      <c r="W100" s="3"/>
      <c r="X100" s="3"/>
      <c r="Y100" s="3"/>
      <c r="Z100" s="3"/>
    </row>
    <row r="101" spans="1:26" ht="12.75" hidden="1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0" t="e">
        <f t="shared" si="0"/>
        <v>#REF!</v>
      </c>
      <c r="L101" s="11" t="str">
        <f t="shared" si="1"/>
        <v>2959 INSTITUT ZA MEDICINSKA ISTRAŽIVANJA I MEDICINU RADA</v>
      </c>
      <c r="M101" s="11">
        <v>2959</v>
      </c>
      <c r="N101" s="12" t="s">
        <v>405</v>
      </c>
      <c r="O101" s="13" t="s">
        <v>36</v>
      </c>
      <c r="P101" s="12" t="s">
        <v>406</v>
      </c>
      <c r="Q101" s="12" t="s">
        <v>23</v>
      </c>
      <c r="R101" s="15">
        <v>3270475</v>
      </c>
      <c r="S101" s="16" t="s">
        <v>407</v>
      </c>
      <c r="T101" s="17" t="s">
        <v>359</v>
      </c>
      <c r="U101" s="18" t="s">
        <v>360</v>
      </c>
      <c r="V101" s="3"/>
      <c r="W101" s="3"/>
      <c r="X101" s="3"/>
      <c r="Y101" s="3"/>
      <c r="Z101" s="3"/>
    </row>
    <row r="102" spans="1:26" ht="12.75" hidden="1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0" t="e">
        <f t="shared" si="0"/>
        <v>#REF!</v>
      </c>
      <c r="L102" s="11" t="str">
        <f t="shared" si="1"/>
        <v>3009 INSTITUT ZA MIGRACIJE I NARODNOSTI</v>
      </c>
      <c r="M102" s="11">
        <v>3009</v>
      </c>
      <c r="N102" s="12" t="s">
        <v>408</v>
      </c>
      <c r="O102" s="13" t="s">
        <v>36</v>
      </c>
      <c r="P102" s="12" t="s">
        <v>409</v>
      </c>
      <c r="Q102" s="12" t="s">
        <v>23</v>
      </c>
      <c r="R102" s="15">
        <v>3287572</v>
      </c>
      <c r="S102" s="16" t="s">
        <v>410</v>
      </c>
      <c r="T102" s="17" t="s">
        <v>359</v>
      </c>
      <c r="U102" s="18" t="s">
        <v>360</v>
      </c>
      <c r="V102" s="3"/>
      <c r="W102" s="3"/>
      <c r="X102" s="3"/>
      <c r="Y102" s="3"/>
      <c r="Z102" s="3"/>
    </row>
    <row r="103" spans="1:26" ht="12.75" hidden="1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0" t="e">
        <f t="shared" si="0"/>
        <v>#REF!</v>
      </c>
      <c r="L103" s="11" t="str">
        <f t="shared" si="1"/>
        <v>2900 INSTITUT ZA OCEANOGRAFIJU I RIBARSTVO</v>
      </c>
      <c r="M103" s="11">
        <v>2900</v>
      </c>
      <c r="N103" s="12" t="s">
        <v>411</v>
      </c>
      <c r="O103" s="13" t="s">
        <v>36</v>
      </c>
      <c r="P103" s="12" t="s">
        <v>412</v>
      </c>
      <c r="Q103" s="12" t="s">
        <v>173</v>
      </c>
      <c r="R103" s="15">
        <v>3118355</v>
      </c>
      <c r="S103" s="16" t="s">
        <v>413</v>
      </c>
      <c r="T103" s="17" t="s">
        <v>359</v>
      </c>
      <c r="U103" s="18" t="s">
        <v>360</v>
      </c>
      <c r="V103" s="3"/>
      <c r="W103" s="3"/>
      <c r="X103" s="3"/>
      <c r="Y103" s="3"/>
      <c r="Z103" s="3"/>
    </row>
    <row r="104" spans="1:26" ht="12.75" hidden="1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0" t="e">
        <f t="shared" si="0"/>
        <v>#REF!</v>
      </c>
      <c r="L104" s="11" t="str">
        <f t="shared" si="1"/>
        <v>3076 INSTITUT ZA POLJOPRIVREDU I TURIZAM</v>
      </c>
      <c r="M104" s="11">
        <v>3076</v>
      </c>
      <c r="N104" s="12" t="s">
        <v>414</v>
      </c>
      <c r="O104" s="13" t="s">
        <v>36</v>
      </c>
      <c r="P104" s="12" t="s">
        <v>415</v>
      </c>
      <c r="Q104" s="12" t="s">
        <v>416</v>
      </c>
      <c r="R104" s="15">
        <v>3421031</v>
      </c>
      <c r="S104" s="16" t="s">
        <v>417</v>
      </c>
      <c r="T104" s="17" t="s">
        <v>359</v>
      </c>
      <c r="U104" s="18" t="s">
        <v>360</v>
      </c>
      <c r="V104" s="3"/>
      <c r="W104" s="3"/>
      <c r="X104" s="3"/>
      <c r="Y104" s="3"/>
      <c r="Z104" s="3"/>
    </row>
    <row r="105" spans="1:26" ht="12.75" hidden="1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0" t="e">
        <f t="shared" si="0"/>
        <v>#REF!</v>
      </c>
      <c r="L105" s="11" t="str">
        <f t="shared" si="1"/>
        <v>2942 INSTITUT ZA POVIJEST UMJETNOSTI</v>
      </c>
      <c r="M105" s="11">
        <v>2942</v>
      </c>
      <c r="N105" s="12" t="s">
        <v>418</v>
      </c>
      <c r="O105" s="13" t="s">
        <v>36</v>
      </c>
      <c r="P105" s="12" t="s">
        <v>419</v>
      </c>
      <c r="Q105" s="12" t="s">
        <v>23</v>
      </c>
      <c r="R105" s="15">
        <v>1339958</v>
      </c>
      <c r="S105" s="16" t="s">
        <v>420</v>
      </c>
      <c r="T105" s="17" t="s">
        <v>359</v>
      </c>
      <c r="U105" s="18" t="s">
        <v>360</v>
      </c>
      <c r="V105" s="3"/>
      <c r="W105" s="3"/>
      <c r="X105" s="3"/>
      <c r="Y105" s="3"/>
      <c r="Z105" s="3"/>
    </row>
    <row r="106" spans="1:26" ht="12.75" hidden="1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0" t="e">
        <f t="shared" si="0"/>
        <v>#REF!</v>
      </c>
      <c r="L106" s="11" t="str">
        <f t="shared" si="1"/>
        <v>22621 INSTITUT ZA RAZVOJ I MEĐUNARODNE ODNOSE</v>
      </c>
      <c r="M106" s="11">
        <v>22621</v>
      </c>
      <c r="N106" s="12" t="s">
        <v>421</v>
      </c>
      <c r="O106" s="13" t="s">
        <v>36</v>
      </c>
      <c r="P106" s="12" t="s">
        <v>422</v>
      </c>
      <c r="Q106" s="12" t="s">
        <v>23</v>
      </c>
      <c r="R106" s="15">
        <v>3205177</v>
      </c>
      <c r="S106" s="16" t="s">
        <v>423</v>
      </c>
      <c r="T106" s="17" t="s">
        <v>359</v>
      </c>
      <c r="U106" s="18" t="s">
        <v>360</v>
      </c>
      <c r="V106" s="3"/>
      <c r="W106" s="3"/>
      <c r="X106" s="3"/>
      <c r="Y106" s="3"/>
      <c r="Z106" s="3"/>
    </row>
    <row r="107" spans="1:26" ht="12.75" hidden="1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0" t="e">
        <f t="shared" si="0"/>
        <v>#REF!</v>
      </c>
      <c r="L107" s="11" t="str">
        <f t="shared" si="1"/>
        <v>3068 INSTITUT ZA TURIZAM</v>
      </c>
      <c r="M107" s="11">
        <v>3068</v>
      </c>
      <c r="N107" s="12" t="s">
        <v>424</v>
      </c>
      <c r="O107" s="13" t="s">
        <v>36</v>
      </c>
      <c r="P107" s="12" t="s">
        <v>425</v>
      </c>
      <c r="Q107" s="12" t="s">
        <v>23</v>
      </c>
      <c r="R107" s="15">
        <v>3208001</v>
      </c>
      <c r="S107" s="16" t="s">
        <v>426</v>
      </c>
      <c r="T107" s="17" t="s">
        <v>359</v>
      </c>
      <c r="U107" s="18" t="s">
        <v>360</v>
      </c>
      <c r="V107" s="3"/>
      <c r="W107" s="3"/>
      <c r="X107" s="3"/>
      <c r="Y107" s="3"/>
      <c r="Z107" s="3"/>
    </row>
    <row r="108" spans="1:26" ht="12.75" hidden="1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0" t="e">
        <f t="shared" si="0"/>
        <v>#REF!</v>
      </c>
      <c r="L108" s="11" t="str">
        <f t="shared" si="1"/>
        <v>2991 POLJOPRIVREDNI INSTITUT OSIJEK</v>
      </c>
      <c r="M108" s="11">
        <v>2991</v>
      </c>
      <c r="N108" s="12" t="s">
        <v>427</v>
      </c>
      <c r="O108" s="13" t="s">
        <v>36</v>
      </c>
      <c r="P108" s="12" t="s">
        <v>428</v>
      </c>
      <c r="Q108" s="12" t="s">
        <v>43</v>
      </c>
      <c r="R108" s="15">
        <v>3058239</v>
      </c>
      <c r="S108" s="16" t="s">
        <v>429</v>
      </c>
      <c r="T108" s="17" t="s">
        <v>359</v>
      </c>
      <c r="U108" s="18" t="s">
        <v>360</v>
      </c>
      <c r="V108" s="3"/>
      <c r="W108" s="3"/>
      <c r="X108" s="3"/>
      <c r="Y108" s="3"/>
      <c r="Z108" s="3"/>
    </row>
    <row r="109" spans="1:26" ht="12.75" hidden="1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0" t="e">
        <f t="shared" si="0"/>
        <v>#REF!</v>
      </c>
      <c r="L109" s="11" t="str">
        <f t="shared" si="1"/>
        <v>21070 STAROSLAVENSKI INSTITUT</v>
      </c>
      <c r="M109" s="11">
        <v>21070</v>
      </c>
      <c r="N109" s="12" t="s">
        <v>430</v>
      </c>
      <c r="O109" s="13" t="s">
        <v>36</v>
      </c>
      <c r="P109" s="12" t="s">
        <v>431</v>
      </c>
      <c r="Q109" s="12" t="s">
        <v>23</v>
      </c>
      <c r="R109" s="15">
        <v>1259563</v>
      </c>
      <c r="S109" s="16" t="s">
        <v>432</v>
      </c>
      <c r="T109" s="17" t="s">
        <v>359</v>
      </c>
      <c r="U109" s="18" t="s">
        <v>360</v>
      </c>
      <c r="V109" s="3"/>
      <c r="W109" s="3"/>
      <c r="X109" s="3"/>
      <c r="Y109" s="3"/>
      <c r="Z109" s="3"/>
    </row>
    <row r="110" spans="1:26" ht="12.75" hidden="1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0" t="e">
        <f t="shared" si="0"/>
        <v>#REF!</v>
      </c>
      <c r="L110" s="11" t="str">
        <f t="shared" si="1"/>
        <v>6179 DRŽAVNI ZAVOD ZA INTELEKTUALNO VLASNIŠTVO</v>
      </c>
      <c r="M110" s="11">
        <v>6179</v>
      </c>
      <c r="N110" s="12" t="s">
        <v>433</v>
      </c>
      <c r="O110" s="13" t="s">
        <v>36</v>
      </c>
      <c r="P110" s="14" t="s">
        <v>434</v>
      </c>
      <c r="Q110" s="12" t="s">
        <v>23</v>
      </c>
      <c r="R110" s="15">
        <v>3899772</v>
      </c>
      <c r="S110" s="16" t="s">
        <v>435</v>
      </c>
      <c r="T110" s="17" t="s">
        <v>436</v>
      </c>
      <c r="U110" s="18" t="s">
        <v>437</v>
      </c>
      <c r="V110" s="3"/>
      <c r="W110" s="3"/>
      <c r="X110" s="3"/>
      <c r="Y110" s="3"/>
      <c r="Z110" s="3"/>
    </row>
    <row r="111" spans="1:26" ht="12.75" hidden="1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0" t="e">
        <f t="shared" si="0"/>
        <v>#REF!</v>
      </c>
      <c r="L111" s="11" t="str">
        <f t="shared" si="1"/>
        <v>43335 AGENCIJA ZA MOBILNOST I PROGRAME EUROPSKE UNIJE</v>
      </c>
      <c r="M111" s="11">
        <v>43335</v>
      </c>
      <c r="N111" s="12" t="s">
        <v>438</v>
      </c>
      <c r="O111" s="13" t="s">
        <v>36</v>
      </c>
      <c r="P111" s="14" t="s">
        <v>439</v>
      </c>
      <c r="Q111" s="12" t="s">
        <v>23</v>
      </c>
      <c r="R111" s="15">
        <v>2298007</v>
      </c>
      <c r="S111" s="16" t="s">
        <v>440</v>
      </c>
      <c r="T111" s="17" t="s">
        <v>441</v>
      </c>
      <c r="U111" s="18" t="s">
        <v>442</v>
      </c>
      <c r="V111" s="3"/>
      <c r="W111" s="3"/>
      <c r="X111" s="3"/>
      <c r="Y111" s="3"/>
      <c r="Z111" s="3"/>
    </row>
    <row r="112" spans="1:26" ht="12.75" hidden="1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0" t="e">
        <f t="shared" si="0"/>
        <v>#REF!</v>
      </c>
      <c r="L112" s="11" t="str">
        <f t="shared" si="1"/>
        <v>23962 AGENCIJA ZA ODGOJ I OBRAZOVANJE</v>
      </c>
      <c r="M112" s="11">
        <v>23962</v>
      </c>
      <c r="N112" s="12" t="s">
        <v>443</v>
      </c>
      <c r="O112" s="13" t="s">
        <v>36</v>
      </c>
      <c r="P112" s="14" t="s">
        <v>22</v>
      </c>
      <c r="Q112" s="12" t="s">
        <v>23</v>
      </c>
      <c r="R112" s="15">
        <v>1778129</v>
      </c>
      <c r="S112" s="16" t="s">
        <v>444</v>
      </c>
      <c r="T112" s="17" t="s">
        <v>441</v>
      </c>
      <c r="U112" s="18" t="s">
        <v>442</v>
      </c>
      <c r="V112" s="3"/>
      <c r="W112" s="3"/>
      <c r="X112" s="3"/>
      <c r="Y112" s="3"/>
      <c r="Z112" s="3"/>
    </row>
    <row r="113" spans="1:26" ht="12.75" hidden="1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0" t="e">
        <f t="shared" si="0"/>
        <v>#REF!</v>
      </c>
      <c r="L113" s="11" t="str">
        <f t="shared" si="1"/>
        <v>46173 AGENCIJA ZA STRUKOVNO OBRAZOVANJE I OBRAZOVANJE ODRASLIH</v>
      </c>
      <c r="M113" s="11">
        <v>46173</v>
      </c>
      <c r="N113" s="12" t="s">
        <v>445</v>
      </c>
      <c r="O113" s="13" t="s">
        <v>36</v>
      </c>
      <c r="P113" s="14" t="s">
        <v>446</v>
      </c>
      <c r="Q113" s="12" t="s">
        <v>23</v>
      </c>
      <c r="R113" s="15">
        <v>2650029</v>
      </c>
      <c r="S113" s="16" t="s">
        <v>447</v>
      </c>
      <c r="T113" s="17" t="s">
        <v>441</v>
      </c>
      <c r="U113" s="18" t="s">
        <v>442</v>
      </c>
      <c r="V113" s="3"/>
      <c r="W113" s="3"/>
      <c r="X113" s="3"/>
      <c r="Y113" s="3"/>
      <c r="Z113" s="3"/>
    </row>
    <row r="114" spans="1:26" ht="12.75" hidden="1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0" t="e">
        <f t="shared" si="0"/>
        <v>#REF!</v>
      </c>
      <c r="L114" s="11" t="str">
        <f t="shared" si="1"/>
        <v>38487 AGENCIJA ZA ZNANOST I VISOKO OBRAZOVANJE</v>
      </c>
      <c r="M114" s="11">
        <v>38487</v>
      </c>
      <c r="N114" s="12" t="s">
        <v>448</v>
      </c>
      <c r="O114" s="13" t="s">
        <v>36</v>
      </c>
      <c r="P114" s="12" t="s">
        <v>449</v>
      </c>
      <c r="Q114" s="12" t="s">
        <v>23</v>
      </c>
      <c r="R114" s="15">
        <v>1922548</v>
      </c>
      <c r="S114" s="16" t="s">
        <v>450</v>
      </c>
      <c r="T114" s="17" t="s">
        <v>441</v>
      </c>
      <c r="U114" s="18" t="s">
        <v>442</v>
      </c>
      <c r="V114" s="3"/>
      <c r="W114" s="3"/>
      <c r="X114" s="3"/>
      <c r="Y114" s="3"/>
      <c r="Z114" s="3"/>
    </row>
    <row r="115" spans="1:26" ht="12.75" hidden="1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0" t="e">
        <f t="shared" si="0"/>
        <v>#REF!</v>
      </c>
      <c r="L115" s="11" t="str">
        <f t="shared" si="1"/>
        <v>21852 HRVATSKA AKADEMSKA I ISTRAŽIVAČKA MREŽA - CARNET</v>
      </c>
      <c r="M115" s="11">
        <v>21852</v>
      </c>
      <c r="N115" s="12" t="s">
        <v>451</v>
      </c>
      <c r="O115" s="13" t="s">
        <v>36</v>
      </c>
      <c r="P115" s="14" t="s">
        <v>452</v>
      </c>
      <c r="Q115" s="12" t="s">
        <v>23</v>
      </c>
      <c r="R115" s="15">
        <v>1147820</v>
      </c>
      <c r="S115" s="16" t="s">
        <v>453</v>
      </c>
      <c r="T115" s="17" t="s">
        <v>441</v>
      </c>
      <c r="U115" s="18" t="s">
        <v>442</v>
      </c>
      <c r="V115" s="3"/>
      <c r="W115" s="3"/>
      <c r="X115" s="3"/>
      <c r="Y115" s="3"/>
      <c r="Z115" s="3"/>
    </row>
    <row r="116" spans="1:26" ht="12.75" hidden="1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0" t="e">
        <f t="shared" si="0"/>
        <v>#REF!</v>
      </c>
      <c r="L116" s="11" t="str">
        <f t="shared" si="1"/>
        <v>52209 HRVATSKA ZAKLADA ZA ZNANOST</v>
      </c>
      <c r="M116" s="11">
        <v>52209</v>
      </c>
      <c r="N116" s="12" t="s">
        <v>454</v>
      </c>
      <c r="O116" s="13" t="s">
        <v>36</v>
      </c>
      <c r="P116" s="14" t="s">
        <v>455</v>
      </c>
      <c r="Q116" s="12" t="s">
        <v>23</v>
      </c>
      <c r="R116" s="15">
        <v>1626841</v>
      </c>
      <c r="S116" s="16">
        <v>88776522763</v>
      </c>
      <c r="T116" s="17" t="s">
        <v>441</v>
      </c>
      <c r="U116" s="18" t="s">
        <v>456</v>
      </c>
      <c r="V116" s="3"/>
      <c r="W116" s="3"/>
      <c r="X116" s="3"/>
      <c r="Y116" s="3"/>
      <c r="Z116" s="3"/>
    </row>
    <row r="117" spans="1:26" ht="12.75" hidden="1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0" t="e">
        <f t="shared" si="0"/>
        <v>#REF!</v>
      </c>
      <c r="L117" s="11" t="str">
        <f t="shared" si="1"/>
        <v>21869 LEKSIKOGRAFSKI ZAVOD MIROSLAV KRLEŽA</v>
      </c>
      <c r="M117" s="11">
        <v>21869</v>
      </c>
      <c r="N117" s="12" t="s">
        <v>457</v>
      </c>
      <c r="O117" s="13" t="s">
        <v>36</v>
      </c>
      <c r="P117" s="14" t="s">
        <v>439</v>
      </c>
      <c r="Q117" s="12" t="s">
        <v>23</v>
      </c>
      <c r="R117" s="15">
        <v>3211622</v>
      </c>
      <c r="S117" s="16" t="s">
        <v>458</v>
      </c>
      <c r="T117" s="17" t="s">
        <v>441</v>
      </c>
      <c r="U117" s="18" t="s">
        <v>442</v>
      </c>
      <c r="V117" s="3"/>
      <c r="W117" s="3"/>
      <c r="X117" s="3"/>
      <c r="Y117" s="3"/>
      <c r="Z117" s="3"/>
    </row>
    <row r="118" spans="1:26" ht="12.75" hidden="1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10" t="e">
        <f t="shared" si="0"/>
        <v>#REF!</v>
      </c>
      <c r="L118" s="11" t="str">
        <f t="shared" si="1"/>
        <v>21836 NACIONALNA I SVEUČILIŠNA KNJIŽNICA U ZAGREBU</v>
      </c>
      <c r="M118" s="11">
        <v>21836</v>
      </c>
      <c r="N118" s="12" t="s">
        <v>459</v>
      </c>
      <c r="O118" s="13" t="s">
        <v>36</v>
      </c>
      <c r="P118" s="14" t="s">
        <v>460</v>
      </c>
      <c r="Q118" s="12" t="s">
        <v>23</v>
      </c>
      <c r="R118" s="15">
        <v>3205363</v>
      </c>
      <c r="S118" s="16" t="s">
        <v>461</v>
      </c>
      <c r="T118" s="17" t="s">
        <v>441</v>
      </c>
      <c r="U118" s="18" t="s">
        <v>442</v>
      </c>
      <c r="V118" s="3"/>
      <c r="W118" s="3"/>
      <c r="X118" s="3"/>
      <c r="Y118" s="3"/>
      <c r="Z118" s="3"/>
    </row>
    <row r="119" spans="1:26" ht="12.75" hidden="1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10" t="e">
        <f t="shared" si="0"/>
        <v>#REF!</v>
      </c>
      <c r="L119" s="11" t="str">
        <f t="shared" si="1"/>
        <v>40883 NACIONALNI CENTAR ZA VANJSKO VREDNOVANJE OBRAZOVANJA</v>
      </c>
      <c r="M119" s="11">
        <v>40883</v>
      </c>
      <c r="N119" s="12" t="s">
        <v>462</v>
      </c>
      <c r="O119" s="13" t="s">
        <v>36</v>
      </c>
      <c r="P119" s="14" t="s">
        <v>463</v>
      </c>
      <c r="Q119" s="12" t="s">
        <v>464</v>
      </c>
      <c r="R119" s="15">
        <v>1943430</v>
      </c>
      <c r="S119" s="16" t="s">
        <v>465</v>
      </c>
      <c r="T119" s="17" t="s">
        <v>441</v>
      </c>
      <c r="U119" s="18" t="s">
        <v>442</v>
      </c>
      <c r="V119" s="3"/>
      <c r="W119" s="3"/>
      <c r="X119" s="3"/>
      <c r="Y119" s="3"/>
      <c r="Z119" s="3"/>
    </row>
    <row r="120" spans="1:26" ht="12.75" hidden="1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10" t="e">
        <f t="shared" si="0"/>
        <v>#REF!</v>
      </c>
      <c r="L120" s="11" t="str">
        <f t="shared" si="1"/>
        <v>23665 SVEUČILIŠTE U ZAGREBU - SVEUČILIŠNI RAČUNSKI CENTAR - SRCE</v>
      </c>
      <c r="M120" s="11">
        <v>23665</v>
      </c>
      <c r="N120" s="12" t="s">
        <v>466</v>
      </c>
      <c r="O120" s="13" t="s">
        <v>36</v>
      </c>
      <c r="P120" s="14" t="s">
        <v>452</v>
      </c>
      <c r="Q120" s="12" t="s">
        <v>23</v>
      </c>
      <c r="R120" s="15">
        <v>3283020</v>
      </c>
      <c r="S120" s="16" t="s">
        <v>467</v>
      </c>
      <c r="T120" s="17" t="s">
        <v>441</v>
      </c>
      <c r="U120" s="18" t="s">
        <v>442</v>
      </c>
      <c r="V120" s="3"/>
      <c r="W120" s="3"/>
      <c r="X120" s="3"/>
      <c r="Y120" s="3"/>
      <c r="Z120" s="3"/>
    </row>
    <row r="121" spans="1:26" ht="12.75" hidden="1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hidden="1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hidden="1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hidden="1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hidden="1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hidden="1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hidden="1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hidden="1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hidden="1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hidden="1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hidden="1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hidden="1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hidden="1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hidden="1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hidden="1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hidden="1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hidden="1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hidden="1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hidden="1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hidden="1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hidden="1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hidden="1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hidden="1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hidden="1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hidden="1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hidden="1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hidden="1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hidden="1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hidden="1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hidden="1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hidden="1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hidden="1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hidden="1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hidden="1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hidden="1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hidden="1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hidden="1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hidden="1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hidden="1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hidden="1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hidden="1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hidden="1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hidden="1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hidden="1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hidden="1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hidden="1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hidden="1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hidden="1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hidden="1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hidden="1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hidden="1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hidden="1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hidden="1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hidden="1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hidden="1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hidden="1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hidden="1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hidden="1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hidden="1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hidden="1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hidden="1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hidden="1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hidden="1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hidden="1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hidden="1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hidden="1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hidden="1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hidden="1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hidden="1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hidden="1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hidden="1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hidden="1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hidden="1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hidden="1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hidden="1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hidden="1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hidden="1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hidden="1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hidden="1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hidden="1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hidden="1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hidden="1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hidden="1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hidden="1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hidden="1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hidden="1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hidden="1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hidden="1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hidden="1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hidden="1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hidden="1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hidden="1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hidden="1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hidden="1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hidden="1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hidden="1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hidden="1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hidden="1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hidden="1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hidden="1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hidden="1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hidden="1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hidden="1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hidden="1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hidden="1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hidden="1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hidden="1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hidden="1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hidden="1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hidden="1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hidden="1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hidden="1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hidden="1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hidden="1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hidden="1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hidden="1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hidden="1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hidden="1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hidden="1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hidden="1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hidden="1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hidden="1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hidden="1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hidden="1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hidden="1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hidden="1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hidden="1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hidden="1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hidden="1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hidden="1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hidden="1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hidden="1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hidden="1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hidden="1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hidden="1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hidden="1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hidden="1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hidden="1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hidden="1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hidden="1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hidden="1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hidden="1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hidden="1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hidden="1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hidden="1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hidden="1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hidden="1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hidden="1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hidden="1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hidden="1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hidden="1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hidden="1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hidden="1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hidden="1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hidden="1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hidden="1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hidden="1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hidden="1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hidden="1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hidden="1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hidden="1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hidden="1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hidden="1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hidden="1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hidden="1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hidden="1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hidden="1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hidden="1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hidden="1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hidden="1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hidden="1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hidden="1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hidden="1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hidden="1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hidden="1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hidden="1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hidden="1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hidden="1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hidden="1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hidden="1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hidden="1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hidden="1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hidden="1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hidden="1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hidden="1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hidden="1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hidden="1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hidden="1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hidden="1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hidden="1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hidden="1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hidden="1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hidden="1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hidden="1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hidden="1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hidden="1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hidden="1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hidden="1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hidden="1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hidden="1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</sheetData>
  <mergeCells count="17">
    <mergeCell ref="B9:E9"/>
    <mergeCell ref="B11:E11"/>
    <mergeCell ref="B51:E51"/>
    <mergeCell ref="B52:E52"/>
    <mergeCell ref="B60:E60"/>
    <mergeCell ref="B13:E13"/>
    <mergeCell ref="B23:E23"/>
    <mergeCell ref="B24:E24"/>
    <mergeCell ref="B32:E32"/>
    <mergeCell ref="B37:E37"/>
    <mergeCell ref="B39:E39"/>
    <mergeCell ref="B41:E41"/>
    <mergeCell ref="C3:E3"/>
    <mergeCell ref="C4:E4"/>
    <mergeCell ref="C5:E5"/>
    <mergeCell ref="C6:E6"/>
    <mergeCell ref="C7:E7"/>
  </mergeCells>
  <dataValidations count="1">
    <dataValidation type="list" allowBlank="1" showInputMessage="1" showErrorMessage="1" prompt="Molimo odabrati proračunskog korisnika iz padajućeg izbornika!" sqref="C3">
      <formula1>$L$6:$L$120</formula1>
    </dataValidation>
  </dataValidations>
  <pageMargins left="0.70866141732283472" right="0.70866141732283472" top="0.35433070866141736" bottom="0.35433070866141736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00"/>
  <sheetViews>
    <sheetView workbookViewId="0">
      <selection activeCell="G7" sqref="G7"/>
    </sheetView>
  </sheetViews>
  <sheetFormatPr defaultColWidth="14.42578125" defaultRowHeight="15" customHeight="1"/>
  <cols>
    <col min="1" max="1" width="7" customWidth="1"/>
    <col min="2" max="2" width="4.85546875" customWidth="1"/>
    <col min="3" max="3" width="29.42578125" style="288" customWidth="1"/>
    <col min="4" max="4" width="10.7109375" customWidth="1"/>
    <col min="5" max="23" width="9" customWidth="1"/>
    <col min="24" max="24" width="7.85546875" customWidth="1"/>
    <col min="25" max="43" width="11.42578125" customWidth="1"/>
  </cols>
  <sheetData>
    <row r="1" spans="1:43" ht="12.75" customHeight="1">
      <c r="A1" s="93"/>
      <c r="B1" s="93"/>
      <c r="C1" s="117"/>
      <c r="D1" s="93"/>
      <c r="E1" s="93"/>
      <c r="F1" s="93"/>
      <c r="G1" s="93"/>
      <c r="H1" s="93"/>
      <c r="I1" s="128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</row>
    <row r="2" spans="1:43" ht="15" customHeight="1">
      <c r="A2" s="93"/>
      <c r="B2" s="312" t="s">
        <v>3777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</row>
    <row r="3" spans="1:43" ht="12.75" customHeight="1">
      <c r="A3" s="94"/>
      <c r="B3" s="95"/>
      <c r="C3" s="95"/>
      <c r="D3" s="95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6"/>
      <c r="T3" s="94"/>
      <c r="U3" s="94"/>
      <c r="V3" s="94"/>
      <c r="W3" s="23" t="s">
        <v>56</v>
      </c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</row>
    <row r="4" spans="1:43" ht="15" customHeight="1">
      <c r="A4" s="94"/>
      <c r="B4" s="313" t="s">
        <v>3778</v>
      </c>
      <c r="C4" s="314"/>
      <c r="D4" s="315" t="s">
        <v>3779</v>
      </c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4"/>
      <c r="V4" s="178"/>
      <c r="W4" s="178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</row>
    <row r="5" spans="1:43" ht="12.75" customHeight="1">
      <c r="A5" s="97" t="s">
        <v>3598</v>
      </c>
      <c r="B5" s="98" t="s">
        <v>3599</v>
      </c>
      <c r="C5" s="98" t="s">
        <v>3600</v>
      </c>
      <c r="D5" s="99" t="s">
        <v>3601</v>
      </c>
      <c r="E5" s="295" t="s">
        <v>3602</v>
      </c>
      <c r="F5" s="295" t="s">
        <v>3603</v>
      </c>
      <c r="G5" s="295" t="s">
        <v>3604</v>
      </c>
      <c r="H5" s="295" t="s">
        <v>3605</v>
      </c>
      <c r="I5" s="295" t="s">
        <v>3606</v>
      </c>
      <c r="J5" s="295" t="s">
        <v>3607</v>
      </c>
      <c r="K5" s="295" t="s">
        <v>3608</v>
      </c>
      <c r="L5" s="295" t="s">
        <v>3609</v>
      </c>
      <c r="M5" s="295" t="s">
        <v>3610</v>
      </c>
      <c r="N5" s="295" t="s">
        <v>3611</v>
      </c>
      <c r="O5" s="295" t="s">
        <v>3612</v>
      </c>
      <c r="P5" s="295" t="s">
        <v>3613</v>
      </c>
      <c r="Q5" s="295" t="s">
        <v>3614</v>
      </c>
      <c r="R5" s="295" t="s">
        <v>3615</v>
      </c>
      <c r="S5" s="141" t="s">
        <v>3616</v>
      </c>
      <c r="T5" s="295" t="s">
        <v>3617</v>
      </c>
      <c r="U5" s="141" t="s">
        <v>3618</v>
      </c>
      <c r="V5" s="141" t="s">
        <v>3619</v>
      </c>
      <c r="W5" s="101" t="s">
        <v>3620</v>
      </c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</row>
    <row r="6" spans="1:43" ht="25.5">
      <c r="A6" s="102">
        <v>2023</v>
      </c>
      <c r="B6" s="146">
        <v>8</v>
      </c>
      <c r="C6" s="147" t="s">
        <v>110</v>
      </c>
      <c r="D6" s="291">
        <f t="shared" ref="D6:D10" si="0">+I6+W6</f>
        <v>0</v>
      </c>
      <c r="E6" s="297"/>
      <c r="F6" s="297"/>
      <c r="G6" s="297"/>
      <c r="H6" s="297"/>
      <c r="I6" s="297">
        <f>SUM(I7:I10)</f>
        <v>0</v>
      </c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3">
        <f>SUM(W7:W10)</f>
        <v>0</v>
      </c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</row>
    <row r="7" spans="1:43" ht="25.5">
      <c r="A7" s="102">
        <v>2023</v>
      </c>
      <c r="B7" s="180">
        <v>81</v>
      </c>
      <c r="C7" s="104" t="s">
        <v>3780</v>
      </c>
      <c r="D7" s="292">
        <f t="shared" si="0"/>
        <v>0</v>
      </c>
      <c r="E7" s="297"/>
      <c r="F7" s="297"/>
      <c r="G7" s="297"/>
      <c r="H7" s="297"/>
      <c r="I7" s="298">
        <f>SUMIFS('Unos prihoda i primitaka'!$G$3:$G$502,'Unos prihoda i primitaka'!$C$3:$C$502,"=43",'Unos prihoda i primitaka'!$L$3:$L$502,"=81")</f>
        <v>0</v>
      </c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4">
        <f>SUMIFS('Unos prihoda i primitaka'!$G$3:$G$502,'Unos prihoda i primitaka'!$C$3:$C$502,"=81",'Unos prihoda i primitaka'!$L$3:$L$502,"=81")</f>
        <v>0</v>
      </c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</row>
    <row r="8" spans="1:43" ht="25.5">
      <c r="A8" s="102">
        <v>2023</v>
      </c>
      <c r="B8" s="180">
        <v>82</v>
      </c>
      <c r="C8" s="104" t="s">
        <v>3781</v>
      </c>
      <c r="D8" s="292">
        <f t="shared" si="0"/>
        <v>0</v>
      </c>
      <c r="E8" s="297"/>
      <c r="F8" s="297"/>
      <c r="G8" s="297"/>
      <c r="H8" s="297"/>
      <c r="I8" s="298">
        <f>SUMIFS('Unos prihoda i primitaka'!$G$3:$G$502,'Unos prihoda i primitaka'!$C$3:$C$502,"=43",'Unos prihoda i primitaka'!$L$3:$L$502,"=82")</f>
        <v>0</v>
      </c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4">
        <f>SUMIFS('Unos prihoda i primitaka'!$G$3:$G$502,'Unos prihoda i primitaka'!$C$3:$C$502,"=81",'Unos prihoda i primitaka'!$L$3:$L$502,"=82")</f>
        <v>0</v>
      </c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</row>
    <row r="9" spans="1:43" ht="25.5">
      <c r="A9" s="102">
        <v>2023</v>
      </c>
      <c r="B9" s="180">
        <v>83</v>
      </c>
      <c r="C9" s="104" t="s">
        <v>3782</v>
      </c>
      <c r="D9" s="292">
        <f t="shared" si="0"/>
        <v>0</v>
      </c>
      <c r="E9" s="297"/>
      <c r="F9" s="297"/>
      <c r="G9" s="297"/>
      <c r="H9" s="297"/>
      <c r="I9" s="298">
        <f>SUMIFS('Unos prihoda i primitaka'!$G$3:$G$502,'Unos prihoda i primitaka'!$C$3:$C$502,"=43",'Unos prihoda i primitaka'!$L$3:$L$502,"=83")</f>
        <v>0</v>
      </c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4">
        <f>SUMIFS('Unos prihoda i primitaka'!$G$3:$G$502,'Unos prihoda i primitaka'!$C$3:$C$502,"=81",'Unos prihoda i primitaka'!$L$3:$L$502,"=83")</f>
        <v>0</v>
      </c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</row>
    <row r="10" spans="1:43">
      <c r="A10" s="102">
        <v>2023</v>
      </c>
      <c r="B10" s="180">
        <v>84</v>
      </c>
      <c r="C10" s="104" t="s">
        <v>3783</v>
      </c>
      <c r="D10" s="292">
        <f t="shared" si="0"/>
        <v>0</v>
      </c>
      <c r="E10" s="297"/>
      <c r="F10" s="297"/>
      <c r="G10" s="297"/>
      <c r="H10" s="297"/>
      <c r="I10" s="298">
        <f>SUMIFS('Unos prihoda i primitaka'!$G$3:$G$502,'Unos prihoda i primitaka'!$C$3:$C$502,"=43",'Unos prihoda i primitaka'!$L$3:$L$502,"=84")</f>
        <v>0</v>
      </c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4">
        <f>SUMIFS('Unos prihoda i primitaka'!$G$3:$G$502,'Unos prihoda i primitaka'!$C$3:$C$502,"=81",'Unos prihoda i primitaka'!$L$3:$L$502,"=84")</f>
        <v>0</v>
      </c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</row>
    <row r="11" spans="1:43" ht="25.5">
      <c r="A11" s="102">
        <v>2023</v>
      </c>
      <c r="B11" s="146">
        <v>5</v>
      </c>
      <c r="C11" s="147" t="s">
        <v>115</v>
      </c>
      <c r="D11" s="161">
        <f t="shared" ref="D11:D13" si="1">SUM(E11:W11)</f>
        <v>0</v>
      </c>
      <c r="E11" s="296">
        <f t="shared" ref="E11:W11" si="2">+E12+E13</f>
        <v>0</v>
      </c>
      <c r="F11" s="296">
        <f t="shared" si="2"/>
        <v>0</v>
      </c>
      <c r="G11" s="296">
        <f t="shared" si="2"/>
        <v>0</v>
      </c>
      <c r="H11" s="296">
        <f t="shared" si="2"/>
        <v>0</v>
      </c>
      <c r="I11" s="296">
        <f t="shared" si="2"/>
        <v>0</v>
      </c>
      <c r="J11" s="296">
        <f t="shared" si="2"/>
        <v>0</v>
      </c>
      <c r="K11" s="296">
        <f t="shared" si="2"/>
        <v>0</v>
      </c>
      <c r="L11" s="296">
        <f t="shared" si="2"/>
        <v>0</v>
      </c>
      <c r="M11" s="296">
        <f t="shared" si="2"/>
        <v>0</v>
      </c>
      <c r="N11" s="296">
        <f t="shared" si="2"/>
        <v>0</v>
      </c>
      <c r="O11" s="296">
        <f t="shared" si="2"/>
        <v>0</v>
      </c>
      <c r="P11" s="296">
        <f t="shared" si="2"/>
        <v>0</v>
      </c>
      <c r="Q11" s="296">
        <f t="shared" si="2"/>
        <v>0</v>
      </c>
      <c r="R11" s="296">
        <f t="shared" si="2"/>
        <v>0</v>
      </c>
      <c r="S11" s="296">
        <f t="shared" si="2"/>
        <v>0</v>
      </c>
      <c r="T11" s="296">
        <f t="shared" si="2"/>
        <v>0</v>
      </c>
      <c r="U11" s="296">
        <f t="shared" si="2"/>
        <v>0</v>
      </c>
      <c r="V11" s="296">
        <f t="shared" si="2"/>
        <v>0</v>
      </c>
      <c r="W11" s="179">
        <f t="shared" si="2"/>
        <v>0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</row>
    <row r="12" spans="1:43">
      <c r="A12" s="102">
        <v>2023</v>
      </c>
      <c r="B12" s="180">
        <v>51</v>
      </c>
      <c r="C12" s="104" t="s">
        <v>3784</v>
      </c>
      <c r="D12" s="105">
        <f t="shared" si="1"/>
        <v>0</v>
      </c>
      <c r="E12" s="153">
        <f>SUMIFS('Unos rashoda i izdataka'!$J$3:$J$506,'Unos rashoda i izdataka'!$C$3:$C$506,"=11",'Unos rashoda i izdataka'!$P$3:$P$506,"=51")+SUMIFS('Unos rashoda P4'!$H$3:$H$501,'Unos rashoda P4'!$A$3:$A$501,"=11",'Unos rashoda P4'!$S$3:$S$501,"=51")</f>
        <v>0</v>
      </c>
      <c r="F12" s="153">
        <f>SUMIFS('Unos rashoda i izdataka'!$J$3:$J$506,'Unos rashoda i izdataka'!$C$3:$C$506,"=12",'Unos rashoda i izdataka'!$P$3:$P$506,"=51")+SUMIFS('Unos rashoda P4'!$H$3:$H$501,'Unos rashoda P4'!$A$3:$A$501,"=12",'Unos rashoda P4'!$S$3:$S$501,"=51")</f>
        <v>0</v>
      </c>
      <c r="G12" s="153">
        <f>SUMIFS('Unos rashoda i izdataka'!$J$3:$J$506,'Unos rashoda i izdataka'!$C$3:$C$506,"=31",'Unos rashoda i izdataka'!$P$3:$P$506,"=51")+SUMIFS('Unos rashoda P4'!$H$3:$H$501,'Unos rashoda P4'!$A$3:$A$501,"=31",'Unos rashoda P4'!$S$3:$S$501,"=51")</f>
        <v>0</v>
      </c>
      <c r="H12" s="153">
        <f>SUMIFS('Unos rashoda i izdataka'!$J$3:$J$506,'Unos rashoda i izdataka'!$C$3:$C$506,"=41",'Unos rashoda i izdataka'!$P$3:$P$506,"=51")+SUMIFS('Unos rashoda P4'!$H$3:$H$501,'Unos rashoda P4'!$A$3:$A$501,"=41",'Unos rashoda P4'!$S$3:$S$501,"=51")</f>
        <v>0</v>
      </c>
      <c r="I12" s="153">
        <f>SUMIFS('Unos rashoda i izdataka'!$J$3:$J$506,'Unos rashoda i izdataka'!$C$3:$C$506,"=43",'Unos rashoda i izdataka'!$P$3:$P$506,"=51")+SUMIFS('Unos rashoda P4'!$H$3:$H$501,'Unos rashoda P4'!$A$3:$A$501,"=43",'Unos rashoda P4'!$S$3:$S$501,"=51")</f>
        <v>0</v>
      </c>
      <c r="J12" s="153">
        <f>SUMIFS('Unos rashoda i izdataka'!$J$3:$J$506,'Unos rashoda i izdataka'!$C$3:$C$506,"=51",'Unos rashoda i izdataka'!$P$3:$P$506,"=51")+SUMIFS('Unos rashoda P4'!$H$3:$H$501,'Unos rashoda P4'!$A$3:$A$501,"=51",'Unos rashoda P4'!$S$3:$S$501,"=51")</f>
        <v>0</v>
      </c>
      <c r="K12" s="153">
        <f>SUMIFS('Unos rashoda i izdataka'!$J$3:$J$506,'Unos rashoda i izdataka'!$C$3:$C$506,"=52",'Unos rashoda i izdataka'!$P$3:$P$506,"=51")+SUMIFS('Unos rashoda P4'!$H$3:$H$501,'Unos rashoda P4'!$A$3:$A$501,"=52",'Unos rashoda P4'!$S$3:$S$501,"=51")</f>
        <v>0</v>
      </c>
      <c r="L12" s="153">
        <f>SUMIFS('Unos rashoda i izdataka'!$J$3:$J$506,'Unos rashoda i izdataka'!$C$3:$C$506,"=552",'Unos rashoda i izdataka'!$P$3:$P$506,"=51")+SUMIFS('Unos rashoda P4'!$H$3:$H$501,'Unos rashoda P4'!$A$3:$A$501,"=552",'Unos rashoda P4'!$S$3:$S$501,"=51")</f>
        <v>0</v>
      </c>
      <c r="M12" s="153">
        <f>SUMIFS('Unos rashoda i izdataka'!$J$3:$J$506,'Unos rashoda i izdataka'!$C$3:$C$506,"=559",'Unos rashoda i izdataka'!$P$3:$P$506,"=51")+SUMIFS('Unos rashoda P4'!$H$3:$H$501,'Unos rashoda P4'!$A$3:$A$501,"=559",'Unos rashoda P4'!$S$3:$S$501,"=51")</f>
        <v>0</v>
      </c>
      <c r="N12" s="153">
        <f>SUMIFS('Unos rashoda i izdataka'!$J$3:$J$506,'Unos rashoda i izdataka'!$C$3:$C$506,"=561",'Unos rashoda i izdataka'!$P$3:$P$506,"=51")+SUMIFS('Unos rashoda P4'!$H$3:$H$501,'Unos rashoda P4'!$A$3:$A$501,"=561",'Unos rashoda P4'!$S$3:$S$501,"=51")</f>
        <v>0</v>
      </c>
      <c r="O12" s="153">
        <f>SUMIFS('Unos rashoda i izdataka'!$J$3:$J$506,'Unos rashoda i izdataka'!$C$3:$C$506,"=563",'Unos rashoda i izdataka'!$P$3:$P$506,"=51")+SUMIFS('Unos rashoda P4'!$H$3:$H$501,'Unos rashoda P4'!$A$3:$A$501,"=563",'Unos rashoda P4'!$S$3:$S$501,"=51")</f>
        <v>0</v>
      </c>
      <c r="P12" s="153">
        <f>SUMIFS('Unos rashoda i izdataka'!$J$3:$J$506,'Unos rashoda i izdataka'!$C$3:$C$506,"=573",'Unos rashoda i izdataka'!$P$3:$P$506,"=51")+SUMIFS('Unos rashoda P4'!$H$3:$H$501,'Unos rashoda P4'!$A$3:$A$501,"=573",'Unos rashoda P4'!$S$3:$S$501,"=51")</f>
        <v>0</v>
      </c>
      <c r="Q12" s="153">
        <f>SUMIFS('Unos rashoda i izdataka'!$J$3:$J$506,'Unos rashoda i izdataka'!$C$3:$C$506,"=575",'Unos rashoda i izdataka'!$P$3:$P$506,"=51")+SUMIFS('Unos rashoda P4'!$H$3:$H$501,'Unos rashoda P4'!$A$3:$A$501,"=575",'Unos rashoda P4'!$S$3:$S$501,"=51")</f>
        <v>0</v>
      </c>
      <c r="R12" s="153">
        <f>SUMIFS('Unos rashoda i izdataka'!$J$3:$J$506,'Unos rashoda i izdataka'!$Q$3:$Q$506,"=576",'Unos rashoda i izdataka'!$P$3:$P$506,"=51")+SUMIFS('Unos rashoda P4'!$H$3:$H$501,'Unos rashoda P4'!$A$3:$A$501,"=576",'Unos rashoda P4'!$S$3:$S$501,"=51")</f>
        <v>0</v>
      </c>
      <c r="S12" s="153">
        <f>SUMIFS('Unos rashoda i izdataka'!$J$3:$J$506,'Unos rashoda i izdataka'!$C$3:$C$506,"=581",'Unos rashoda i izdataka'!$P$3:$P$506,"=51")+SUMIFS('Unos rashoda P4'!$H$3:$H$501,'Unos rashoda P4'!$A$3:$A$501,"=581",'Unos rashoda P4'!$S$3:$S$501,"=51")</f>
        <v>0</v>
      </c>
      <c r="T12" s="153">
        <f>SUMIFS('Unos rashoda i izdataka'!$J$3:$J$506,'Unos rashoda i izdataka'!$C$3:$C$506,"=61",'Unos rashoda i izdataka'!$P$3:$P$506,"=51")+SUMIFS('Unos rashoda P4'!$H$3:$H$501,'Unos rashoda P4'!$A$3:$A$501,"=61",'Unos rashoda P4'!$S$3:$S$501,"=51")</f>
        <v>0</v>
      </c>
      <c r="U12" s="153">
        <f>SUMIFS('Unos rashoda i izdataka'!$J$3:$J$506,'Unos rashoda i izdataka'!$C$3:$C$506,"=63",'Unos rashoda i izdataka'!$P$3:$P$506,"=51")+SUMIFS('Unos rashoda P4'!$H$3:$H$501,'Unos rashoda P4'!$A$3:$A$501,"=63",'Unos rashoda P4'!$S$3:$S$501,"=51")</f>
        <v>0</v>
      </c>
      <c r="V12" s="153">
        <f>SUMIFS('Unos rashoda i izdataka'!$J$3:$J$506,'Unos rashoda i izdataka'!$C$3:$C$506,"=71",'Unos rashoda i izdataka'!$P$3:$P$506,"=51")+SUMIFS('Unos rashoda P4'!$H$3:$H$501,'Unos rashoda P4'!$A$3:$A$501,"=71",'Unos rashoda P4'!$S$3:$S$501,"=51")</f>
        <v>0</v>
      </c>
      <c r="W12" s="153">
        <f>SUMIFS('Unos rashoda i izdataka'!$J$3:$J$506,'Unos rashoda i izdataka'!$C$3:$C$506,"=81",'Unos rashoda i izdataka'!$P$3:$P$506,"=51")+SUMIFS('Unos rashoda P4'!$H$3:$H$501,'Unos rashoda P4'!$A$3:$A$501,"=81",'Unos rashoda P4'!$S$3:$S$501,"=51")</f>
        <v>0</v>
      </c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</row>
    <row r="13" spans="1:43" ht="12.75" customHeight="1">
      <c r="A13" s="102">
        <v>2023</v>
      </c>
      <c r="B13" s="180">
        <v>54</v>
      </c>
      <c r="C13" s="104" t="s">
        <v>3785</v>
      </c>
      <c r="D13" s="105">
        <f t="shared" si="1"/>
        <v>0</v>
      </c>
      <c r="E13" s="153">
        <f>SUMIFS('Unos rashoda i izdataka'!$J$3:$J$506,'Unos rashoda i izdataka'!$C$3:$C$506,"=11",'Unos rashoda i izdataka'!$P$3:$P$506,"=54")+SUMIFS('Unos rashoda P4'!$H$3:$H$501,'Unos rashoda P4'!$A$3:$A$501,"=11",'Unos rashoda P4'!$S$3:$S$501,"=54")</f>
        <v>0</v>
      </c>
      <c r="F13" s="153">
        <f>SUMIFS('Unos rashoda i izdataka'!$J$3:$J$506,'Unos rashoda i izdataka'!$C$3:$C$506,"=12",'Unos rashoda i izdataka'!$P$3:$P$506,"=54")+SUMIFS('Unos rashoda P4'!$H$3:$H$501,'Unos rashoda P4'!$A$3:$A$501,"=12",'Unos rashoda P4'!$S$3:$S$501,"=54")</f>
        <v>0</v>
      </c>
      <c r="G13" s="153">
        <f>SUMIFS('Unos rashoda i izdataka'!$J$3:$J$506,'Unos rashoda i izdataka'!$C$3:$C$506,"=31",'Unos rashoda i izdataka'!$P$3:$P$506,"=54")+SUMIFS('Unos rashoda P4'!$H$3:$H$501,'Unos rashoda P4'!$A$3:$A$501,"=31",'Unos rashoda P4'!$S$3:$S$501,"=54")</f>
        <v>0</v>
      </c>
      <c r="H13" s="153">
        <f>SUMIFS('Unos rashoda i izdataka'!$J$3:$J$506,'Unos rashoda i izdataka'!$C$3:$C$506,"=41",'Unos rashoda i izdataka'!$P$3:$P$506,"=54")+SUMIFS('Unos rashoda P4'!$H$3:$H$501,'Unos rashoda P4'!$A$3:$A$501,"=41",'Unos rashoda P4'!$S$3:$S$501,"=54")</f>
        <v>0</v>
      </c>
      <c r="I13" s="153">
        <f>SUMIFS('Unos rashoda i izdataka'!$J$3:$J$506,'Unos rashoda i izdataka'!$C$3:$C$506,"=43",'Unos rashoda i izdataka'!$P$3:$P$506,"=54")+SUMIFS('Unos rashoda P4'!$H$3:$H$501,'Unos rashoda P4'!$A$3:$A$501,"=43",'Unos rashoda P4'!$S$3:$S$501,"=54")</f>
        <v>0</v>
      </c>
      <c r="J13" s="153">
        <f>SUMIFS('Unos rashoda i izdataka'!$J$3:$J$506,'Unos rashoda i izdataka'!$C$3:$C$506,"=51",'Unos rashoda i izdataka'!$P$3:$P$506,"=54")+SUMIFS('Unos rashoda P4'!$H$3:$H$501,'Unos rashoda P4'!$A$3:$A$501,"=51",'Unos rashoda P4'!$S$3:$S$501,"=54")</f>
        <v>0</v>
      </c>
      <c r="K13" s="153">
        <f>SUMIFS('Unos rashoda i izdataka'!$J$3:$J$506,'Unos rashoda i izdataka'!$C$3:$C$506,"=52",'Unos rashoda i izdataka'!$P$3:$P$506,"=54")+SUMIFS('Unos rashoda P4'!$H$3:$H$501,'Unos rashoda P4'!$A$3:$A$501,"=52",'Unos rashoda P4'!$S$3:$S$501,"=54")</f>
        <v>0</v>
      </c>
      <c r="L13" s="153">
        <f>SUMIFS('Unos rashoda i izdataka'!$J$3:$J$506,'Unos rashoda i izdataka'!$C$3:$C$506,"=552",'Unos rashoda i izdataka'!$P$3:$P$506,"=54")+SUMIFS('Unos rashoda P4'!$H$3:$H$501,'Unos rashoda P4'!$A$3:$A$501,"=552",'Unos rashoda P4'!$S$3:$S$501,"=54")</f>
        <v>0</v>
      </c>
      <c r="M13" s="153">
        <f>SUMIFS('Unos rashoda i izdataka'!$J$3:$J$506,'Unos rashoda i izdataka'!$C$3:$C$506,"=559",'Unos rashoda i izdataka'!$P$3:$P$506,"=54")+SUMIFS('Unos rashoda P4'!$H$3:$H$501,'Unos rashoda P4'!$A$3:$A$501,"=559",'Unos rashoda P4'!$S$3:$S$501,"=54")</f>
        <v>0</v>
      </c>
      <c r="N13" s="153">
        <f>SUMIFS('Unos rashoda i izdataka'!$J$3:$J$506,'Unos rashoda i izdataka'!$C$3:$C$506,"=561",'Unos rashoda i izdataka'!$P$3:$P$506,"=54")+SUMIFS('Unos rashoda P4'!$H$3:$H$501,'Unos rashoda P4'!$A$3:$A$501,"=561",'Unos rashoda P4'!$S$3:$S$501,"=54")</f>
        <v>0</v>
      </c>
      <c r="O13" s="153">
        <f>SUMIFS('Unos rashoda i izdataka'!$J$3:$J$506,'Unos rashoda i izdataka'!$C$3:$C$506,"=563",'Unos rashoda i izdataka'!$P$3:$P$506,"=54")+SUMIFS('Unos rashoda P4'!$H$3:$H$501,'Unos rashoda P4'!$A$3:$A$501,"=563",'Unos rashoda P4'!$S$3:$S$501,"=54")</f>
        <v>0</v>
      </c>
      <c r="P13" s="153">
        <f>SUMIFS('Unos rashoda i izdataka'!$J$3:$J$506,'Unos rashoda i izdataka'!$C$3:$C$506,"=573",'Unos rashoda i izdataka'!$P$3:$P$506,"=54")+SUMIFS('Unos rashoda P4'!$H$3:$H$501,'Unos rashoda P4'!$A$3:$A$501,"=573",'Unos rashoda P4'!$S$3:$S$501,"=54")</f>
        <v>0</v>
      </c>
      <c r="Q13" s="153">
        <f>SUMIFS('Unos rashoda i izdataka'!$J$3:$J$506,'Unos rashoda i izdataka'!$C$3:$C$506,"=575",'Unos rashoda i izdataka'!$P$3:$P$506,"=54")+SUMIFS('Unos rashoda P4'!$H$3:$H$501,'Unos rashoda P4'!$A$3:$A$501,"=575",'Unos rashoda P4'!$S$3:$S$501,"=54")</f>
        <v>0</v>
      </c>
      <c r="R13" s="153">
        <f>SUMIFS('Unos rashoda i izdataka'!$J$3:$J$506,'Unos rashoda i izdataka'!$Q$3:$Q$506,"=576",'Unos rashoda i izdataka'!$P$3:$P$506,"=54")+SUMIFS('Unos rashoda P4'!$H$3:$H$501,'Unos rashoda P4'!$A$3:$A$501,"=576",'Unos rashoda P4'!$S$3:$S$501,"=54")</f>
        <v>0</v>
      </c>
      <c r="S13" s="153">
        <f>SUMIFS('Unos rashoda i izdataka'!$J$3:$J$506,'Unos rashoda i izdataka'!$C$3:$C$506,"=581",'Unos rashoda i izdataka'!$P$3:$P$506,"=54")+SUMIFS('Unos rashoda P4'!$H$3:$H$501,'Unos rashoda P4'!$A$3:$A$501,"=581",'Unos rashoda P4'!$S$3:$S$501,"=54")</f>
        <v>0</v>
      </c>
      <c r="T13" s="153">
        <f>SUMIFS('Unos rashoda i izdataka'!$J$3:$J$506,'Unos rashoda i izdataka'!$C$3:$C$506,"=61",'Unos rashoda i izdataka'!$P$3:$P$506,"=54")+SUMIFS('Unos rashoda P4'!$H$3:$H$501,'Unos rashoda P4'!$A$3:$A$501,"=61",'Unos rashoda P4'!$S$3:$S$501,"=54")</f>
        <v>0</v>
      </c>
      <c r="U13" s="153">
        <f>SUMIFS('Unos rashoda i izdataka'!$J$3:$J$506,'Unos rashoda i izdataka'!$C$3:$C$506,"=63",'Unos rashoda i izdataka'!$P$3:$P$506,"=54")+SUMIFS('Unos rashoda P4'!$H$3:$H$501,'Unos rashoda P4'!$A$3:$A$501,"=63",'Unos rashoda P4'!$S$3:$S$501,"=54")</f>
        <v>0</v>
      </c>
      <c r="V13" s="153">
        <f>SUMIFS('Unos rashoda i izdataka'!$J$3:$J$506,'Unos rashoda i izdataka'!$C$3:$C$506,"=71",'Unos rashoda i izdataka'!$P$3:$P$506,"=54")+SUMIFS('Unos rashoda P4'!$H$3:$H$501,'Unos rashoda P4'!$A$3:$A$501,"=71",'Unos rashoda P4'!$S$3:$S$501,"=54")</f>
        <v>0</v>
      </c>
      <c r="W13" s="153">
        <f>SUMIFS('Unos rashoda i izdataka'!$J$3:$J$506,'Unos rashoda i izdataka'!$C$3:$C$506,"=81",'Unos rashoda i izdataka'!$P$3:$P$506,"=54")+SUMIFS('Unos rashoda P4'!$H$3:$H$501,'Unos rashoda P4'!$A$3:$A$501,"=81",'Unos rashoda P4'!$S$3:$S$501,"=54")</f>
        <v>0</v>
      </c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</row>
    <row r="14" spans="1:43" ht="12.75" customHeight="1">
      <c r="A14" s="93"/>
      <c r="B14" s="117"/>
      <c r="C14" s="117"/>
      <c r="D14" s="117"/>
      <c r="E14" s="117"/>
      <c r="F14" s="117"/>
      <c r="G14" s="117"/>
      <c r="H14" s="117"/>
      <c r="I14" s="118"/>
      <c r="J14" s="119"/>
      <c r="K14" s="119"/>
      <c r="L14" s="119"/>
      <c r="M14" s="119"/>
      <c r="N14" s="119"/>
      <c r="O14" s="119"/>
      <c r="P14" s="119"/>
      <c r="Q14" s="119"/>
      <c r="R14" s="119"/>
      <c r="S14" s="96"/>
      <c r="T14" s="93"/>
      <c r="U14" s="93"/>
      <c r="V14" s="93"/>
      <c r="W14" s="96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</row>
    <row r="15" spans="1:43" ht="12.75" customHeight="1">
      <c r="A15" s="94"/>
      <c r="B15" s="313" t="s">
        <v>3778</v>
      </c>
      <c r="C15" s="314"/>
      <c r="D15" s="315" t="s">
        <v>3786</v>
      </c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4"/>
      <c r="V15" s="178"/>
      <c r="W15" s="178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</row>
    <row r="16" spans="1:43" ht="12.75" customHeight="1">
      <c r="A16" s="97" t="s">
        <v>3598</v>
      </c>
      <c r="B16" s="98" t="s">
        <v>3599</v>
      </c>
      <c r="C16" s="98" t="s">
        <v>3600</v>
      </c>
      <c r="D16" s="99" t="s">
        <v>3601</v>
      </c>
      <c r="E16" s="295" t="s">
        <v>3602</v>
      </c>
      <c r="F16" s="295" t="s">
        <v>3603</v>
      </c>
      <c r="G16" s="295" t="s">
        <v>3604</v>
      </c>
      <c r="H16" s="295" t="s">
        <v>3605</v>
      </c>
      <c r="I16" s="295" t="s">
        <v>3606</v>
      </c>
      <c r="J16" s="295" t="s">
        <v>3607</v>
      </c>
      <c r="K16" s="295" t="s">
        <v>3608</v>
      </c>
      <c r="L16" s="295" t="s">
        <v>3609</v>
      </c>
      <c r="M16" s="295" t="s">
        <v>3610</v>
      </c>
      <c r="N16" s="295" t="s">
        <v>3611</v>
      </c>
      <c r="O16" s="295" t="s">
        <v>3612</v>
      </c>
      <c r="P16" s="295" t="s">
        <v>3613</v>
      </c>
      <c r="Q16" s="295" t="s">
        <v>3614</v>
      </c>
      <c r="R16" s="295" t="s">
        <v>3615</v>
      </c>
      <c r="S16" s="141" t="s">
        <v>3616</v>
      </c>
      <c r="T16" s="295" t="s">
        <v>3617</v>
      </c>
      <c r="U16" s="141" t="s">
        <v>3618</v>
      </c>
      <c r="V16" s="141" t="s">
        <v>3619</v>
      </c>
      <c r="W16" s="101" t="s">
        <v>3620</v>
      </c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</row>
    <row r="17" spans="1:43" ht="25.5">
      <c r="A17" s="102">
        <v>2024</v>
      </c>
      <c r="B17" s="146">
        <v>8</v>
      </c>
      <c r="C17" s="147" t="s">
        <v>110</v>
      </c>
      <c r="D17" s="291">
        <f t="shared" ref="D17:D21" si="3">+I17+W17</f>
        <v>0</v>
      </c>
      <c r="E17" s="297"/>
      <c r="F17" s="297"/>
      <c r="G17" s="297"/>
      <c r="H17" s="297"/>
      <c r="I17" s="297">
        <f>SUM(I18:I21)</f>
        <v>0</v>
      </c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3">
        <f>SUM(W18:W21)</f>
        <v>0</v>
      </c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</row>
    <row r="18" spans="1:43" ht="25.5">
      <c r="A18" s="102">
        <v>2024</v>
      </c>
      <c r="B18" s="180">
        <v>81</v>
      </c>
      <c r="C18" s="104" t="s">
        <v>3780</v>
      </c>
      <c r="D18" s="292">
        <f t="shared" si="3"/>
        <v>0</v>
      </c>
      <c r="E18" s="297"/>
      <c r="F18" s="297"/>
      <c r="G18" s="297"/>
      <c r="H18" s="297"/>
      <c r="I18" s="298">
        <f>SUMIFS('Unos prihoda i primitaka'!$H$3:$H$502,'Unos prihoda i primitaka'!$C$3:$C$502,"=43",'Unos prihoda i primitaka'!$L$3:$L$502,"=81")</f>
        <v>0</v>
      </c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4">
        <f>SUMIFS('Unos prihoda i primitaka'!$H$3:$H$502,'Unos prihoda i primitaka'!$C$3:$C$502,"=81",'Unos prihoda i primitaka'!$L$3:$L$502,"=81")</f>
        <v>0</v>
      </c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</row>
    <row r="19" spans="1:43" ht="25.5">
      <c r="A19" s="102">
        <v>2024</v>
      </c>
      <c r="B19" s="180">
        <v>82</v>
      </c>
      <c r="C19" s="104" t="s">
        <v>3781</v>
      </c>
      <c r="D19" s="292">
        <f t="shared" si="3"/>
        <v>0</v>
      </c>
      <c r="E19" s="297"/>
      <c r="F19" s="297"/>
      <c r="G19" s="297"/>
      <c r="H19" s="297"/>
      <c r="I19" s="298">
        <f>SUMIFS('Unos prihoda i primitaka'!$H$3:$H$502,'Unos prihoda i primitaka'!$C$3:$C$502,"=43",'Unos prihoda i primitaka'!$L$3:$L$502,"=82")</f>
        <v>0</v>
      </c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4">
        <f>SUMIFS('Unos prihoda i primitaka'!$H$3:$H$502,'Unos prihoda i primitaka'!$C$3:$C$502,"=81",'Unos prihoda i primitaka'!$L$3:$L$502,"=82")</f>
        <v>0</v>
      </c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</row>
    <row r="20" spans="1:43" ht="25.5">
      <c r="A20" s="102">
        <v>2024</v>
      </c>
      <c r="B20" s="180">
        <v>83</v>
      </c>
      <c r="C20" s="104" t="s">
        <v>3782</v>
      </c>
      <c r="D20" s="292">
        <f t="shared" si="3"/>
        <v>0</v>
      </c>
      <c r="E20" s="297"/>
      <c r="F20" s="297"/>
      <c r="G20" s="297"/>
      <c r="H20" s="297"/>
      <c r="I20" s="298">
        <f>SUMIFS('Unos prihoda i primitaka'!$H$3:$H$502,'Unos prihoda i primitaka'!$C$3:$C$502,"=43",'Unos prihoda i primitaka'!$L$3:$L$502,"=83")</f>
        <v>0</v>
      </c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4">
        <f>SUMIFS('Unos prihoda i primitaka'!$H$3:$H$502,'Unos prihoda i primitaka'!$C$3:$C$502,"=81",'Unos prihoda i primitaka'!$L$3:$L$502,"=83")</f>
        <v>0</v>
      </c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</row>
    <row r="21" spans="1:43">
      <c r="A21" s="102">
        <v>2024</v>
      </c>
      <c r="B21" s="180">
        <v>84</v>
      </c>
      <c r="C21" s="104" t="s">
        <v>3783</v>
      </c>
      <c r="D21" s="292">
        <f t="shared" si="3"/>
        <v>0</v>
      </c>
      <c r="E21" s="297"/>
      <c r="F21" s="297"/>
      <c r="G21" s="297"/>
      <c r="H21" s="297"/>
      <c r="I21" s="298">
        <f>SUMIFS('Unos prihoda i primitaka'!$H$3:$H$502,'Unos prihoda i primitaka'!$C$3:$C$502,"=43",'Unos prihoda i primitaka'!$L$3:$L$502,"=84")</f>
        <v>0</v>
      </c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4">
        <f>SUMIFS('Unos prihoda i primitaka'!$H$3:$H$502,'Unos prihoda i primitaka'!$C$3:$C$502,"=81",'Unos prihoda i primitaka'!$L$3:$L$502,"=84")</f>
        <v>0</v>
      </c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</row>
    <row r="22" spans="1:43" ht="25.5">
      <c r="A22" s="102">
        <v>2024</v>
      </c>
      <c r="B22" s="146">
        <v>5</v>
      </c>
      <c r="C22" s="147" t="s">
        <v>115</v>
      </c>
      <c r="D22" s="161">
        <f t="shared" ref="D22:D24" si="4">SUM(E22:W22)</f>
        <v>0</v>
      </c>
      <c r="E22" s="296">
        <f t="shared" ref="E22:W22" si="5">+E23+E24</f>
        <v>0</v>
      </c>
      <c r="F22" s="296">
        <f t="shared" si="5"/>
        <v>0</v>
      </c>
      <c r="G22" s="296">
        <f t="shared" si="5"/>
        <v>0</v>
      </c>
      <c r="H22" s="296">
        <f t="shared" si="5"/>
        <v>0</v>
      </c>
      <c r="I22" s="296">
        <f t="shared" si="5"/>
        <v>0</v>
      </c>
      <c r="J22" s="296">
        <f t="shared" si="5"/>
        <v>0</v>
      </c>
      <c r="K22" s="296">
        <f t="shared" si="5"/>
        <v>0</v>
      </c>
      <c r="L22" s="296">
        <f t="shared" si="5"/>
        <v>0</v>
      </c>
      <c r="M22" s="296">
        <f t="shared" si="5"/>
        <v>0</v>
      </c>
      <c r="N22" s="296">
        <f t="shared" si="5"/>
        <v>0</v>
      </c>
      <c r="O22" s="296">
        <f t="shared" si="5"/>
        <v>0</v>
      </c>
      <c r="P22" s="296">
        <f t="shared" si="5"/>
        <v>0</v>
      </c>
      <c r="Q22" s="296">
        <f t="shared" si="5"/>
        <v>0</v>
      </c>
      <c r="R22" s="296">
        <f t="shared" si="5"/>
        <v>0</v>
      </c>
      <c r="S22" s="296">
        <f t="shared" si="5"/>
        <v>0</v>
      </c>
      <c r="T22" s="296">
        <f t="shared" si="5"/>
        <v>0</v>
      </c>
      <c r="U22" s="296">
        <f t="shared" si="5"/>
        <v>0</v>
      </c>
      <c r="V22" s="296">
        <f t="shared" si="5"/>
        <v>0</v>
      </c>
      <c r="W22" s="179">
        <f t="shared" si="5"/>
        <v>0</v>
      </c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</row>
    <row r="23" spans="1:43">
      <c r="A23" s="102">
        <v>2024</v>
      </c>
      <c r="B23" s="180">
        <v>51</v>
      </c>
      <c r="C23" s="104" t="s">
        <v>3784</v>
      </c>
      <c r="D23" s="105">
        <f t="shared" si="4"/>
        <v>0</v>
      </c>
      <c r="E23" s="153">
        <f>SUMIFS('Unos rashoda i izdataka'!$K$3:$K$506,'Unos rashoda i izdataka'!$C$3:$C$506,"=11",'Unos rashoda i izdataka'!$P$3:$P$506,"=51")+SUMIFS('Unos rashoda P4'!$I$3:$I$501,'Unos rashoda P4'!$A$3:$A$501,"=11",'Unos rashoda P4'!$S$3:$S$501,"=51")</f>
        <v>0</v>
      </c>
      <c r="F23" s="153">
        <f>SUMIFS('Unos rashoda i izdataka'!$K$3:$K$506,'Unos rashoda i izdataka'!$C$3:$C$506,"=12",'Unos rashoda i izdataka'!$P$3:$P$506,"=51")+SUMIFS('Unos rashoda P4'!$I$3:$I$501,'Unos rashoda P4'!$A$3:$A$501,"=12",'Unos rashoda P4'!$S$3:$S$501,"=51")</f>
        <v>0</v>
      </c>
      <c r="G23" s="153">
        <f>SUMIFS('Unos rashoda i izdataka'!$K$3:$K$506,'Unos rashoda i izdataka'!$C$3:$C$506,"=31",'Unos rashoda i izdataka'!$P$3:$P$506,"=51")+SUMIFS('Unos rashoda P4'!$I$3:$I$501,'Unos rashoda P4'!$A$3:$A$501,"=31",'Unos rashoda P4'!$S$3:$S$501,"=51")</f>
        <v>0</v>
      </c>
      <c r="H23" s="153">
        <f>SUMIFS('Unos rashoda i izdataka'!$K$3:$K$506,'Unos rashoda i izdataka'!$C$3:$C$506,"=41",'Unos rashoda i izdataka'!$P$3:$P$506,"=51")+SUMIFS('Unos rashoda P4'!$I$3:$I$501,'Unos rashoda P4'!$A$3:$A$501,"=41",'Unos rashoda P4'!$S$3:$S$501,"=51")</f>
        <v>0</v>
      </c>
      <c r="I23" s="153">
        <f>SUMIFS('Unos rashoda i izdataka'!$K$3:$K$506,'Unos rashoda i izdataka'!$C$3:$C$506,"=43",'Unos rashoda i izdataka'!$P$3:$P$506,"=51")+SUMIFS('Unos rashoda P4'!$I$3:$I$501,'Unos rashoda P4'!$A$3:$A$501,"=43",'Unos rashoda P4'!$S$3:$S$501,"=51")</f>
        <v>0</v>
      </c>
      <c r="J23" s="153">
        <f>SUMIFS('Unos rashoda i izdataka'!$K$3:$K$506,'Unos rashoda i izdataka'!$C$3:$C$506,"=51",'Unos rashoda i izdataka'!$P$3:$P$506,"=51")+SUMIFS('Unos rashoda P4'!$I$3:$I$501,'Unos rashoda P4'!$A$3:$A$501,"=51",'Unos rashoda P4'!$S$3:$S$501,"=51")</f>
        <v>0</v>
      </c>
      <c r="K23" s="153">
        <f>SUMIFS('Unos rashoda i izdataka'!$K$3:$K$506,'Unos rashoda i izdataka'!$C$3:$C$506,"=52",'Unos rashoda i izdataka'!$P$3:$P$506,"=51")+SUMIFS('Unos rashoda P4'!$I$3:$I$501,'Unos rashoda P4'!$A$3:$A$501,"=52",'Unos rashoda P4'!$S$3:$S$501,"=51")</f>
        <v>0</v>
      </c>
      <c r="L23" s="153">
        <f>SUMIFS('Unos rashoda i izdataka'!$K$3:$K$506,'Unos rashoda i izdataka'!$C$3:$C$506,"=552",'Unos rashoda i izdataka'!$P$3:$P$506,"=51")+SUMIFS('Unos rashoda P4'!$I$3:$I$501,'Unos rashoda P4'!$A$3:$A$501,"=552",'Unos rashoda P4'!$S$3:$S$501,"=51")</f>
        <v>0</v>
      </c>
      <c r="M23" s="153">
        <f>SUMIFS('Unos rashoda i izdataka'!$K$3:$K$506,'Unos rashoda i izdataka'!$C$3:$C$506,"=559",'Unos rashoda i izdataka'!$P$3:$P$506,"=51")+SUMIFS('Unos rashoda P4'!$I$3:$I$501,'Unos rashoda P4'!$A$3:$A$501,"=559",'Unos rashoda P4'!$S$3:$S$501,"=51")</f>
        <v>0</v>
      </c>
      <c r="N23" s="153">
        <f>SUMIFS('Unos rashoda i izdataka'!$K$3:$K$506,'Unos rashoda i izdataka'!$C$3:$C$506,"=561",'Unos rashoda i izdataka'!$P$3:$P$506,"=51")+SUMIFS('Unos rashoda P4'!$I$3:$I$501,'Unos rashoda P4'!$A$3:$A$501,"=561",'Unos rashoda P4'!$S$3:$S$501,"=51")</f>
        <v>0</v>
      </c>
      <c r="O23" s="153">
        <f>SUMIFS('Unos rashoda i izdataka'!$K$3:$K$506,'Unos rashoda i izdataka'!$C$3:$C$506,"=563",'Unos rashoda i izdataka'!$P$3:$P$506,"=51")+SUMIFS('Unos rashoda P4'!$I$3:$I$501,'Unos rashoda P4'!$A$3:$A$501,"=563",'Unos rashoda P4'!$S$3:$S$501,"=51")</f>
        <v>0</v>
      </c>
      <c r="P23" s="153">
        <f>SUMIFS('Unos rashoda i izdataka'!$K$3:$K$506,'Unos rashoda i izdataka'!$C$3:$C$506,"=573",'Unos rashoda i izdataka'!$P$3:$P$506,"=51")+SUMIFS('Unos rashoda P4'!$I$3:$I$501,'Unos rashoda P4'!$A$3:$A$501,"=573",'Unos rashoda P4'!$S$3:$S$501,"=51")</f>
        <v>0</v>
      </c>
      <c r="Q23" s="153">
        <f>SUMIFS('Unos rashoda i izdataka'!$K$3:$K$506,'Unos rashoda i izdataka'!$C$3:$C$506,"=575",'Unos rashoda i izdataka'!$P$3:$P$506,"=51")+SUMIFS('Unos rashoda P4'!$I$3:$I$501,'Unos rashoda P4'!$A$3:$A$501,"=575",'Unos rashoda P4'!$S$3:$S$501,"=51")</f>
        <v>0</v>
      </c>
      <c r="R23" s="153">
        <f>SUMIFS('Unos rashoda i izdataka'!$K$3:$K$506,'Unos rashoda i izdataka'!$Q$3:$Q$506,"=576",'Unos rashoda i izdataka'!$P$3:$P$506,"=51")+SUMIFS('Unos rashoda P4'!$I$3:$I$501,'Unos rashoda P4'!$A$3:$A$501,"=576",'Unos rashoda P4'!$S$3:$S$501,"=51")</f>
        <v>0</v>
      </c>
      <c r="S23" s="153">
        <f>SUMIFS('Unos rashoda i izdataka'!$K$3:$K$506,'Unos rashoda i izdataka'!$C$3:$C$506,"=581",'Unos rashoda i izdataka'!$P$3:$P$506,"=51")+SUMIFS('Unos rashoda P4'!$I$3:$I$501,'Unos rashoda P4'!$A$3:$A$501,"=581",'Unos rashoda P4'!$S$3:$S$501,"=51")</f>
        <v>0</v>
      </c>
      <c r="T23" s="153">
        <f>SUMIFS('Unos rashoda i izdataka'!$K$3:$K$506,'Unos rashoda i izdataka'!$C$3:$C$506,"=61",'Unos rashoda i izdataka'!$P$3:$P$506,"=51")+SUMIFS('Unos rashoda P4'!$I$3:$I$501,'Unos rashoda P4'!$A$3:$A$501,"=61",'Unos rashoda P4'!$S$3:$S$501,"=51")</f>
        <v>0</v>
      </c>
      <c r="U23" s="153">
        <f>SUMIFS('Unos rashoda i izdataka'!$K$3:$K$506,'Unos rashoda i izdataka'!$C$3:$C$506,"=63",'Unos rashoda i izdataka'!$P$3:$P$506,"=51")+SUMIFS('Unos rashoda P4'!$I$3:$I$501,'Unos rashoda P4'!$A$3:$A$501,"=63",'Unos rashoda P4'!$S$3:$S$501,"=51")</f>
        <v>0</v>
      </c>
      <c r="V23" s="153">
        <f>SUMIFS('Unos rashoda i izdataka'!$K$3:$K$506,'Unos rashoda i izdataka'!$C$3:$C$506,"=71",'Unos rashoda i izdataka'!$P$3:$P$506,"=51")+SUMIFS('Unos rashoda P4'!$I$3:$I$501,'Unos rashoda P4'!$A$3:$A$501,"=71",'Unos rashoda P4'!$S$3:$S$501,"=51")</f>
        <v>0</v>
      </c>
      <c r="W23" s="153">
        <f>SUMIFS('Unos rashoda i izdataka'!$K$3:$K$506,'Unos rashoda i izdataka'!$C$3:$C$506,"=81",'Unos rashoda i izdataka'!$P$3:$P$506,"=51")+SUMIFS('Unos rashoda P4'!$I$3:$I$501,'Unos rashoda P4'!$A$3:$A$501,"=81",'Unos rashoda P4'!$S$3:$S$501,"=51")</f>
        <v>0</v>
      </c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</row>
    <row r="24" spans="1:43" ht="25.5">
      <c r="A24" s="102">
        <v>2024</v>
      </c>
      <c r="B24" s="180">
        <v>54</v>
      </c>
      <c r="C24" s="104" t="s">
        <v>3785</v>
      </c>
      <c r="D24" s="105">
        <f t="shared" si="4"/>
        <v>0</v>
      </c>
      <c r="E24" s="153">
        <f>SUMIFS('Unos rashoda i izdataka'!$K$3:$K$506,'Unos rashoda i izdataka'!$C$3:$C$506,"=11",'Unos rashoda i izdataka'!$P$3:$P$506,"=54")+SUMIFS('Unos rashoda P4'!$I$3:$I$501,'Unos rashoda P4'!$A$3:$A$501,"=11",'Unos rashoda P4'!$S$3:$S$501,"=54")</f>
        <v>0</v>
      </c>
      <c r="F24" s="153">
        <f>SUMIFS('Unos rashoda i izdataka'!$K$3:$K$506,'Unos rashoda i izdataka'!$C$3:$C$506,"=12",'Unos rashoda i izdataka'!$P$3:$P$506,"=54")+SUMIFS('Unos rashoda P4'!$I$3:$I$501,'Unos rashoda P4'!$A$3:$A$501,"=12",'Unos rashoda P4'!$S$3:$S$501,"=54")</f>
        <v>0</v>
      </c>
      <c r="G24" s="153">
        <f>SUMIFS('Unos rashoda i izdataka'!$K$3:$K$506,'Unos rashoda i izdataka'!$C$3:$C$506,"=31",'Unos rashoda i izdataka'!$P$3:$P$506,"=54")+SUMIFS('Unos rashoda P4'!$I$3:$I$501,'Unos rashoda P4'!$A$3:$A$501,"=31",'Unos rashoda P4'!$S$3:$S$501,"=54")</f>
        <v>0</v>
      </c>
      <c r="H24" s="153">
        <f>SUMIFS('Unos rashoda i izdataka'!$K$3:$K$506,'Unos rashoda i izdataka'!$C$3:$C$506,"=41",'Unos rashoda i izdataka'!$P$3:$P$506,"=54")+SUMIFS('Unos rashoda P4'!$I$3:$I$501,'Unos rashoda P4'!$A$3:$A$501,"=41",'Unos rashoda P4'!$S$3:$S$501,"=54")</f>
        <v>0</v>
      </c>
      <c r="I24" s="153">
        <f>SUMIFS('Unos rashoda i izdataka'!$K$3:$K$506,'Unos rashoda i izdataka'!$C$3:$C$506,"=43",'Unos rashoda i izdataka'!$P$3:$P$506,"=54")+SUMIFS('Unos rashoda P4'!$I$3:$I$501,'Unos rashoda P4'!$A$3:$A$501,"=43",'Unos rashoda P4'!$S$3:$S$501,"=54")</f>
        <v>0</v>
      </c>
      <c r="J24" s="153">
        <f>SUMIFS('Unos rashoda i izdataka'!$K$3:$K$506,'Unos rashoda i izdataka'!$C$3:$C$506,"=51",'Unos rashoda i izdataka'!$P$3:$P$506,"=54")+SUMIFS('Unos rashoda P4'!$I$3:$I$501,'Unos rashoda P4'!$A$3:$A$501,"=51",'Unos rashoda P4'!$S$3:$S$501,"=54")</f>
        <v>0</v>
      </c>
      <c r="K24" s="153">
        <f>SUMIFS('Unos rashoda i izdataka'!$K$3:$K$506,'Unos rashoda i izdataka'!$C$3:$C$506,"=52",'Unos rashoda i izdataka'!$P$3:$P$506,"=54")+SUMIFS('Unos rashoda P4'!$I$3:$I$501,'Unos rashoda P4'!$A$3:$A$501,"=52",'Unos rashoda P4'!$S$3:$S$501,"=54")</f>
        <v>0</v>
      </c>
      <c r="L24" s="153">
        <f>SUMIFS('Unos rashoda i izdataka'!$K$3:$K$506,'Unos rashoda i izdataka'!$C$3:$C$506,"=552",'Unos rashoda i izdataka'!$P$3:$P$506,"=54")+SUMIFS('Unos rashoda P4'!$I$3:$I$501,'Unos rashoda P4'!$A$3:$A$501,"=552",'Unos rashoda P4'!$S$3:$S$501,"=54")</f>
        <v>0</v>
      </c>
      <c r="M24" s="153">
        <f>SUMIFS('Unos rashoda i izdataka'!$K$3:$K$506,'Unos rashoda i izdataka'!$C$3:$C$506,"=559",'Unos rashoda i izdataka'!$P$3:$P$506,"=54")+SUMIFS('Unos rashoda P4'!$I$3:$I$501,'Unos rashoda P4'!$A$3:$A$501,"=559",'Unos rashoda P4'!$S$3:$S$501,"=54")</f>
        <v>0</v>
      </c>
      <c r="N24" s="153">
        <f>SUMIFS('Unos rashoda i izdataka'!$K$3:$K$506,'Unos rashoda i izdataka'!$C$3:$C$506,"=561",'Unos rashoda i izdataka'!$P$3:$P$506,"=54")+SUMIFS('Unos rashoda P4'!$I$3:$I$501,'Unos rashoda P4'!$A$3:$A$501,"=561",'Unos rashoda P4'!$S$3:$S$501,"=54")</f>
        <v>0</v>
      </c>
      <c r="O24" s="153">
        <f>SUMIFS('Unos rashoda i izdataka'!$K$3:$K$506,'Unos rashoda i izdataka'!$C$3:$C$506,"=563",'Unos rashoda i izdataka'!$P$3:$P$506,"=54")+SUMIFS('Unos rashoda P4'!$I$3:$I$501,'Unos rashoda P4'!$A$3:$A$501,"=563",'Unos rashoda P4'!$S$3:$S$501,"=54")</f>
        <v>0</v>
      </c>
      <c r="P24" s="153">
        <f>SUMIFS('Unos rashoda i izdataka'!$K$3:$K$506,'Unos rashoda i izdataka'!$C$3:$C$506,"=573",'Unos rashoda i izdataka'!$P$3:$P$506,"=54")+SUMIFS('Unos rashoda P4'!$I$3:$I$501,'Unos rashoda P4'!$A$3:$A$501,"=573",'Unos rashoda P4'!$S$3:$S$501,"=54")</f>
        <v>0</v>
      </c>
      <c r="Q24" s="153">
        <f>SUMIFS('Unos rashoda i izdataka'!$K$3:$K$506,'Unos rashoda i izdataka'!$C$3:$C$506,"=575",'Unos rashoda i izdataka'!$P$3:$P$506,"=54")+SUMIFS('Unos rashoda P4'!$I$3:$I$501,'Unos rashoda P4'!$A$3:$A$501,"=575",'Unos rashoda P4'!$S$3:$S$501,"=54")</f>
        <v>0</v>
      </c>
      <c r="R24" s="153">
        <f>SUMIFS('Unos rashoda i izdataka'!$K$3:$K$506,'Unos rashoda i izdataka'!$Q$3:$Q$506,"=576",'Unos rashoda i izdataka'!$P$3:$P$506,"=54")+SUMIFS('Unos rashoda P4'!$I$3:$I$501,'Unos rashoda P4'!$A$3:$A$501,"=576",'Unos rashoda P4'!$S$3:$S$501,"=54")</f>
        <v>0</v>
      </c>
      <c r="S24" s="153">
        <f>SUMIFS('Unos rashoda i izdataka'!$K$3:$K$506,'Unos rashoda i izdataka'!$C$3:$C$506,"=581",'Unos rashoda i izdataka'!$P$3:$P$506,"=54")+SUMIFS('Unos rashoda P4'!$I$3:$I$501,'Unos rashoda P4'!$A$3:$A$501,"=581",'Unos rashoda P4'!$S$3:$S$501,"=54")</f>
        <v>0</v>
      </c>
      <c r="T24" s="153">
        <f>SUMIFS('Unos rashoda i izdataka'!$K$3:$K$506,'Unos rashoda i izdataka'!$C$3:$C$506,"=61",'Unos rashoda i izdataka'!$P$3:$P$506,"=54")+SUMIFS('Unos rashoda P4'!$I$3:$I$501,'Unos rashoda P4'!$A$3:$A$501,"=61",'Unos rashoda P4'!$S$3:$S$501,"=54")</f>
        <v>0</v>
      </c>
      <c r="U24" s="153">
        <f>SUMIFS('Unos rashoda i izdataka'!$K$3:$K$506,'Unos rashoda i izdataka'!$C$3:$C$506,"=63",'Unos rashoda i izdataka'!$P$3:$P$506,"=54")+SUMIFS('Unos rashoda P4'!$I$3:$I$501,'Unos rashoda P4'!$A$3:$A$501,"=63",'Unos rashoda P4'!$S$3:$S$501,"=54")</f>
        <v>0</v>
      </c>
      <c r="V24" s="153">
        <f>SUMIFS('Unos rashoda i izdataka'!$K$3:$K$506,'Unos rashoda i izdataka'!$C$3:$C$506,"=71",'Unos rashoda i izdataka'!$P$3:$P$506,"=54")+SUMIFS('Unos rashoda P4'!$I$3:$I$501,'Unos rashoda P4'!$A$3:$A$501,"=71",'Unos rashoda P4'!$S$3:$S$501,"=54")</f>
        <v>0</v>
      </c>
      <c r="W24" s="153">
        <f>SUMIFS('Unos rashoda i izdataka'!$K$3:$K$506,'Unos rashoda i izdataka'!$C$3:$C$506,"=81",'Unos rashoda i izdataka'!$P$3:$P$506,"=54")+SUMIFS('Unos rashoda P4'!$I$3:$I$501,'Unos rashoda P4'!$A$3:$A$501,"=81",'Unos rashoda P4'!$S$3:$S$501,"=54")</f>
        <v>0</v>
      </c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</row>
    <row r="25" spans="1:43" ht="12.75" customHeight="1">
      <c r="A25" s="93"/>
      <c r="B25" s="117"/>
      <c r="C25" s="117"/>
      <c r="D25" s="117"/>
      <c r="E25" s="117"/>
      <c r="F25" s="117"/>
      <c r="G25" s="117"/>
      <c r="H25" s="117"/>
      <c r="I25" s="118"/>
      <c r="J25" s="119"/>
      <c r="K25" s="119"/>
      <c r="L25" s="119"/>
      <c r="M25" s="119"/>
      <c r="N25" s="119"/>
      <c r="O25" s="119"/>
      <c r="P25" s="119"/>
      <c r="Q25" s="119"/>
      <c r="R25" s="119"/>
      <c r="S25" s="96"/>
      <c r="T25" s="93"/>
      <c r="U25" s="93"/>
      <c r="V25" s="93"/>
      <c r="W25" s="96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</row>
    <row r="26" spans="1:43" ht="12.75" customHeight="1">
      <c r="A26" s="94"/>
      <c r="B26" s="313" t="s">
        <v>3778</v>
      </c>
      <c r="C26" s="314"/>
      <c r="D26" s="315" t="s">
        <v>3787</v>
      </c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4"/>
      <c r="V26" s="178"/>
      <c r="W26" s="178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</row>
    <row r="27" spans="1:43" ht="12.75" customHeight="1">
      <c r="A27" s="97" t="s">
        <v>3598</v>
      </c>
      <c r="B27" s="98" t="s">
        <v>3599</v>
      </c>
      <c r="C27" s="98" t="s">
        <v>3600</v>
      </c>
      <c r="D27" s="99" t="s">
        <v>3601</v>
      </c>
      <c r="E27" s="299" t="s">
        <v>3602</v>
      </c>
      <c r="F27" s="299" t="s">
        <v>3603</v>
      </c>
      <c r="G27" s="299" t="s">
        <v>3604</v>
      </c>
      <c r="H27" s="299" t="s">
        <v>3605</v>
      </c>
      <c r="I27" s="299" t="s">
        <v>3606</v>
      </c>
      <c r="J27" s="299" t="s">
        <v>3607</v>
      </c>
      <c r="K27" s="299" t="s">
        <v>3608</v>
      </c>
      <c r="L27" s="299" t="s">
        <v>3609</v>
      </c>
      <c r="M27" s="299" t="s">
        <v>3610</v>
      </c>
      <c r="N27" s="299" t="s">
        <v>3611</v>
      </c>
      <c r="O27" s="299" t="s">
        <v>3612</v>
      </c>
      <c r="P27" s="299" t="s">
        <v>3613</v>
      </c>
      <c r="Q27" s="299" t="s">
        <v>3614</v>
      </c>
      <c r="R27" s="299" t="s">
        <v>3615</v>
      </c>
      <c r="S27" s="141" t="s">
        <v>3616</v>
      </c>
      <c r="T27" s="141" t="s">
        <v>3617</v>
      </c>
      <c r="U27" s="141" t="s">
        <v>3618</v>
      </c>
      <c r="V27" s="141" t="s">
        <v>3619</v>
      </c>
      <c r="W27" s="101" t="s">
        <v>3620</v>
      </c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</row>
    <row r="28" spans="1:43" ht="25.5">
      <c r="A28" s="102">
        <v>2025</v>
      </c>
      <c r="B28" s="146">
        <v>8</v>
      </c>
      <c r="C28" s="147" t="s">
        <v>110</v>
      </c>
      <c r="D28" s="291">
        <f t="shared" ref="D28:D32" si="6">+I28+W28</f>
        <v>0</v>
      </c>
      <c r="E28" s="297"/>
      <c r="F28" s="297"/>
      <c r="G28" s="297"/>
      <c r="H28" s="297"/>
      <c r="I28" s="297">
        <f>SUM(I29:I32)</f>
        <v>0</v>
      </c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3">
        <f>SUM(W29:W32)</f>
        <v>0</v>
      </c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</row>
    <row r="29" spans="1:43" ht="25.5">
      <c r="A29" s="102">
        <v>2025</v>
      </c>
      <c r="B29" s="180">
        <v>81</v>
      </c>
      <c r="C29" s="104" t="s">
        <v>3780</v>
      </c>
      <c r="D29" s="292">
        <f t="shared" si="6"/>
        <v>0</v>
      </c>
      <c r="E29" s="297"/>
      <c r="F29" s="297"/>
      <c r="G29" s="297"/>
      <c r="H29" s="297"/>
      <c r="I29" s="298">
        <f>SUMIFS('Unos prihoda i primitaka'!$I$3:$I$502,'Unos prihoda i primitaka'!$C$3:$C$502,"=43",'Unos prihoda i primitaka'!$L$3:$L$502,"=81")</f>
        <v>0</v>
      </c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4">
        <f>SUMIFS('Unos prihoda i primitaka'!$I$3:$I$502,'Unos prihoda i primitaka'!$C$3:$C$502,"=81",'Unos prihoda i primitaka'!$L$3:$L$502,"=81")</f>
        <v>0</v>
      </c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</row>
    <row r="30" spans="1:43" ht="25.5">
      <c r="A30" s="102">
        <v>2025</v>
      </c>
      <c r="B30" s="180">
        <v>82</v>
      </c>
      <c r="C30" s="104" t="s">
        <v>3781</v>
      </c>
      <c r="D30" s="292">
        <f t="shared" si="6"/>
        <v>0</v>
      </c>
      <c r="E30" s="297"/>
      <c r="F30" s="297"/>
      <c r="G30" s="297"/>
      <c r="H30" s="297"/>
      <c r="I30" s="298">
        <f>SUMIFS('Unos prihoda i primitaka'!$I$3:$I$502,'Unos prihoda i primitaka'!$C$3:$C$502,"=43",'Unos prihoda i primitaka'!$L$3:$L$502,"=82")</f>
        <v>0</v>
      </c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4">
        <f>SUMIFS('Unos prihoda i primitaka'!$I$3:$I$502,'Unos prihoda i primitaka'!$C$3:$C$502,"=81",'Unos prihoda i primitaka'!$L$3:$L$502,"=82")</f>
        <v>0</v>
      </c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</row>
    <row r="31" spans="1:43" ht="25.5">
      <c r="A31" s="102">
        <v>2025</v>
      </c>
      <c r="B31" s="180">
        <v>83</v>
      </c>
      <c r="C31" s="104" t="s">
        <v>3782</v>
      </c>
      <c r="D31" s="292">
        <f t="shared" si="6"/>
        <v>0</v>
      </c>
      <c r="E31" s="297"/>
      <c r="F31" s="297"/>
      <c r="G31" s="297"/>
      <c r="H31" s="297"/>
      <c r="I31" s="298">
        <f>SUMIFS('Unos prihoda i primitaka'!$I$3:$I$502,'Unos prihoda i primitaka'!$C$3:$C$502,"=43",'Unos prihoda i primitaka'!$L$3:$L$502,"=83")</f>
        <v>0</v>
      </c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4">
        <f>SUMIFS('Unos prihoda i primitaka'!$I$3:$I$502,'Unos prihoda i primitaka'!$C$3:$C$502,"=81",'Unos prihoda i primitaka'!$L$3:$L$502,"=83")</f>
        <v>0</v>
      </c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</row>
    <row r="32" spans="1:43">
      <c r="A32" s="102">
        <v>2025</v>
      </c>
      <c r="B32" s="180">
        <v>84</v>
      </c>
      <c r="C32" s="104" t="s">
        <v>3783</v>
      </c>
      <c r="D32" s="292">
        <f t="shared" si="6"/>
        <v>0</v>
      </c>
      <c r="E32" s="297"/>
      <c r="F32" s="297"/>
      <c r="G32" s="297"/>
      <c r="H32" s="297"/>
      <c r="I32" s="298">
        <f>SUMIFS('Unos prihoda i primitaka'!$I$3:$I$502,'Unos prihoda i primitaka'!$C$3:$C$502,"=43",'Unos prihoda i primitaka'!$L$3:$L$502,"=84")</f>
        <v>0</v>
      </c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4">
        <f>SUMIFS('Unos prihoda i primitaka'!$I$3:$I$502,'Unos prihoda i primitaka'!$C$3:$C$502,"=81",'Unos prihoda i primitaka'!$L$3:$L$502,"=84")</f>
        <v>0</v>
      </c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</row>
    <row r="33" spans="1:43" ht="25.5">
      <c r="A33" s="102">
        <v>2025</v>
      </c>
      <c r="B33" s="146">
        <v>5</v>
      </c>
      <c r="C33" s="147" t="s">
        <v>115</v>
      </c>
      <c r="D33" s="161">
        <f t="shared" ref="D33:D35" si="7">SUM(E33:W33)</f>
        <v>0</v>
      </c>
      <c r="E33" s="296">
        <f t="shared" ref="E33:W33" si="8">+E34+E35</f>
        <v>0</v>
      </c>
      <c r="F33" s="296">
        <f t="shared" si="8"/>
        <v>0</v>
      </c>
      <c r="G33" s="296">
        <f t="shared" si="8"/>
        <v>0</v>
      </c>
      <c r="H33" s="296">
        <f t="shared" si="8"/>
        <v>0</v>
      </c>
      <c r="I33" s="296">
        <f t="shared" si="8"/>
        <v>0</v>
      </c>
      <c r="J33" s="296">
        <f t="shared" si="8"/>
        <v>0</v>
      </c>
      <c r="K33" s="296">
        <f t="shared" si="8"/>
        <v>0</v>
      </c>
      <c r="L33" s="296">
        <f t="shared" si="8"/>
        <v>0</v>
      </c>
      <c r="M33" s="296">
        <f t="shared" si="8"/>
        <v>0</v>
      </c>
      <c r="N33" s="296">
        <f t="shared" si="8"/>
        <v>0</v>
      </c>
      <c r="O33" s="296">
        <f t="shared" si="8"/>
        <v>0</v>
      </c>
      <c r="P33" s="296">
        <f t="shared" si="8"/>
        <v>0</v>
      </c>
      <c r="Q33" s="296">
        <f t="shared" si="8"/>
        <v>0</v>
      </c>
      <c r="R33" s="296">
        <f t="shared" si="8"/>
        <v>0</v>
      </c>
      <c r="S33" s="296">
        <f t="shared" si="8"/>
        <v>0</v>
      </c>
      <c r="T33" s="296">
        <f t="shared" si="8"/>
        <v>0</v>
      </c>
      <c r="U33" s="296">
        <f t="shared" si="8"/>
        <v>0</v>
      </c>
      <c r="V33" s="296">
        <f t="shared" si="8"/>
        <v>0</v>
      </c>
      <c r="W33" s="179">
        <f t="shared" si="8"/>
        <v>0</v>
      </c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</row>
    <row r="34" spans="1:43">
      <c r="A34" s="102">
        <v>2025</v>
      </c>
      <c r="B34" s="180">
        <v>51</v>
      </c>
      <c r="C34" s="104" t="s">
        <v>3784</v>
      </c>
      <c r="D34" s="105">
        <f t="shared" si="7"/>
        <v>0</v>
      </c>
      <c r="E34" s="153">
        <f>SUMIFS('Unos rashoda i izdataka'!$L$3:$L$506,'Unos rashoda i izdataka'!$C$3:$C$506,"=11",'Unos rashoda i izdataka'!$P$3:$P$506,"=51")+SUMIFS('Unos rashoda P4'!$J$3:$J$501,'Unos rashoda P4'!$A$3:$A$501,"=11",'Unos rashoda P4'!$S$3:$S$501,"=51")</f>
        <v>0</v>
      </c>
      <c r="F34" s="153">
        <f>SUMIFS('Unos rashoda i izdataka'!$L$3:$L$506,'Unos rashoda i izdataka'!$C$3:$C$506,"=12",'Unos rashoda i izdataka'!$P$3:$P$506,"=51")+SUMIFS('Unos rashoda P4'!$J$3:$J$501,'Unos rashoda P4'!$A$3:$A$501,"=12",'Unos rashoda P4'!$S$3:$S$501,"=51")</f>
        <v>0</v>
      </c>
      <c r="G34" s="153">
        <f>SUMIFS('Unos rashoda i izdataka'!$L$3:$L$506,'Unos rashoda i izdataka'!$C$3:$C$506,"=31",'Unos rashoda i izdataka'!$P$3:$P$506,"=51")+SUMIFS('Unos rashoda P4'!$J$3:$J$501,'Unos rashoda P4'!$A$3:$A$501,"=31",'Unos rashoda P4'!$S$3:$S$501,"=51")</f>
        <v>0</v>
      </c>
      <c r="H34" s="153">
        <f>SUMIFS('Unos rashoda i izdataka'!$L$3:$L$506,'Unos rashoda i izdataka'!$C$3:$C$506,"=41",'Unos rashoda i izdataka'!$P$3:$P$506,"=51")+SUMIFS('Unos rashoda P4'!$J$3:$J$501,'Unos rashoda P4'!$A$3:$A$501,"=41",'Unos rashoda P4'!$S$3:$S$501,"=51")</f>
        <v>0</v>
      </c>
      <c r="I34" s="153">
        <f>SUMIFS('Unos rashoda i izdataka'!$L$3:$L$506,'Unos rashoda i izdataka'!$C$3:$C$506,"=43",'Unos rashoda i izdataka'!$P$3:$P$506,"=51")+SUMIFS('Unos rashoda P4'!$J$3:$J$501,'Unos rashoda P4'!$A$3:$A$501,"=43",'Unos rashoda P4'!$S$3:$S$501,"=51")</f>
        <v>0</v>
      </c>
      <c r="J34" s="153">
        <f>SUMIFS('Unos rashoda i izdataka'!$L$3:$L$506,'Unos rashoda i izdataka'!$C$3:$C$506,"=51",'Unos rashoda i izdataka'!$P$3:$P$506,"=51")+SUMIFS('Unos rashoda P4'!$J$3:$J$501,'Unos rashoda P4'!$A$3:$A$501,"=51",'Unos rashoda P4'!$S$3:$S$501,"=51")</f>
        <v>0</v>
      </c>
      <c r="K34" s="153">
        <f>SUMIFS('Unos rashoda i izdataka'!$L$3:$L$506,'Unos rashoda i izdataka'!$C$3:$C$506,"=52",'Unos rashoda i izdataka'!$P$3:$P$506,"=51")+SUMIFS('Unos rashoda P4'!$J$3:$J$501,'Unos rashoda P4'!$A$3:$A$501,"=52",'Unos rashoda P4'!$S$3:$S$501,"=51")</f>
        <v>0</v>
      </c>
      <c r="L34" s="153">
        <f>SUMIFS('Unos rashoda i izdataka'!$L$3:$L$506,'Unos rashoda i izdataka'!$C$3:$C$506,"=552",'Unos rashoda i izdataka'!$P$3:$P$506,"=51")+SUMIFS('Unos rashoda P4'!$J$3:$J$501,'Unos rashoda P4'!$A$3:$A$501,"=552",'Unos rashoda P4'!$S$3:$S$501,"=51")</f>
        <v>0</v>
      </c>
      <c r="M34" s="153">
        <f>SUMIFS('Unos rashoda i izdataka'!$L$3:$L$506,'Unos rashoda i izdataka'!$C$3:$C$506,"=559",'Unos rashoda i izdataka'!$P$3:$P$506,"=51")+SUMIFS('Unos rashoda P4'!$J$3:$J$501,'Unos rashoda P4'!$A$3:$A$501,"=559",'Unos rashoda P4'!$S$3:$S$501,"=51")</f>
        <v>0</v>
      </c>
      <c r="N34" s="153">
        <f>SUMIFS('Unos rashoda i izdataka'!$L$3:$L$506,'Unos rashoda i izdataka'!$C$3:$C$506,"=561",'Unos rashoda i izdataka'!$P$3:$P$506,"=51")+SUMIFS('Unos rashoda P4'!$J$3:$J$501,'Unos rashoda P4'!$A$3:$A$501,"=561",'Unos rashoda P4'!$S$3:$S$501,"=51")</f>
        <v>0</v>
      </c>
      <c r="O34" s="153">
        <f>SUMIFS('Unos rashoda i izdataka'!$L$3:$L$506,'Unos rashoda i izdataka'!$C$3:$C$506,"=563",'Unos rashoda i izdataka'!$P$3:$P$506,"=51")+SUMIFS('Unos rashoda P4'!$J$3:$J$501,'Unos rashoda P4'!$A$3:$A$501,"=563",'Unos rashoda P4'!$S$3:$S$501,"=51")</f>
        <v>0</v>
      </c>
      <c r="P34" s="153">
        <f>SUMIFS('Unos rashoda i izdataka'!$L$3:$L$506,'Unos rashoda i izdataka'!$C$3:$C$506,"=573",'Unos rashoda i izdataka'!$P$3:$P$506,"=51")+SUMIFS('Unos rashoda P4'!$J$3:$J$501,'Unos rashoda P4'!$A$3:$A$501,"=573",'Unos rashoda P4'!$S$3:$S$501,"=51")</f>
        <v>0</v>
      </c>
      <c r="Q34" s="153">
        <f>SUMIFS('Unos rashoda i izdataka'!$L$3:$L$506,'Unos rashoda i izdataka'!$C$3:$C$506,"=575",'Unos rashoda i izdataka'!$P$3:$P$506,"=51")+SUMIFS('Unos rashoda P4'!$J$3:$J$501,'Unos rashoda P4'!$A$3:$A$501,"=575",'Unos rashoda P4'!$S$3:$S$501,"=51")</f>
        <v>0</v>
      </c>
      <c r="R34" s="153">
        <f>SUMIFS('Unos rashoda i izdataka'!$L$3:$L$506,'Unos rashoda i izdataka'!$Q$3:$Q$506,"=576",'Unos rashoda i izdataka'!$P$3:$P$506,"=51")+SUMIFS('Unos rashoda P4'!$J$3:$J$501,'Unos rashoda P4'!$A$3:$A$501,"=576",'Unos rashoda P4'!$S$3:$S$501,"=51")</f>
        <v>0</v>
      </c>
      <c r="S34" s="153">
        <f>SUMIFS('Unos rashoda i izdataka'!$L$3:$L$506,'Unos rashoda i izdataka'!$C$3:$C$506,"=581",'Unos rashoda i izdataka'!$P$3:$P$506,"=51")+SUMIFS('Unos rashoda P4'!$J$3:$J$501,'Unos rashoda P4'!$A$3:$A$501,"=581",'Unos rashoda P4'!$S$3:$S$501,"=51")</f>
        <v>0</v>
      </c>
      <c r="T34" s="153">
        <f>SUMIFS('Unos rashoda i izdataka'!$L$3:$L$506,'Unos rashoda i izdataka'!$C$3:$C$506,"=61",'Unos rashoda i izdataka'!$P$3:$P$506,"=51")+SUMIFS('Unos rashoda P4'!$J$3:$J$501,'Unos rashoda P4'!$A$3:$A$501,"=61",'Unos rashoda P4'!$S$3:$S$501,"=51")</f>
        <v>0</v>
      </c>
      <c r="U34" s="153">
        <f>SUMIFS('Unos rashoda i izdataka'!$L$3:$L$506,'Unos rashoda i izdataka'!$C$3:$C$506,"=63",'Unos rashoda i izdataka'!$P$3:$P$506,"=51")+SUMIFS('Unos rashoda P4'!$J$3:$J$501,'Unos rashoda P4'!$A$3:$A$501,"=63",'Unos rashoda P4'!$S$3:$S$501,"=51")</f>
        <v>0</v>
      </c>
      <c r="V34" s="153">
        <f>SUMIFS('Unos rashoda i izdataka'!$L$3:$L$506,'Unos rashoda i izdataka'!$C$3:$C$506,"=71",'Unos rashoda i izdataka'!$P$3:$P$506,"=51")+SUMIFS('Unos rashoda P4'!$J$3:$J$501,'Unos rashoda P4'!$A$3:$A$501,"=71",'Unos rashoda P4'!$S$3:$S$501,"=51")</f>
        <v>0</v>
      </c>
      <c r="W34" s="153">
        <f>SUMIFS('Unos rashoda i izdataka'!$L$3:$L$506,'Unos rashoda i izdataka'!$C$3:$C$506,"=81",'Unos rashoda i izdataka'!$P$3:$P$506,"=51")+SUMIFS('Unos rashoda P4'!$J$3:$J$501,'Unos rashoda P4'!$A$3:$A$501,"=81",'Unos rashoda P4'!$S$3:$S$501,"=51")</f>
        <v>0</v>
      </c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</row>
    <row r="35" spans="1:43" ht="25.5">
      <c r="A35" s="102">
        <v>2025</v>
      </c>
      <c r="B35" s="180">
        <v>54</v>
      </c>
      <c r="C35" s="104" t="s">
        <v>3785</v>
      </c>
      <c r="D35" s="105">
        <f t="shared" si="7"/>
        <v>0</v>
      </c>
      <c r="E35" s="153">
        <f>SUMIFS('Unos rashoda i izdataka'!$L$3:$L$506,'Unos rashoda i izdataka'!$C$3:$C$506,"=11",'Unos rashoda i izdataka'!$P$3:$P$506,"=54")+SUMIFS('Unos rashoda P4'!$J$3:$J$501,'Unos rashoda P4'!$A$3:$A$501,"=11",'Unos rashoda P4'!$S$3:$S$501,"=54")</f>
        <v>0</v>
      </c>
      <c r="F35" s="153">
        <f>SUMIFS('Unos rashoda i izdataka'!$L$3:$L$506,'Unos rashoda i izdataka'!$C$3:$C$506,"=12",'Unos rashoda i izdataka'!$P$3:$P$506,"=54")+SUMIFS('Unos rashoda P4'!$J$3:$J$501,'Unos rashoda P4'!$A$3:$A$501,"=12",'Unos rashoda P4'!$S$3:$S$501,"=54")</f>
        <v>0</v>
      </c>
      <c r="G35" s="153">
        <f>SUMIFS('Unos rashoda i izdataka'!$L$3:$L$506,'Unos rashoda i izdataka'!$C$3:$C$506,"=31",'Unos rashoda i izdataka'!$P$3:$P$506,"=54")+SUMIFS('Unos rashoda P4'!$J$3:$J$501,'Unos rashoda P4'!$A$3:$A$501,"=31",'Unos rashoda P4'!$S$3:$S$501,"=54")</f>
        <v>0</v>
      </c>
      <c r="H35" s="153">
        <f>SUMIFS('Unos rashoda i izdataka'!$L$3:$L$506,'Unos rashoda i izdataka'!$C$3:$C$506,"=41",'Unos rashoda i izdataka'!$P$3:$P$506,"=54")+SUMIFS('Unos rashoda P4'!$J$3:$J$501,'Unos rashoda P4'!$A$3:$A$501,"=41",'Unos rashoda P4'!$S$3:$S$501,"=54")</f>
        <v>0</v>
      </c>
      <c r="I35" s="153">
        <f>SUMIFS('Unos rashoda i izdataka'!$L$3:$L$506,'Unos rashoda i izdataka'!$C$3:$C$506,"=43",'Unos rashoda i izdataka'!$P$3:$P$506,"=54")+SUMIFS('Unos rashoda P4'!$J$3:$J$501,'Unos rashoda P4'!$A$3:$A$501,"=43",'Unos rashoda P4'!$S$3:$S$501,"=54")</f>
        <v>0</v>
      </c>
      <c r="J35" s="153">
        <f>SUMIFS('Unos rashoda i izdataka'!$L$3:$L$506,'Unos rashoda i izdataka'!$C$3:$C$506,"=51",'Unos rashoda i izdataka'!$P$3:$P$506,"=54")+SUMIFS('Unos rashoda P4'!$J$3:$J$501,'Unos rashoda P4'!$A$3:$A$501,"=51",'Unos rashoda P4'!$S$3:$S$501,"=54")</f>
        <v>0</v>
      </c>
      <c r="K35" s="153">
        <f>SUMIFS('Unos rashoda i izdataka'!$L$3:$L$506,'Unos rashoda i izdataka'!$C$3:$C$506,"=52",'Unos rashoda i izdataka'!$P$3:$P$506,"=54")+SUMIFS('Unos rashoda P4'!$J$3:$J$501,'Unos rashoda P4'!$A$3:$A$501,"=52",'Unos rashoda P4'!$S$3:$S$501,"=54")</f>
        <v>0</v>
      </c>
      <c r="L35" s="153">
        <f>SUMIFS('Unos rashoda i izdataka'!$L$3:$L$506,'Unos rashoda i izdataka'!$C$3:$C$506,"=552",'Unos rashoda i izdataka'!$P$3:$P$506,"=54")+SUMIFS('Unos rashoda P4'!$J$3:$J$501,'Unos rashoda P4'!$A$3:$A$501,"=552",'Unos rashoda P4'!$S$3:$S$501,"=54")</f>
        <v>0</v>
      </c>
      <c r="M35" s="153">
        <f>SUMIFS('Unos rashoda i izdataka'!$L$3:$L$506,'Unos rashoda i izdataka'!$C$3:$C$506,"=559",'Unos rashoda i izdataka'!$P$3:$P$506,"=54")+SUMIFS('Unos rashoda P4'!$J$3:$J$501,'Unos rashoda P4'!$A$3:$A$501,"=559",'Unos rashoda P4'!$S$3:$S$501,"=54")</f>
        <v>0</v>
      </c>
      <c r="N35" s="153">
        <f>SUMIFS('Unos rashoda i izdataka'!$L$3:$L$506,'Unos rashoda i izdataka'!$C$3:$C$506,"=561",'Unos rashoda i izdataka'!$P$3:$P$506,"=54")+SUMIFS('Unos rashoda P4'!$J$3:$J$501,'Unos rashoda P4'!$A$3:$A$501,"=561",'Unos rashoda P4'!$S$3:$S$501,"=54")</f>
        <v>0</v>
      </c>
      <c r="O35" s="153">
        <f>SUMIFS('Unos rashoda i izdataka'!$L$3:$L$506,'Unos rashoda i izdataka'!$C$3:$C$506,"=563",'Unos rashoda i izdataka'!$P$3:$P$506,"=54")+SUMIFS('Unos rashoda P4'!$J$3:$J$501,'Unos rashoda P4'!$A$3:$A$501,"=563",'Unos rashoda P4'!$S$3:$S$501,"=54")</f>
        <v>0</v>
      </c>
      <c r="P35" s="153">
        <f>SUMIFS('Unos rashoda i izdataka'!$L$3:$L$506,'Unos rashoda i izdataka'!$C$3:$C$506,"=573",'Unos rashoda i izdataka'!$P$3:$P$506,"=54")+SUMIFS('Unos rashoda P4'!$J$3:$J$501,'Unos rashoda P4'!$A$3:$A$501,"=573",'Unos rashoda P4'!$S$3:$S$501,"=54")</f>
        <v>0</v>
      </c>
      <c r="Q35" s="153">
        <f>SUMIFS('Unos rashoda i izdataka'!$L$3:$L$506,'Unos rashoda i izdataka'!$C$3:$C$506,"=575",'Unos rashoda i izdataka'!$P$3:$P$506,"=54")+SUMIFS('Unos rashoda P4'!$J$3:$J$501,'Unos rashoda P4'!$A$3:$A$501,"=575",'Unos rashoda P4'!$S$3:$S$501,"=54")</f>
        <v>0</v>
      </c>
      <c r="R35" s="153">
        <f>SUMIFS('Unos rashoda i izdataka'!$L$3:$L$506,'Unos rashoda i izdataka'!$Q$3:$Q$506,"=576",'Unos rashoda i izdataka'!$P$3:$P$506,"=54")+SUMIFS('Unos rashoda P4'!$J$3:$J$501,'Unos rashoda P4'!$A$3:$A$501,"=576",'Unos rashoda P4'!$S$3:$S$501,"=54")</f>
        <v>0</v>
      </c>
      <c r="S35" s="153">
        <f>SUMIFS('Unos rashoda i izdataka'!$L$3:$L$506,'Unos rashoda i izdataka'!$C$3:$C$506,"=581",'Unos rashoda i izdataka'!$P$3:$P$506,"=54")+SUMIFS('Unos rashoda P4'!$J$3:$J$501,'Unos rashoda P4'!$A$3:$A$501,"=581",'Unos rashoda P4'!$S$3:$S$501,"=54")</f>
        <v>0</v>
      </c>
      <c r="T35" s="153">
        <f>SUMIFS('Unos rashoda i izdataka'!$L$3:$L$506,'Unos rashoda i izdataka'!$C$3:$C$506,"=61",'Unos rashoda i izdataka'!$P$3:$P$506,"=54")+SUMIFS('Unos rashoda P4'!$J$3:$J$501,'Unos rashoda P4'!$A$3:$A$501,"=61",'Unos rashoda P4'!$S$3:$S$501,"=54")</f>
        <v>0</v>
      </c>
      <c r="U35" s="153">
        <f>SUMIFS('Unos rashoda i izdataka'!$L$3:$L$506,'Unos rashoda i izdataka'!$C$3:$C$506,"=63",'Unos rashoda i izdataka'!$P$3:$P$506,"=54")+SUMIFS('Unos rashoda P4'!$J$3:$J$501,'Unos rashoda P4'!$A$3:$A$501,"=63",'Unos rashoda P4'!$S$3:$S$501,"=54")</f>
        <v>0</v>
      </c>
      <c r="V35" s="153">
        <f>SUMIFS('Unos rashoda i izdataka'!$L$3:$L$506,'Unos rashoda i izdataka'!$C$3:$C$506,"=71",'Unos rashoda i izdataka'!$P$3:$P$506,"=54")+SUMIFS('Unos rashoda P4'!$J$3:$J$501,'Unos rashoda P4'!$A$3:$A$501,"=71",'Unos rashoda P4'!$S$3:$S$501,"=54")</f>
        <v>0</v>
      </c>
      <c r="W35" s="153">
        <f>SUMIFS('Unos rashoda i izdataka'!$L$3:$L$506,'Unos rashoda i izdataka'!$C$3:$C$506,"=81",'Unos rashoda i izdataka'!$P$3:$P$506,"=54")+SUMIFS('Unos rashoda P4'!$J$3:$J$501,'Unos rashoda P4'!$A$3:$A$501,"=81",'Unos rashoda P4'!$S$3:$S$501,"=54")</f>
        <v>0</v>
      </c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</row>
    <row r="36" spans="1:43" ht="12.75" customHeight="1">
      <c r="A36" s="93"/>
      <c r="B36" s="117"/>
      <c r="C36" s="117"/>
      <c r="D36" s="117"/>
      <c r="E36" s="117"/>
      <c r="F36" s="117"/>
      <c r="G36" s="117"/>
      <c r="H36" s="117"/>
      <c r="I36" s="118"/>
      <c r="J36" s="119"/>
      <c r="K36" s="119"/>
      <c r="L36" s="119"/>
      <c r="M36" s="119"/>
      <c r="N36" s="119"/>
      <c r="O36" s="119"/>
      <c r="P36" s="119"/>
      <c r="Q36" s="119"/>
      <c r="R36" s="119"/>
      <c r="S36" s="96"/>
      <c r="T36" s="93"/>
      <c r="U36" s="93"/>
      <c r="V36" s="93"/>
      <c r="W36" s="96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</row>
    <row r="37" spans="1:43" ht="12.75" customHeight="1">
      <c r="A37" s="93"/>
      <c r="B37" s="93"/>
      <c r="C37" s="117"/>
      <c r="D37" s="93"/>
      <c r="E37" s="93"/>
      <c r="F37" s="93"/>
      <c r="G37" s="122"/>
      <c r="H37" s="122"/>
      <c r="I37" s="123"/>
      <c r="J37" s="124"/>
      <c r="K37" s="124"/>
      <c r="L37" s="124"/>
      <c r="M37" s="124"/>
      <c r="N37" s="124"/>
      <c r="O37" s="124"/>
      <c r="P37" s="124"/>
      <c r="Q37" s="124"/>
      <c r="R37" s="124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</row>
    <row r="38" spans="1:43" ht="12.75" customHeight="1">
      <c r="A38" s="93"/>
      <c r="B38" s="93"/>
      <c r="C38" s="117"/>
      <c r="D38" s="93"/>
      <c r="E38" s="93"/>
      <c r="F38" s="93"/>
      <c r="G38" s="122"/>
      <c r="H38" s="122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</row>
    <row r="39" spans="1:43" ht="12.75" customHeight="1">
      <c r="A39" s="93"/>
      <c r="B39" s="122"/>
      <c r="C39" s="290"/>
      <c r="D39" s="122"/>
      <c r="E39" s="122"/>
      <c r="F39" s="122"/>
      <c r="G39" s="122"/>
      <c r="H39" s="122"/>
      <c r="I39" s="127"/>
      <c r="J39" s="122"/>
      <c r="K39" s="122"/>
      <c r="L39" s="122"/>
      <c r="M39" s="122"/>
      <c r="N39" s="122"/>
      <c r="O39" s="122"/>
      <c r="P39" s="122"/>
      <c r="Q39" s="122"/>
      <c r="R39" s="122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</row>
    <row r="40" spans="1:43" ht="12.75" customHeight="1">
      <c r="A40" s="93"/>
      <c r="B40" s="122"/>
      <c r="C40" s="290"/>
      <c r="D40" s="122"/>
      <c r="E40" s="122"/>
      <c r="F40" s="122"/>
      <c r="G40" s="122"/>
      <c r="H40" s="122"/>
      <c r="I40" s="127"/>
      <c r="J40" s="122"/>
      <c r="K40" s="122"/>
      <c r="L40" s="122"/>
      <c r="M40" s="122"/>
      <c r="N40" s="122"/>
      <c r="O40" s="122"/>
      <c r="P40" s="122"/>
      <c r="Q40" s="122"/>
      <c r="R40" s="122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</row>
    <row r="41" spans="1:43" ht="12.75" customHeight="1">
      <c r="A41" s="93"/>
      <c r="B41" s="122"/>
      <c r="C41" s="290"/>
      <c r="D41" s="122"/>
      <c r="E41" s="122"/>
      <c r="F41" s="122"/>
      <c r="G41" s="122"/>
      <c r="H41" s="122"/>
      <c r="I41" s="127"/>
      <c r="J41" s="122"/>
      <c r="K41" s="122"/>
      <c r="L41" s="122"/>
      <c r="M41" s="122"/>
      <c r="N41" s="122"/>
      <c r="O41" s="122"/>
      <c r="P41" s="122"/>
      <c r="Q41" s="122"/>
      <c r="R41" s="122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</row>
    <row r="42" spans="1:43" ht="12.75" customHeight="1">
      <c r="A42" s="93"/>
      <c r="B42" s="122"/>
      <c r="C42" s="290"/>
      <c r="D42" s="122"/>
      <c r="E42" s="122"/>
      <c r="F42" s="122"/>
      <c r="G42" s="122"/>
      <c r="H42" s="122"/>
      <c r="I42" s="128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</row>
    <row r="43" spans="1:43" ht="12.75" customHeight="1">
      <c r="A43" s="93"/>
      <c r="B43" s="122"/>
      <c r="C43" s="290"/>
      <c r="D43" s="122"/>
      <c r="E43" s="122"/>
      <c r="F43" s="122"/>
      <c r="G43" s="122"/>
      <c r="H43" s="122"/>
      <c r="I43" s="127"/>
      <c r="J43" s="122"/>
      <c r="K43" s="122"/>
      <c r="L43" s="122"/>
      <c r="M43" s="122"/>
      <c r="N43" s="122"/>
      <c r="O43" s="122"/>
      <c r="P43" s="122"/>
      <c r="Q43" s="122"/>
      <c r="R43" s="122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</row>
    <row r="44" spans="1:43" ht="12.75" customHeight="1">
      <c r="A44" s="93"/>
      <c r="B44" s="122"/>
      <c r="C44" s="290"/>
      <c r="D44" s="122"/>
      <c r="E44" s="122"/>
      <c r="F44" s="122"/>
      <c r="G44" s="122"/>
      <c r="H44" s="122"/>
      <c r="I44" s="127"/>
      <c r="J44" s="129"/>
      <c r="K44" s="129"/>
      <c r="L44" s="129"/>
      <c r="M44" s="129"/>
      <c r="N44" s="129"/>
      <c r="O44" s="129"/>
      <c r="P44" s="129"/>
      <c r="Q44" s="129"/>
      <c r="R44" s="129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</row>
    <row r="45" spans="1:43" ht="12.75" customHeight="1">
      <c r="A45" s="93"/>
      <c r="B45" s="122"/>
      <c r="C45" s="290"/>
      <c r="D45" s="122"/>
      <c r="E45" s="122"/>
      <c r="F45" s="122"/>
      <c r="G45" s="122"/>
      <c r="H45" s="122"/>
      <c r="I45" s="127"/>
      <c r="J45" s="122"/>
      <c r="K45" s="122"/>
      <c r="L45" s="122"/>
      <c r="M45" s="122"/>
      <c r="N45" s="122"/>
      <c r="O45" s="122"/>
      <c r="P45" s="122"/>
      <c r="Q45" s="122"/>
      <c r="R45" s="122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</row>
    <row r="46" spans="1:43" ht="12.75" customHeight="1">
      <c r="A46" s="93"/>
      <c r="B46" s="122"/>
      <c r="C46" s="290"/>
      <c r="D46" s="122"/>
      <c r="E46" s="122"/>
      <c r="F46" s="122"/>
      <c r="G46" s="122"/>
      <c r="H46" s="122"/>
      <c r="I46" s="127"/>
      <c r="J46" s="130"/>
      <c r="K46" s="130"/>
      <c r="L46" s="130"/>
      <c r="M46" s="130"/>
      <c r="N46" s="130"/>
      <c r="O46" s="130"/>
      <c r="P46" s="130"/>
      <c r="Q46" s="130"/>
      <c r="R46" s="130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</row>
    <row r="47" spans="1:43" ht="12.75" customHeight="1">
      <c r="A47" s="93"/>
      <c r="B47" s="93"/>
      <c r="C47" s="117"/>
      <c r="D47" s="93"/>
      <c r="E47" s="93"/>
      <c r="F47" s="93"/>
      <c r="G47" s="93"/>
      <c r="H47" s="93"/>
      <c r="I47" s="125"/>
      <c r="J47" s="131"/>
      <c r="K47" s="131"/>
      <c r="L47" s="131"/>
      <c r="M47" s="131"/>
      <c r="N47" s="131"/>
      <c r="O47" s="131"/>
      <c r="P47" s="131"/>
      <c r="Q47" s="131"/>
      <c r="R47" s="131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</row>
    <row r="48" spans="1:43" ht="12.75" customHeight="1">
      <c r="A48" s="93"/>
      <c r="B48" s="93"/>
      <c r="C48" s="117"/>
      <c r="D48" s="93"/>
      <c r="E48" s="93"/>
      <c r="F48" s="93"/>
      <c r="G48" s="93"/>
      <c r="H48" s="93"/>
      <c r="I48" s="128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</row>
    <row r="49" spans="1:43" ht="12.75" customHeight="1">
      <c r="A49" s="93"/>
      <c r="B49" s="93"/>
      <c r="C49" s="117"/>
      <c r="D49" s="93"/>
      <c r="E49" s="93"/>
      <c r="F49" s="93"/>
      <c r="G49" s="93"/>
      <c r="H49" s="93"/>
      <c r="I49" s="128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</row>
    <row r="50" spans="1:43" ht="12.75" customHeight="1">
      <c r="A50" s="93"/>
      <c r="B50" s="93"/>
      <c r="C50" s="117"/>
      <c r="D50" s="93"/>
      <c r="E50" s="93"/>
      <c r="F50" s="93"/>
      <c r="G50" s="93"/>
      <c r="H50" s="93"/>
      <c r="I50" s="128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</row>
    <row r="51" spans="1:43" ht="12.75" customHeight="1">
      <c r="A51" s="93"/>
      <c r="B51" s="93"/>
      <c r="C51" s="117"/>
      <c r="D51" s="93"/>
      <c r="E51" s="93"/>
      <c r="F51" s="93"/>
      <c r="G51" s="93"/>
      <c r="H51" s="93"/>
      <c r="I51" s="128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</row>
    <row r="52" spans="1:43" ht="12.75" customHeight="1">
      <c r="A52" s="93"/>
      <c r="B52" s="93"/>
      <c r="C52" s="117"/>
      <c r="D52" s="93"/>
      <c r="E52" s="93"/>
      <c r="F52" s="93"/>
      <c r="G52" s="93"/>
      <c r="H52" s="93"/>
      <c r="I52" s="128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</row>
    <row r="53" spans="1:43" ht="12.75" customHeight="1">
      <c r="A53" s="93"/>
      <c r="B53" s="93"/>
      <c r="C53" s="117"/>
      <c r="D53" s="93"/>
      <c r="E53" s="93"/>
      <c r="F53" s="93"/>
      <c r="G53" s="93"/>
      <c r="H53" s="93"/>
      <c r="I53" s="128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</row>
    <row r="54" spans="1:43" ht="12.75" customHeight="1">
      <c r="A54" s="93"/>
      <c r="B54" s="93"/>
      <c r="C54" s="117"/>
      <c r="D54" s="93"/>
      <c r="E54" s="93"/>
      <c r="F54" s="93"/>
      <c r="G54" s="93"/>
      <c r="H54" s="93"/>
      <c r="I54" s="128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</row>
    <row r="55" spans="1:43" ht="12.75" customHeight="1">
      <c r="A55" s="93"/>
      <c r="B55" s="93"/>
      <c r="C55" s="117"/>
      <c r="D55" s="93"/>
      <c r="E55" s="93"/>
      <c r="F55" s="93"/>
      <c r="G55" s="93"/>
      <c r="H55" s="93"/>
      <c r="I55" s="128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</row>
    <row r="56" spans="1:43" ht="12.75" customHeight="1">
      <c r="A56" s="93"/>
      <c r="B56" s="93"/>
      <c r="C56" s="117"/>
      <c r="D56" s="93"/>
      <c r="E56" s="93"/>
      <c r="F56" s="93"/>
      <c r="G56" s="93"/>
      <c r="H56" s="93"/>
      <c r="I56" s="128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93"/>
      <c r="AO56" s="93"/>
      <c r="AP56" s="93"/>
      <c r="AQ56" s="93"/>
    </row>
    <row r="57" spans="1:43" ht="12.75" customHeight="1">
      <c r="A57" s="93"/>
      <c r="B57" s="93"/>
      <c r="C57" s="117"/>
      <c r="D57" s="93"/>
      <c r="E57" s="93"/>
      <c r="F57" s="93"/>
      <c r="G57" s="93"/>
      <c r="H57" s="93"/>
      <c r="I57" s="128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</row>
    <row r="58" spans="1:43" ht="12.75" customHeight="1">
      <c r="A58" s="93"/>
      <c r="B58" s="93"/>
      <c r="C58" s="117"/>
      <c r="D58" s="93"/>
      <c r="E58" s="93"/>
      <c r="F58" s="93"/>
      <c r="G58" s="93"/>
      <c r="H58" s="93"/>
      <c r="I58" s="128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</row>
    <row r="59" spans="1:43" ht="12.75" customHeight="1">
      <c r="A59" s="93"/>
      <c r="B59" s="93"/>
      <c r="C59" s="117"/>
      <c r="D59" s="93"/>
      <c r="E59" s="93"/>
      <c r="F59" s="93"/>
      <c r="G59" s="93"/>
      <c r="H59" s="93"/>
      <c r="I59" s="128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</row>
    <row r="60" spans="1:43" ht="12.75" customHeight="1">
      <c r="A60" s="93"/>
      <c r="B60" s="93"/>
      <c r="C60" s="117"/>
      <c r="D60" s="93"/>
      <c r="E60" s="93"/>
      <c r="F60" s="93"/>
      <c r="G60" s="93"/>
      <c r="H60" s="93"/>
      <c r="I60" s="128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</row>
    <row r="61" spans="1:43" ht="12.75" customHeight="1">
      <c r="A61" s="93"/>
      <c r="B61" s="93"/>
      <c r="C61" s="117"/>
      <c r="D61" s="93"/>
      <c r="E61" s="93"/>
      <c r="F61" s="93"/>
      <c r="G61" s="93"/>
      <c r="H61" s="93"/>
      <c r="I61" s="128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</row>
    <row r="62" spans="1:43" ht="12.75" customHeight="1">
      <c r="A62" s="93"/>
      <c r="B62" s="93"/>
      <c r="C62" s="117"/>
      <c r="D62" s="93"/>
      <c r="E62" s="93"/>
      <c r="F62" s="93"/>
      <c r="G62" s="93"/>
      <c r="H62" s="93"/>
      <c r="I62" s="128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</row>
    <row r="63" spans="1:43" ht="12.75" customHeight="1">
      <c r="A63" s="93"/>
      <c r="B63" s="93"/>
      <c r="C63" s="117"/>
      <c r="D63" s="93"/>
      <c r="E63" s="93"/>
      <c r="F63" s="93"/>
      <c r="G63" s="93"/>
      <c r="H63" s="93"/>
      <c r="I63" s="128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</row>
    <row r="64" spans="1:43" ht="12.75" customHeight="1">
      <c r="A64" s="93"/>
      <c r="B64" s="93"/>
      <c r="C64" s="117"/>
      <c r="D64" s="93"/>
      <c r="E64" s="93"/>
      <c r="F64" s="93"/>
      <c r="G64" s="93"/>
      <c r="H64" s="93"/>
      <c r="I64" s="128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</row>
    <row r="65" spans="1:43" ht="12.75" customHeight="1">
      <c r="A65" s="93"/>
      <c r="B65" s="93"/>
      <c r="C65" s="117"/>
      <c r="D65" s="93"/>
      <c r="E65" s="93"/>
      <c r="F65" s="93"/>
      <c r="G65" s="93"/>
      <c r="H65" s="93"/>
      <c r="I65" s="128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</row>
    <row r="66" spans="1:43" ht="12.75" customHeight="1">
      <c r="A66" s="93"/>
      <c r="B66" s="93"/>
      <c r="C66" s="117"/>
      <c r="D66" s="93"/>
      <c r="E66" s="93"/>
      <c r="F66" s="93"/>
      <c r="G66" s="93"/>
      <c r="H66" s="93"/>
      <c r="I66" s="128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</row>
    <row r="67" spans="1:43" ht="12.75" customHeight="1">
      <c r="A67" s="93"/>
      <c r="B67" s="93"/>
      <c r="C67" s="117"/>
      <c r="D67" s="93"/>
      <c r="E67" s="93"/>
      <c r="F67" s="93"/>
      <c r="G67" s="93"/>
      <c r="H67" s="93"/>
      <c r="I67" s="128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</row>
    <row r="68" spans="1:43" ht="12.75" customHeight="1">
      <c r="A68" s="93"/>
      <c r="B68" s="93"/>
      <c r="C68" s="117"/>
      <c r="D68" s="93"/>
      <c r="E68" s="93"/>
      <c r="F68" s="93"/>
      <c r="G68" s="93"/>
      <c r="H68" s="93"/>
      <c r="I68" s="128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</row>
    <row r="69" spans="1:43" ht="12.75" customHeight="1">
      <c r="A69" s="93"/>
      <c r="B69" s="93"/>
      <c r="C69" s="117"/>
      <c r="D69" s="93"/>
      <c r="E69" s="93"/>
      <c r="F69" s="93"/>
      <c r="G69" s="93"/>
      <c r="H69" s="93"/>
      <c r="I69" s="128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</row>
    <row r="70" spans="1:43" ht="12.75" customHeight="1">
      <c r="A70" s="93"/>
      <c r="B70" s="93"/>
      <c r="C70" s="117"/>
      <c r="D70" s="93"/>
      <c r="E70" s="93"/>
      <c r="F70" s="93"/>
      <c r="G70" s="93"/>
      <c r="H70" s="93"/>
      <c r="I70" s="128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</row>
    <row r="71" spans="1:43" ht="12.75" customHeight="1">
      <c r="A71" s="93"/>
      <c r="B71" s="93"/>
      <c r="C71" s="117"/>
      <c r="D71" s="93"/>
      <c r="E71" s="93"/>
      <c r="F71" s="93"/>
      <c r="G71" s="93"/>
      <c r="H71" s="93"/>
      <c r="I71" s="128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</row>
    <row r="72" spans="1:43" ht="12.75" customHeight="1">
      <c r="A72" s="93"/>
      <c r="B72" s="93"/>
      <c r="C72" s="117"/>
      <c r="D72" s="93"/>
      <c r="E72" s="93"/>
      <c r="F72" s="93"/>
      <c r="G72" s="93"/>
      <c r="H72" s="93"/>
      <c r="I72" s="128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</row>
    <row r="73" spans="1:43" ht="12.75" customHeight="1">
      <c r="A73" s="93"/>
      <c r="B73" s="93"/>
      <c r="C73" s="117"/>
      <c r="D73" s="93"/>
      <c r="E73" s="93"/>
      <c r="F73" s="93"/>
      <c r="G73" s="93"/>
      <c r="H73" s="93"/>
      <c r="I73" s="128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</row>
    <row r="74" spans="1:43" ht="12.75" customHeight="1">
      <c r="A74" s="93"/>
      <c r="B74" s="93"/>
      <c r="C74" s="117"/>
      <c r="D74" s="93"/>
      <c r="E74" s="93"/>
      <c r="F74" s="93"/>
      <c r="G74" s="93"/>
      <c r="H74" s="93"/>
      <c r="I74" s="128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</row>
    <row r="75" spans="1:43" ht="12.75" customHeight="1">
      <c r="A75" s="93"/>
      <c r="B75" s="93"/>
      <c r="C75" s="117"/>
      <c r="D75" s="93"/>
      <c r="E75" s="93"/>
      <c r="F75" s="93"/>
      <c r="G75" s="93"/>
      <c r="H75" s="93"/>
      <c r="I75" s="128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</row>
    <row r="76" spans="1:43" ht="12.75" customHeight="1">
      <c r="A76" s="93"/>
      <c r="B76" s="93"/>
      <c r="C76" s="117"/>
      <c r="D76" s="93"/>
      <c r="E76" s="93"/>
      <c r="F76" s="93"/>
      <c r="G76" s="93"/>
      <c r="H76" s="93"/>
      <c r="I76" s="128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</row>
    <row r="77" spans="1:43" ht="12.75" customHeight="1">
      <c r="A77" s="93"/>
      <c r="B77" s="93"/>
      <c r="C77" s="117"/>
      <c r="D77" s="93"/>
      <c r="E77" s="93"/>
      <c r="F77" s="93"/>
      <c r="G77" s="93"/>
      <c r="H77" s="93"/>
      <c r="I77" s="128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</row>
    <row r="78" spans="1:43" ht="12.75" customHeight="1">
      <c r="A78" s="93"/>
      <c r="B78" s="93"/>
      <c r="C78" s="117"/>
      <c r="D78" s="93"/>
      <c r="E78" s="93"/>
      <c r="F78" s="93"/>
      <c r="G78" s="93"/>
      <c r="H78" s="93"/>
      <c r="I78" s="128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N78" s="93"/>
      <c r="AO78" s="93"/>
      <c r="AP78" s="93"/>
      <c r="AQ78" s="93"/>
    </row>
    <row r="79" spans="1:43" ht="12.75" customHeight="1">
      <c r="A79" s="93"/>
      <c r="B79" s="93"/>
      <c r="C79" s="117"/>
      <c r="D79" s="93"/>
      <c r="E79" s="93"/>
      <c r="F79" s="93"/>
      <c r="G79" s="93"/>
      <c r="H79" s="93"/>
      <c r="I79" s="128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</row>
    <row r="80" spans="1:43" ht="12.75" customHeight="1">
      <c r="A80" s="93"/>
      <c r="B80" s="93"/>
      <c r="C80" s="117"/>
      <c r="D80" s="93"/>
      <c r="E80" s="93"/>
      <c r="F80" s="93"/>
      <c r="G80" s="93"/>
      <c r="H80" s="93"/>
      <c r="I80" s="128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</row>
    <row r="81" spans="1:43" ht="12.75" customHeight="1">
      <c r="A81" s="93"/>
      <c r="B81" s="93"/>
      <c r="C81" s="117"/>
      <c r="D81" s="93"/>
      <c r="E81" s="93"/>
      <c r="F81" s="93"/>
      <c r="G81" s="93"/>
      <c r="H81" s="93"/>
      <c r="I81" s="128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93"/>
      <c r="AI81" s="93"/>
      <c r="AJ81" s="93"/>
      <c r="AK81" s="93"/>
      <c r="AL81" s="93"/>
      <c r="AM81" s="93"/>
      <c r="AN81" s="93"/>
      <c r="AO81" s="93"/>
      <c r="AP81" s="93"/>
      <c r="AQ81" s="93"/>
    </row>
    <row r="82" spans="1:43" ht="12.75" customHeight="1">
      <c r="A82" s="93"/>
      <c r="B82" s="93"/>
      <c r="C82" s="117"/>
      <c r="D82" s="93"/>
      <c r="E82" s="93"/>
      <c r="F82" s="93"/>
      <c r="G82" s="93"/>
      <c r="H82" s="93"/>
      <c r="I82" s="128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</row>
    <row r="83" spans="1:43" ht="12.75" customHeight="1">
      <c r="A83" s="93"/>
      <c r="B83" s="93"/>
      <c r="C83" s="117"/>
      <c r="D83" s="93"/>
      <c r="E83" s="93"/>
      <c r="F83" s="93"/>
      <c r="G83" s="93"/>
      <c r="H83" s="93"/>
      <c r="I83" s="128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/>
      <c r="AO83" s="93"/>
      <c r="AP83" s="93"/>
      <c r="AQ83" s="93"/>
    </row>
    <row r="84" spans="1:43" ht="12.75" customHeight="1">
      <c r="A84" s="93"/>
      <c r="B84" s="93"/>
      <c r="C84" s="117"/>
      <c r="D84" s="93"/>
      <c r="E84" s="93"/>
      <c r="F84" s="93"/>
      <c r="G84" s="93"/>
      <c r="H84" s="93"/>
      <c r="I84" s="128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N84" s="93"/>
      <c r="AO84" s="93"/>
      <c r="AP84" s="93"/>
      <c r="AQ84" s="93"/>
    </row>
    <row r="85" spans="1:43" ht="12.75" customHeight="1">
      <c r="A85" s="93"/>
      <c r="B85" s="93"/>
      <c r="C85" s="117"/>
      <c r="D85" s="93"/>
      <c r="E85" s="93"/>
      <c r="F85" s="93"/>
      <c r="G85" s="93"/>
      <c r="H85" s="93"/>
      <c r="I85" s="128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</row>
    <row r="86" spans="1:43" ht="12.75" customHeight="1">
      <c r="A86" s="93"/>
      <c r="B86" s="93"/>
      <c r="C86" s="117"/>
      <c r="D86" s="93"/>
      <c r="E86" s="93"/>
      <c r="F86" s="93"/>
      <c r="G86" s="93"/>
      <c r="H86" s="93"/>
      <c r="I86" s="128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</row>
    <row r="87" spans="1:43" ht="12.75" customHeight="1">
      <c r="A87" s="93"/>
      <c r="B87" s="93"/>
      <c r="C87" s="117"/>
      <c r="D87" s="93"/>
      <c r="E87" s="93"/>
      <c r="F87" s="93"/>
      <c r="G87" s="93"/>
      <c r="H87" s="93"/>
      <c r="I87" s="128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</row>
    <row r="88" spans="1:43" ht="12.75" customHeight="1">
      <c r="A88" s="93"/>
      <c r="B88" s="93"/>
      <c r="C88" s="117"/>
      <c r="D88" s="93"/>
      <c r="E88" s="93"/>
      <c r="F88" s="93"/>
      <c r="G88" s="93"/>
      <c r="H88" s="93"/>
      <c r="I88" s="128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</row>
    <row r="89" spans="1:43" ht="12.75" customHeight="1">
      <c r="A89" s="93"/>
      <c r="B89" s="93"/>
      <c r="C89" s="117"/>
      <c r="D89" s="93"/>
      <c r="E89" s="93"/>
      <c r="F89" s="93"/>
      <c r="G89" s="93"/>
      <c r="H89" s="93"/>
      <c r="I89" s="128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</row>
    <row r="90" spans="1:43" ht="12.75" customHeight="1">
      <c r="A90" s="93"/>
      <c r="B90" s="93"/>
      <c r="C90" s="117"/>
      <c r="D90" s="93"/>
      <c r="E90" s="93"/>
      <c r="F90" s="93"/>
      <c r="G90" s="93"/>
      <c r="H90" s="93"/>
      <c r="I90" s="128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</row>
    <row r="91" spans="1:43" ht="12.75" customHeight="1">
      <c r="A91" s="93"/>
      <c r="B91" s="93"/>
      <c r="C91" s="117"/>
      <c r="D91" s="93"/>
      <c r="E91" s="93"/>
      <c r="F91" s="93"/>
      <c r="G91" s="93"/>
      <c r="H91" s="93"/>
      <c r="I91" s="128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</row>
    <row r="92" spans="1:43" ht="12.75" customHeight="1">
      <c r="A92" s="93"/>
      <c r="B92" s="93"/>
      <c r="C92" s="117"/>
      <c r="D92" s="93"/>
      <c r="E92" s="93"/>
      <c r="F92" s="93"/>
      <c r="G92" s="93"/>
      <c r="H92" s="93"/>
      <c r="I92" s="128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/>
      <c r="AL92" s="93"/>
      <c r="AM92" s="93"/>
      <c r="AN92" s="93"/>
      <c r="AO92" s="93"/>
      <c r="AP92" s="93"/>
      <c r="AQ92" s="93"/>
    </row>
    <row r="93" spans="1:43" ht="12.75" customHeight="1">
      <c r="A93" s="93"/>
      <c r="B93" s="93"/>
      <c r="C93" s="117"/>
      <c r="D93" s="93"/>
      <c r="E93" s="93"/>
      <c r="F93" s="93"/>
      <c r="G93" s="93"/>
      <c r="H93" s="93"/>
      <c r="I93" s="128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93"/>
      <c r="AO93" s="93"/>
      <c r="AP93" s="93"/>
      <c r="AQ93" s="93"/>
    </row>
    <row r="94" spans="1:43" ht="12.75" customHeight="1">
      <c r="A94" s="93"/>
      <c r="B94" s="93"/>
      <c r="C94" s="117"/>
      <c r="D94" s="93"/>
      <c r="E94" s="93"/>
      <c r="F94" s="93"/>
      <c r="G94" s="93"/>
      <c r="H94" s="93"/>
      <c r="I94" s="128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</row>
    <row r="95" spans="1:43" ht="12.75" customHeight="1">
      <c r="A95" s="93"/>
      <c r="B95" s="93"/>
      <c r="C95" s="117"/>
      <c r="D95" s="93"/>
      <c r="E95" s="93"/>
      <c r="F95" s="93"/>
      <c r="G95" s="93"/>
      <c r="H95" s="93"/>
      <c r="I95" s="128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  <c r="AK95" s="93"/>
      <c r="AL95" s="93"/>
      <c r="AM95" s="93"/>
      <c r="AN95" s="93"/>
      <c r="AO95" s="93"/>
      <c r="AP95" s="93"/>
      <c r="AQ95" s="93"/>
    </row>
    <row r="96" spans="1:43" ht="12.75" customHeight="1">
      <c r="A96" s="93"/>
      <c r="B96" s="93"/>
      <c r="C96" s="117"/>
      <c r="D96" s="93"/>
      <c r="E96" s="93"/>
      <c r="F96" s="93"/>
      <c r="G96" s="93"/>
      <c r="H96" s="93"/>
      <c r="I96" s="128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</row>
    <row r="97" spans="1:43" ht="12.75" customHeight="1">
      <c r="A97" s="93"/>
      <c r="B97" s="93"/>
      <c r="C97" s="117"/>
      <c r="D97" s="93"/>
      <c r="E97" s="93"/>
      <c r="F97" s="93"/>
      <c r="G97" s="93"/>
      <c r="H97" s="93"/>
      <c r="I97" s="128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</row>
    <row r="98" spans="1:43" ht="12.75" customHeight="1">
      <c r="A98" s="93"/>
      <c r="B98" s="93"/>
      <c r="C98" s="117"/>
      <c r="D98" s="93"/>
      <c r="E98" s="93"/>
      <c r="F98" s="93"/>
      <c r="G98" s="93"/>
      <c r="H98" s="93"/>
      <c r="I98" s="128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/>
      <c r="AL98" s="93"/>
      <c r="AM98" s="93"/>
      <c r="AN98" s="93"/>
      <c r="AO98" s="93"/>
      <c r="AP98" s="93"/>
      <c r="AQ98" s="93"/>
    </row>
    <row r="99" spans="1:43" ht="12.75" customHeight="1">
      <c r="A99" s="93"/>
      <c r="B99" s="93"/>
      <c r="C99" s="117"/>
      <c r="D99" s="93"/>
      <c r="E99" s="93"/>
      <c r="F99" s="93"/>
      <c r="G99" s="93"/>
      <c r="H99" s="93"/>
      <c r="I99" s="128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</row>
    <row r="100" spans="1:43" ht="12.75" customHeight="1">
      <c r="A100" s="93"/>
      <c r="B100" s="93"/>
      <c r="C100" s="117"/>
      <c r="D100" s="93"/>
      <c r="E100" s="93"/>
      <c r="F100" s="93"/>
      <c r="G100" s="93"/>
      <c r="H100" s="93"/>
      <c r="I100" s="128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</row>
    <row r="101" spans="1:43" ht="12.75" customHeight="1">
      <c r="A101" s="93"/>
      <c r="B101" s="93"/>
      <c r="C101" s="117"/>
      <c r="D101" s="93"/>
      <c r="E101" s="93"/>
      <c r="F101" s="93"/>
      <c r="G101" s="93"/>
      <c r="H101" s="93"/>
      <c r="I101" s="128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</row>
    <row r="102" spans="1:43" ht="12.75" customHeight="1">
      <c r="A102" s="93"/>
      <c r="B102" s="93"/>
      <c r="C102" s="117"/>
      <c r="D102" s="93"/>
      <c r="E102" s="93"/>
      <c r="F102" s="93"/>
      <c r="G102" s="93"/>
      <c r="H102" s="93"/>
      <c r="I102" s="128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</row>
    <row r="103" spans="1:43" ht="12.75" customHeight="1">
      <c r="A103" s="93"/>
      <c r="B103" s="93"/>
      <c r="C103" s="117"/>
      <c r="D103" s="93"/>
      <c r="E103" s="93"/>
      <c r="F103" s="93"/>
      <c r="G103" s="93"/>
      <c r="H103" s="93"/>
      <c r="I103" s="128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</row>
    <row r="104" spans="1:43" ht="12.75" customHeight="1">
      <c r="A104" s="93"/>
      <c r="B104" s="93"/>
      <c r="C104" s="117"/>
      <c r="D104" s="93"/>
      <c r="E104" s="93"/>
      <c r="F104" s="93"/>
      <c r="G104" s="93"/>
      <c r="H104" s="93"/>
      <c r="I104" s="128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</row>
    <row r="105" spans="1:43" ht="12.75" customHeight="1">
      <c r="A105" s="93"/>
      <c r="B105" s="93"/>
      <c r="C105" s="117"/>
      <c r="D105" s="93"/>
      <c r="E105" s="93"/>
      <c r="F105" s="93"/>
      <c r="G105" s="93"/>
      <c r="H105" s="93"/>
      <c r="I105" s="128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</row>
    <row r="106" spans="1:43" ht="12.75" customHeight="1">
      <c r="A106" s="93"/>
      <c r="B106" s="93"/>
      <c r="C106" s="117"/>
      <c r="D106" s="93"/>
      <c r="E106" s="93"/>
      <c r="F106" s="93"/>
      <c r="G106" s="93"/>
      <c r="H106" s="93"/>
      <c r="I106" s="128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</row>
    <row r="107" spans="1:43" ht="12.75" customHeight="1">
      <c r="A107" s="93"/>
      <c r="B107" s="93"/>
      <c r="C107" s="117"/>
      <c r="D107" s="93"/>
      <c r="E107" s="93"/>
      <c r="F107" s="93"/>
      <c r="G107" s="93"/>
      <c r="H107" s="93"/>
      <c r="I107" s="128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</row>
    <row r="108" spans="1:43" ht="12.75" customHeight="1">
      <c r="A108" s="93"/>
      <c r="B108" s="93"/>
      <c r="C108" s="117"/>
      <c r="D108" s="93"/>
      <c r="E108" s="93"/>
      <c r="F108" s="93"/>
      <c r="G108" s="93"/>
      <c r="H108" s="93"/>
      <c r="I108" s="128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</row>
    <row r="109" spans="1:43" ht="12.75" customHeight="1">
      <c r="A109" s="93"/>
      <c r="B109" s="93"/>
      <c r="C109" s="117"/>
      <c r="D109" s="93"/>
      <c r="E109" s="93"/>
      <c r="F109" s="93"/>
      <c r="G109" s="93"/>
      <c r="H109" s="93"/>
      <c r="I109" s="128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</row>
    <row r="110" spans="1:43" ht="12.75" customHeight="1">
      <c r="A110" s="93"/>
      <c r="B110" s="93"/>
      <c r="C110" s="117"/>
      <c r="D110" s="93"/>
      <c r="E110" s="93"/>
      <c r="F110" s="93"/>
      <c r="G110" s="93"/>
      <c r="H110" s="93"/>
      <c r="I110" s="128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</row>
    <row r="111" spans="1:43" ht="12.75" customHeight="1">
      <c r="A111" s="93"/>
      <c r="B111" s="93"/>
      <c r="C111" s="117"/>
      <c r="D111" s="93"/>
      <c r="E111" s="93"/>
      <c r="F111" s="93"/>
      <c r="G111" s="93"/>
      <c r="H111" s="93"/>
      <c r="I111" s="128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</row>
    <row r="112" spans="1:43" ht="12.75" customHeight="1">
      <c r="A112" s="93"/>
      <c r="B112" s="93"/>
      <c r="C112" s="117"/>
      <c r="D112" s="93"/>
      <c r="E112" s="93"/>
      <c r="F112" s="93"/>
      <c r="G112" s="93"/>
      <c r="H112" s="93"/>
      <c r="I112" s="128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</row>
    <row r="113" spans="1:43" ht="12.75" customHeight="1">
      <c r="A113" s="93"/>
      <c r="B113" s="93"/>
      <c r="C113" s="117"/>
      <c r="D113" s="93"/>
      <c r="E113" s="93"/>
      <c r="F113" s="93"/>
      <c r="G113" s="93"/>
      <c r="H113" s="93"/>
      <c r="I113" s="128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</row>
    <row r="114" spans="1:43" ht="12.75" customHeight="1">
      <c r="A114" s="93"/>
      <c r="B114" s="93"/>
      <c r="C114" s="117"/>
      <c r="D114" s="93"/>
      <c r="E114" s="93"/>
      <c r="F114" s="93"/>
      <c r="G114" s="93"/>
      <c r="H114" s="93"/>
      <c r="I114" s="128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</row>
    <row r="115" spans="1:43" ht="12.75" customHeight="1">
      <c r="A115" s="93"/>
      <c r="B115" s="93"/>
      <c r="C115" s="117"/>
      <c r="D115" s="93"/>
      <c r="E115" s="93"/>
      <c r="F115" s="93"/>
      <c r="G115" s="93"/>
      <c r="H115" s="93"/>
      <c r="I115" s="128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</row>
    <row r="116" spans="1:43" ht="12.75" customHeight="1">
      <c r="A116" s="93"/>
      <c r="B116" s="93"/>
      <c r="C116" s="117"/>
      <c r="D116" s="93"/>
      <c r="E116" s="93"/>
      <c r="F116" s="93"/>
      <c r="G116" s="93"/>
      <c r="H116" s="93"/>
      <c r="I116" s="128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</row>
    <row r="117" spans="1:43" ht="12.75" customHeight="1">
      <c r="A117" s="93"/>
      <c r="B117" s="93"/>
      <c r="C117" s="117"/>
      <c r="D117" s="93"/>
      <c r="E117" s="93"/>
      <c r="F117" s="93"/>
      <c r="G117" s="93"/>
      <c r="H117" s="93"/>
      <c r="I117" s="128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</row>
    <row r="118" spans="1:43" ht="12.75" customHeight="1">
      <c r="A118" s="93"/>
      <c r="B118" s="93"/>
      <c r="C118" s="117"/>
      <c r="D118" s="93"/>
      <c r="E118" s="93"/>
      <c r="F118" s="93"/>
      <c r="G118" s="93"/>
      <c r="H118" s="93"/>
      <c r="I118" s="128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</row>
    <row r="119" spans="1:43" ht="12.75" customHeight="1">
      <c r="A119" s="93"/>
      <c r="B119" s="93"/>
      <c r="C119" s="117"/>
      <c r="D119" s="93"/>
      <c r="E119" s="93"/>
      <c r="F119" s="93"/>
      <c r="G119" s="93"/>
      <c r="H119" s="93"/>
      <c r="I119" s="128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</row>
    <row r="120" spans="1:43" ht="12.75" customHeight="1">
      <c r="A120" s="93"/>
      <c r="B120" s="93"/>
      <c r="C120" s="117"/>
      <c r="D120" s="93"/>
      <c r="E120" s="93"/>
      <c r="F120" s="93"/>
      <c r="G120" s="93"/>
      <c r="H120" s="93"/>
      <c r="I120" s="128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</row>
    <row r="121" spans="1:43" ht="12.75" customHeight="1">
      <c r="A121" s="93"/>
      <c r="B121" s="93"/>
      <c r="C121" s="117"/>
      <c r="D121" s="93"/>
      <c r="E121" s="93"/>
      <c r="F121" s="93"/>
      <c r="G121" s="93"/>
      <c r="H121" s="93"/>
      <c r="I121" s="128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</row>
    <row r="122" spans="1:43" ht="12.75" customHeight="1">
      <c r="A122" s="93"/>
      <c r="B122" s="93"/>
      <c r="C122" s="117"/>
      <c r="D122" s="93"/>
      <c r="E122" s="93"/>
      <c r="F122" s="93"/>
      <c r="G122" s="93"/>
      <c r="H122" s="93"/>
      <c r="I122" s="128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</row>
    <row r="123" spans="1:43" ht="12.75" customHeight="1">
      <c r="A123" s="93"/>
      <c r="B123" s="93"/>
      <c r="C123" s="117"/>
      <c r="D123" s="93"/>
      <c r="E123" s="93"/>
      <c r="F123" s="93"/>
      <c r="G123" s="93"/>
      <c r="H123" s="93"/>
      <c r="I123" s="128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</row>
    <row r="124" spans="1:43" ht="12.75" customHeight="1">
      <c r="A124" s="93"/>
      <c r="B124" s="93"/>
      <c r="C124" s="117"/>
      <c r="D124" s="93"/>
      <c r="E124" s="93"/>
      <c r="F124" s="93"/>
      <c r="G124" s="93"/>
      <c r="H124" s="93"/>
      <c r="I124" s="128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</row>
    <row r="125" spans="1:43" ht="12.75" customHeight="1">
      <c r="A125" s="93"/>
      <c r="B125" s="93"/>
      <c r="C125" s="117"/>
      <c r="D125" s="93"/>
      <c r="E125" s="93"/>
      <c r="F125" s="93"/>
      <c r="G125" s="93"/>
      <c r="H125" s="93"/>
      <c r="I125" s="128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</row>
    <row r="126" spans="1:43" ht="12.75" customHeight="1">
      <c r="A126" s="93"/>
      <c r="B126" s="93"/>
      <c r="C126" s="117"/>
      <c r="D126" s="93"/>
      <c r="E126" s="93"/>
      <c r="F126" s="93"/>
      <c r="G126" s="93"/>
      <c r="H126" s="93"/>
      <c r="I126" s="128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</row>
    <row r="127" spans="1:43" ht="12.75" customHeight="1">
      <c r="A127" s="93"/>
      <c r="B127" s="93"/>
      <c r="C127" s="117"/>
      <c r="D127" s="93"/>
      <c r="E127" s="93"/>
      <c r="F127" s="93"/>
      <c r="G127" s="93"/>
      <c r="H127" s="93"/>
      <c r="I127" s="128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</row>
    <row r="128" spans="1:43" ht="12.75" customHeight="1">
      <c r="A128" s="93"/>
      <c r="B128" s="93"/>
      <c r="C128" s="117"/>
      <c r="D128" s="93"/>
      <c r="E128" s="93"/>
      <c r="F128" s="93"/>
      <c r="G128" s="93"/>
      <c r="H128" s="93"/>
      <c r="I128" s="128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</row>
    <row r="129" spans="1:43" ht="12.75" customHeight="1">
      <c r="A129" s="93"/>
      <c r="B129" s="93"/>
      <c r="C129" s="117"/>
      <c r="D129" s="93"/>
      <c r="E129" s="93"/>
      <c r="F129" s="93"/>
      <c r="G129" s="93"/>
      <c r="H129" s="93"/>
      <c r="I129" s="128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</row>
    <row r="130" spans="1:43" ht="12.75" customHeight="1">
      <c r="A130" s="93"/>
      <c r="B130" s="93"/>
      <c r="C130" s="117"/>
      <c r="D130" s="93"/>
      <c r="E130" s="93"/>
      <c r="F130" s="93"/>
      <c r="G130" s="93"/>
      <c r="H130" s="93"/>
      <c r="I130" s="128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</row>
    <row r="131" spans="1:43" ht="12.75" customHeight="1">
      <c r="A131" s="93"/>
      <c r="B131" s="93"/>
      <c r="C131" s="117"/>
      <c r="D131" s="93"/>
      <c r="E131" s="93"/>
      <c r="F131" s="93"/>
      <c r="G131" s="93"/>
      <c r="H131" s="93"/>
      <c r="I131" s="128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</row>
    <row r="132" spans="1:43" ht="12.75" customHeight="1">
      <c r="A132" s="93"/>
      <c r="B132" s="93"/>
      <c r="C132" s="117"/>
      <c r="D132" s="93"/>
      <c r="E132" s="93"/>
      <c r="F132" s="93"/>
      <c r="G132" s="93"/>
      <c r="H132" s="93"/>
      <c r="I132" s="128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</row>
    <row r="133" spans="1:43" ht="12.75" customHeight="1">
      <c r="A133" s="93"/>
      <c r="B133" s="93"/>
      <c r="C133" s="117"/>
      <c r="D133" s="93"/>
      <c r="E133" s="93"/>
      <c r="F133" s="93"/>
      <c r="G133" s="93"/>
      <c r="H133" s="93"/>
      <c r="I133" s="128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</row>
    <row r="134" spans="1:43" ht="12.75" customHeight="1">
      <c r="A134" s="93"/>
      <c r="B134" s="93"/>
      <c r="C134" s="117"/>
      <c r="D134" s="93"/>
      <c r="E134" s="93"/>
      <c r="F134" s="93"/>
      <c r="G134" s="93"/>
      <c r="H134" s="93"/>
      <c r="I134" s="128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</row>
    <row r="135" spans="1:43" ht="12.75" customHeight="1">
      <c r="A135" s="93"/>
      <c r="B135" s="93"/>
      <c r="C135" s="117"/>
      <c r="D135" s="93"/>
      <c r="E135" s="93"/>
      <c r="F135" s="93"/>
      <c r="G135" s="93"/>
      <c r="H135" s="93"/>
      <c r="I135" s="128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</row>
    <row r="136" spans="1:43" ht="12.75" customHeight="1">
      <c r="A136" s="93"/>
      <c r="B136" s="93"/>
      <c r="C136" s="117"/>
      <c r="D136" s="93"/>
      <c r="E136" s="93"/>
      <c r="F136" s="93"/>
      <c r="G136" s="93"/>
      <c r="H136" s="93"/>
      <c r="I136" s="128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</row>
    <row r="137" spans="1:43" ht="12.75" customHeight="1">
      <c r="A137" s="93"/>
      <c r="B137" s="93"/>
      <c r="C137" s="117"/>
      <c r="D137" s="93"/>
      <c r="E137" s="93"/>
      <c r="F137" s="93"/>
      <c r="G137" s="93"/>
      <c r="H137" s="93"/>
      <c r="I137" s="128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</row>
    <row r="138" spans="1:43" ht="12.75" customHeight="1">
      <c r="A138" s="93"/>
      <c r="B138" s="93"/>
      <c r="C138" s="117"/>
      <c r="D138" s="93"/>
      <c r="E138" s="93"/>
      <c r="F138" s="93"/>
      <c r="G138" s="93"/>
      <c r="H138" s="93"/>
      <c r="I138" s="128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</row>
    <row r="139" spans="1:43" ht="12.75" customHeight="1">
      <c r="A139" s="93"/>
      <c r="B139" s="93"/>
      <c r="C139" s="117"/>
      <c r="D139" s="93"/>
      <c r="E139" s="93"/>
      <c r="F139" s="93"/>
      <c r="G139" s="93"/>
      <c r="H139" s="93"/>
      <c r="I139" s="128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</row>
    <row r="140" spans="1:43" ht="12.75" customHeight="1">
      <c r="A140" s="93"/>
      <c r="B140" s="93"/>
      <c r="C140" s="117"/>
      <c r="D140" s="93"/>
      <c r="E140" s="93"/>
      <c r="F140" s="93"/>
      <c r="G140" s="93"/>
      <c r="H140" s="93"/>
      <c r="I140" s="128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</row>
    <row r="141" spans="1:43" ht="12.75" customHeight="1">
      <c r="A141" s="93"/>
      <c r="B141" s="93"/>
      <c r="C141" s="117"/>
      <c r="D141" s="93"/>
      <c r="E141" s="93"/>
      <c r="F141" s="93"/>
      <c r="G141" s="93"/>
      <c r="H141" s="93"/>
      <c r="I141" s="128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</row>
    <row r="142" spans="1:43" ht="12.75" customHeight="1">
      <c r="A142" s="93"/>
      <c r="B142" s="93"/>
      <c r="C142" s="117"/>
      <c r="D142" s="93"/>
      <c r="E142" s="93"/>
      <c r="F142" s="93"/>
      <c r="G142" s="93"/>
      <c r="H142" s="93"/>
      <c r="I142" s="128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</row>
    <row r="143" spans="1:43" ht="12.75" customHeight="1">
      <c r="A143" s="93"/>
      <c r="B143" s="93"/>
      <c r="C143" s="117"/>
      <c r="D143" s="93"/>
      <c r="E143" s="93"/>
      <c r="F143" s="93"/>
      <c r="G143" s="93"/>
      <c r="H143" s="93"/>
      <c r="I143" s="128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</row>
    <row r="144" spans="1:43" ht="12.75" customHeight="1">
      <c r="A144" s="93"/>
      <c r="B144" s="93"/>
      <c r="C144" s="117"/>
      <c r="D144" s="93"/>
      <c r="E144" s="93"/>
      <c r="F144" s="93"/>
      <c r="G144" s="93"/>
      <c r="H144" s="93"/>
      <c r="I144" s="128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</row>
    <row r="145" spans="1:43" ht="12.75" customHeight="1">
      <c r="A145" s="93"/>
      <c r="B145" s="93"/>
      <c r="C145" s="117"/>
      <c r="D145" s="93"/>
      <c r="E145" s="93"/>
      <c r="F145" s="93"/>
      <c r="G145" s="93"/>
      <c r="H145" s="93"/>
      <c r="I145" s="128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</row>
    <row r="146" spans="1:43" ht="12.75" customHeight="1">
      <c r="A146" s="93"/>
      <c r="B146" s="93"/>
      <c r="C146" s="117"/>
      <c r="D146" s="93"/>
      <c r="E146" s="93"/>
      <c r="F146" s="93"/>
      <c r="G146" s="93"/>
      <c r="H146" s="93"/>
      <c r="I146" s="128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</row>
    <row r="147" spans="1:43" ht="12.75" customHeight="1">
      <c r="A147" s="93"/>
      <c r="B147" s="93"/>
      <c r="C147" s="117"/>
      <c r="D147" s="93"/>
      <c r="E147" s="93"/>
      <c r="F147" s="93"/>
      <c r="G147" s="93"/>
      <c r="H147" s="93"/>
      <c r="I147" s="128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</row>
    <row r="148" spans="1:43" ht="12.75" customHeight="1">
      <c r="A148" s="93"/>
      <c r="B148" s="93"/>
      <c r="C148" s="117"/>
      <c r="D148" s="93"/>
      <c r="E148" s="93"/>
      <c r="F148" s="93"/>
      <c r="G148" s="93"/>
      <c r="H148" s="93"/>
      <c r="I148" s="128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</row>
    <row r="149" spans="1:43" ht="12.75" customHeight="1">
      <c r="A149" s="93"/>
      <c r="B149" s="93"/>
      <c r="C149" s="117"/>
      <c r="D149" s="93"/>
      <c r="E149" s="93"/>
      <c r="F149" s="93"/>
      <c r="G149" s="93"/>
      <c r="H149" s="93"/>
      <c r="I149" s="128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</row>
    <row r="150" spans="1:43" ht="12.75" customHeight="1">
      <c r="A150" s="93"/>
      <c r="B150" s="93"/>
      <c r="C150" s="117"/>
      <c r="D150" s="93"/>
      <c r="E150" s="93"/>
      <c r="F150" s="93"/>
      <c r="G150" s="93"/>
      <c r="H150" s="93"/>
      <c r="I150" s="128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</row>
    <row r="151" spans="1:43" ht="12.75" customHeight="1">
      <c r="A151" s="93"/>
      <c r="B151" s="93"/>
      <c r="C151" s="117"/>
      <c r="D151" s="93"/>
      <c r="E151" s="93"/>
      <c r="F151" s="93"/>
      <c r="G151" s="93"/>
      <c r="H151" s="93"/>
      <c r="I151" s="128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</row>
    <row r="152" spans="1:43" ht="12.75" customHeight="1">
      <c r="A152" s="93"/>
      <c r="B152" s="93"/>
      <c r="C152" s="117"/>
      <c r="D152" s="93"/>
      <c r="E152" s="93"/>
      <c r="F152" s="93"/>
      <c r="G152" s="93"/>
      <c r="H152" s="93"/>
      <c r="I152" s="128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</row>
    <row r="153" spans="1:43" ht="12.75" customHeight="1">
      <c r="A153" s="93"/>
      <c r="B153" s="93"/>
      <c r="C153" s="117"/>
      <c r="D153" s="93"/>
      <c r="E153" s="93"/>
      <c r="F153" s="93"/>
      <c r="G153" s="93"/>
      <c r="H153" s="93"/>
      <c r="I153" s="128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</row>
    <row r="154" spans="1:43" ht="12.75" customHeight="1">
      <c r="A154" s="93"/>
      <c r="B154" s="93"/>
      <c r="C154" s="117"/>
      <c r="D154" s="93"/>
      <c r="E154" s="93"/>
      <c r="F154" s="93"/>
      <c r="G154" s="93"/>
      <c r="H154" s="93"/>
      <c r="I154" s="128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</row>
    <row r="155" spans="1:43" ht="12.75" customHeight="1">
      <c r="A155" s="93"/>
      <c r="B155" s="93"/>
      <c r="C155" s="117"/>
      <c r="D155" s="93"/>
      <c r="E155" s="93"/>
      <c r="F155" s="93"/>
      <c r="G155" s="93"/>
      <c r="H155" s="93"/>
      <c r="I155" s="128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</row>
    <row r="156" spans="1:43" ht="12.75" customHeight="1">
      <c r="A156" s="93"/>
      <c r="B156" s="93"/>
      <c r="C156" s="117"/>
      <c r="D156" s="93"/>
      <c r="E156" s="93"/>
      <c r="F156" s="93"/>
      <c r="G156" s="93"/>
      <c r="H156" s="93"/>
      <c r="I156" s="128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</row>
    <row r="157" spans="1:43" ht="12.75" customHeight="1">
      <c r="A157" s="93"/>
      <c r="B157" s="93"/>
      <c r="C157" s="117"/>
      <c r="D157" s="93"/>
      <c r="E157" s="93"/>
      <c r="F157" s="93"/>
      <c r="G157" s="93"/>
      <c r="H157" s="93"/>
      <c r="I157" s="128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</row>
    <row r="158" spans="1:43" ht="12.75" customHeight="1">
      <c r="A158" s="93"/>
      <c r="B158" s="93"/>
      <c r="C158" s="117"/>
      <c r="D158" s="93"/>
      <c r="E158" s="93"/>
      <c r="F158" s="93"/>
      <c r="G158" s="93"/>
      <c r="H158" s="93"/>
      <c r="I158" s="128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</row>
    <row r="159" spans="1:43" ht="12.75" customHeight="1">
      <c r="A159" s="93"/>
      <c r="B159" s="93"/>
      <c r="C159" s="117"/>
      <c r="D159" s="93"/>
      <c r="E159" s="93"/>
      <c r="F159" s="93"/>
      <c r="G159" s="93"/>
      <c r="H159" s="93"/>
      <c r="I159" s="128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</row>
    <row r="160" spans="1:43" ht="12.75" customHeight="1">
      <c r="A160" s="93"/>
      <c r="B160" s="93"/>
      <c r="C160" s="117"/>
      <c r="D160" s="93"/>
      <c r="E160" s="93"/>
      <c r="F160" s="93"/>
      <c r="G160" s="93"/>
      <c r="H160" s="93"/>
      <c r="I160" s="128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</row>
    <row r="161" spans="1:43" ht="12.75" customHeight="1">
      <c r="A161" s="93"/>
      <c r="B161" s="93"/>
      <c r="C161" s="117"/>
      <c r="D161" s="93"/>
      <c r="E161" s="93"/>
      <c r="F161" s="93"/>
      <c r="G161" s="93"/>
      <c r="H161" s="93"/>
      <c r="I161" s="128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</row>
    <row r="162" spans="1:43" ht="12.75" customHeight="1">
      <c r="A162" s="93"/>
      <c r="B162" s="93"/>
      <c r="C162" s="117"/>
      <c r="D162" s="93"/>
      <c r="E162" s="93"/>
      <c r="F162" s="93"/>
      <c r="G162" s="93"/>
      <c r="H162" s="93"/>
      <c r="I162" s="128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</row>
    <row r="163" spans="1:43" ht="12.75" customHeight="1">
      <c r="A163" s="93"/>
      <c r="B163" s="93"/>
      <c r="C163" s="117"/>
      <c r="D163" s="93"/>
      <c r="E163" s="93"/>
      <c r="F163" s="93"/>
      <c r="G163" s="93"/>
      <c r="H163" s="93"/>
      <c r="I163" s="128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</row>
    <row r="164" spans="1:43" ht="12.75" customHeight="1">
      <c r="A164" s="93"/>
      <c r="B164" s="93"/>
      <c r="C164" s="117"/>
      <c r="D164" s="93"/>
      <c r="E164" s="93"/>
      <c r="F164" s="93"/>
      <c r="G164" s="93"/>
      <c r="H164" s="93"/>
      <c r="I164" s="128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</row>
    <row r="165" spans="1:43" ht="12.75" customHeight="1">
      <c r="A165" s="93"/>
      <c r="B165" s="93"/>
      <c r="C165" s="117"/>
      <c r="D165" s="93"/>
      <c r="E165" s="93"/>
      <c r="F165" s="93"/>
      <c r="G165" s="93"/>
      <c r="H165" s="93"/>
      <c r="I165" s="128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</row>
    <row r="166" spans="1:43" ht="12.75" customHeight="1">
      <c r="A166" s="93"/>
      <c r="B166" s="93"/>
      <c r="C166" s="117"/>
      <c r="D166" s="93"/>
      <c r="E166" s="93"/>
      <c r="F166" s="93"/>
      <c r="G166" s="93"/>
      <c r="H166" s="93"/>
      <c r="I166" s="128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</row>
    <row r="167" spans="1:43" ht="12.75" customHeight="1">
      <c r="A167" s="93"/>
      <c r="B167" s="93"/>
      <c r="C167" s="117"/>
      <c r="D167" s="93"/>
      <c r="E167" s="93"/>
      <c r="F167" s="93"/>
      <c r="G167" s="93"/>
      <c r="H167" s="93"/>
      <c r="I167" s="128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</row>
    <row r="168" spans="1:43" ht="12.75" customHeight="1">
      <c r="A168" s="93"/>
      <c r="B168" s="93"/>
      <c r="C168" s="117"/>
      <c r="D168" s="93"/>
      <c r="E168" s="93"/>
      <c r="F168" s="93"/>
      <c r="G168" s="93"/>
      <c r="H168" s="93"/>
      <c r="I168" s="128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</row>
    <row r="169" spans="1:43" ht="12.75" customHeight="1">
      <c r="A169" s="93"/>
      <c r="B169" s="93"/>
      <c r="C169" s="117"/>
      <c r="D169" s="93"/>
      <c r="E169" s="93"/>
      <c r="F169" s="93"/>
      <c r="G169" s="93"/>
      <c r="H169" s="93"/>
      <c r="I169" s="128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</row>
    <row r="170" spans="1:43" ht="12.75" customHeight="1">
      <c r="A170" s="93"/>
      <c r="B170" s="93"/>
      <c r="C170" s="117"/>
      <c r="D170" s="93"/>
      <c r="E170" s="93"/>
      <c r="F170" s="93"/>
      <c r="G170" s="93"/>
      <c r="H170" s="93"/>
      <c r="I170" s="128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</row>
    <row r="171" spans="1:43" ht="12.75" customHeight="1">
      <c r="A171" s="93"/>
      <c r="B171" s="93"/>
      <c r="C171" s="117"/>
      <c r="D171" s="93"/>
      <c r="E171" s="93"/>
      <c r="F171" s="93"/>
      <c r="G171" s="93"/>
      <c r="H171" s="93"/>
      <c r="I171" s="128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</row>
    <row r="172" spans="1:43" ht="12.75" customHeight="1">
      <c r="A172" s="93"/>
      <c r="B172" s="93"/>
      <c r="C172" s="117"/>
      <c r="D172" s="93"/>
      <c r="E172" s="93"/>
      <c r="F172" s="93"/>
      <c r="G172" s="93"/>
      <c r="H172" s="93"/>
      <c r="I172" s="128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</row>
    <row r="173" spans="1:43" ht="12.75" customHeight="1">
      <c r="A173" s="93"/>
      <c r="B173" s="93"/>
      <c r="C173" s="117"/>
      <c r="D173" s="93"/>
      <c r="E173" s="93"/>
      <c r="F173" s="93"/>
      <c r="G173" s="93"/>
      <c r="H173" s="93"/>
      <c r="I173" s="128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</row>
    <row r="174" spans="1:43" ht="12.75" customHeight="1">
      <c r="A174" s="93"/>
      <c r="B174" s="93"/>
      <c r="C174" s="117"/>
      <c r="D174" s="93"/>
      <c r="E174" s="93"/>
      <c r="F174" s="93"/>
      <c r="G174" s="93"/>
      <c r="H174" s="93"/>
      <c r="I174" s="128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</row>
    <row r="175" spans="1:43" ht="12.75" customHeight="1">
      <c r="A175" s="93"/>
      <c r="B175" s="93"/>
      <c r="C175" s="117"/>
      <c r="D175" s="93"/>
      <c r="E175" s="93"/>
      <c r="F175" s="93"/>
      <c r="G175" s="93"/>
      <c r="H175" s="93"/>
      <c r="I175" s="128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</row>
    <row r="176" spans="1:43" ht="12.75" customHeight="1">
      <c r="A176" s="93"/>
      <c r="B176" s="93"/>
      <c r="C176" s="117"/>
      <c r="D176" s="93"/>
      <c r="E176" s="93"/>
      <c r="F176" s="93"/>
      <c r="G176" s="93"/>
      <c r="H176" s="93"/>
      <c r="I176" s="128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</row>
    <row r="177" spans="1:43" ht="12.75" customHeight="1">
      <c r="A177" s="93"/>
      <c r="B177" s="93"/>
      <c r="C177" s="117"/>
      <c r="D177" s="93"/>
      <c r="E177" s="93"/>
      <c r="F177" s="93"/>
      <c r="G177" s="93"/>
      <c r="H177" s="93"/>
      <c r="I177" s="128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</row>
    <row r="178" spans="1:43" ht="12.75" customHeight="1">
      <c r="A178" s="93"/>
      <c r="B178" s="93"/>
      <c r="C178" s="117"/>
      <c r="D178" s="93"/>
      <c r="E178" s="93"/>
      <c r="F178" s="93"/>
      <c r="G178" s="93"/>
      <c r="H178" s="93"/>
      <c r="I178" s="128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</row>
    <row r="179" spans="1:43" ht="12.75" customHeight="1">
      <c r="A179" s="93"/>
      <c r="B179" s="93"/>
      <c r="C179" s="117"/>
      <c r="D179" s="93"/>
      <c r="E179" s="93"/>
      <c r="F179" s="93"/>
      <c r="G179" s="93"/>
      <c r="H179" s="93"/>
      <c r="I179" s="128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</row>
    <row r="180" spans="1:43" ht="12.75" customHeight="1">
      <c r="A180" s="93"/>
      <c r="B180" s="93"/>
      <c r="C180" s="117"/>
      <c r="D180" s="93"/>
      <c r="E180" s="93"/>
      <c r="F180" s="93"/>
      <c r="G180" s="93"/>
      <c r="H180" s="93"/>
      <c r="I180" s="128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</row>
    <row r="181" spans="1:43" ht="12.75" customHeight="1">
      <c r="A181" s="93"/>
      <c r="B181" s="93"/>
      <c r="C181" s="117"/>
      <c r="D181" s="93"/>
      <c r="E181" s="93"/>
      <c r="F181" s="93"/>
      <c r="G181" s="93"/>
      <c r="H181" s="93"/>
      <c r="I181" s="128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</row>
    <row r="182" spans="1:43" ht="12.75" customHeight="1">
      <c r="A182" s="93"/>
      <c r="B182" s="93"/>
      <c r="C182" s="117"/>
      <c r="D182" s="93"/>
      <c r="E182" s="93"/>
      <c r="F182" s="93"/>
      <c r="G182" s="93"/>
      <c r="H182" s="93"/>
      <c r="I182" s="128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</row>
    <row r="183" spans="1:43" ht="12.75" customHeight="1">
      <c r="A183" s="93"/>
      <c r="B183" s="93"/>
      <c r="C183" s="117"/>
      <c r="D183" s="93"/>
      <c r="E183" s="93"/>
      <c r="F183" s="93"/>
      <c r="G183" s="93"/>
      <c r="H183" s="93"/>
      <c r="I183" s="128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</row>
    <row r="184" spans="1:43" ht="12.75" customHeight="1">
      <c r="A184" s="93"/>
      <c r="B184" s="93"/>
      <c r="C184" s="117"/>
      <c r="D184" s="93"/>
      <c r="E184" s="93"/>
      <c r="F184" s="93"/>
      <c r="G184" s="93"/>
      <c r="H184" s="93"/>
      <c r="I184" s="128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</row>
    <row r="185" spans="1:43" ht="12.75" customHeight="1">
      <c r="A185" s="93"/>
      <c r="B185" s="93"/>
      <c r="C185" s="117"/>
      <c r="D185" s="93"/>
      <c r="E185" s="93"/>
      <c r="F185" s="93"/>
      <c r="G185" s="93"/>
      <c r="H185" s="93"/>
      <c r="I185" s="128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</row>
    <row r="186" spans="1:43" ht="12.75" customHeight="1">
      <c r="A186" s="93"/>
      <c r="B186" s="93"/>
      <c r="C186" s="117"/>
      <c r="D186" s="93"/>
      <c r="E186" s="93"/>
      <c r="F186" s="93"/>
      <c r="G186" s="93"/>
      <c r="H186" s="93"/>
      <c r="I186" s="128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</row>
    <row r="187" spans="1:43" ht="12.75" customHeight="1">
      <c r="A187" s="93"/>
      <c r="B187" s="93"/>
      <c r="C187" s="117"/>
      <c r="D187" s="93"/>
      <c r="E187" s="93"/>
      <c r="F187" s="93"/>
      <c r="G187" s="93"/>
      <c r="H187" s="93"/>
      <c r="I187" s="128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</row>
    <row r="188" spans="1:43" ht="12.75" customHeight="1">
      <c r="A188" s="93"/>
      <c r="B188" s="93"/>
      <c r="C188" s="117"/>
      <c r="D188" s="93"/>
      <c r="E188" s="93"/>
      <c r="F188" s="93"/>
      <c r="G188" s="93"/>
      <c r="H188" s="93"/>
      <c r="I188" s="128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</row>
    <row r="189" spans="1:43" ht="12.75" customHeight="1">
      <c r="A189" s="93"/>
      <c r="B189" s="93"/>
      <c r="C189" s="117"/>
      <c r="D189" s="93"/>
      <c r="E189" s="93"/>
      <c r="F189" s="93"/>
      <c r="G189" s="93"/>
      <c r="H189" s="93"/>
      <c r="I189" s="128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</row>
    <row r="190" spans="1:43" ht="12.75" customHeight="1">
      <c r="A190" s="93"/>
      <c r="B190" s="93"/>
      <c r="C190" s="117"/>
      <c r="D190" s="93"/>
      <c r="E190" s="93"/>
      <c r="F190" s="93"/>
      <c r="G190" s="93"/>
      <c r="H190" s="93"/>
      <c r="I190" s="128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</row>
    <row r="191" spans="1:43" ht="12.75" customHeight="1">
      <c r="A191" s="93"/>
      <c r="B191" s="93"/>
      <c r="C191" s="117"/>
      <c r="D191" s="93"/>
      <c r="E191" s="93"/>
      <c r="F191" s="93"/>
      <c r="G191" s="93"/>
      <c r="H191" s="93"/>
      <c r="I191" s="128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</row>
    <row r="192" spans="1:43" ht="12.75" customHeight="1">
      <c r="A192" s="93"/>
      <c r="B192" s="93"/>
      <c r="C192" s="117"/>
      <c r="D192" s="93"/>
      <c r="E192" s="93"/>
      <c r="F192" s="93"/>
      <c r="G192" s="93"/>
      <c r="H192" s="93"/>
      <c r="I192" s="128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</row>
    <row r="193" spans="1:43" ht="12.75" customHeight="1">
      <c r="A193" s="93"/>
      <c r="B193" s="93"/>
      <c r="C193" s="117"/>
      <c r="D193" s="93"/>
      <c r="E193" s="93"/>
      <c r="F193" s="93"/>
      <c r="G193" s="93"/>
      <c r="H193" s="93"/>
      <c r="I193" s="128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</row>
    <row r="194" spans="1:43" ht="12.75" customHeight="1">
      <c r="A194" s="93"/>
      <c r="B194" s="93"/>
      <c r="C194" s="117"/>
      <c r="D194" s="93"/>
      <c r="E194" s="93"/>
      <c r="F194" s="93"/>
      <c r="G194" s="93"/>
      <c r="H194" s="93"/>
      <c r="I194" s="128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</row>
    <row r="195" spans="1:43" ht="12.75" customHeight="1">
      <c r="A195" s="93"/>
      <c r="B195" s="93"/>
      <c r="C195" s="117"/>
      <c r="D195" s="93"/>
      <c r="E195" s="93"/>
      <c r="F195" s="93"/>
      <c r="G195" s="93"/>
      <c r="H195" s="93"/>
      <c r="I195" s="128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</row>
    <row r="196" spans="1:43" ht="12.75" customHeight="1">
      <c r="A196" s="93"/>
      <c r="B196" s="93"/>
      <c r="C196" s="117"/>
      <c r="D196" s="93"/>
      <c r="E196" s="93"/>
      <c r="F196" s="93"/>
      <c r="G196" s="93"/>
      <c r="H196" s="93"/>
      <c r="I196" s="128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</row>
    <row r="197" spans="1:43" ht="12.75" customHeight="1">
      <c r="A197" s="93"/>
      <c r="B197" s="93"/>
      <c r="C197" s="117"/>
      <c r="D197" s="93"/>
      <c r="E197" s="93"/>
      <c r="F197" s="93"/>
      <c r="G197" s="93"/>
      <c r="H197" s="93"/>
      <c r="I197" s="128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</row>
    <row r="198" spans="1:43" ht="12.75" customHeight="1">
      <c r="A198" s="93"/>
      <c r="B198" s="93"/>
      <c r="C198" s="117"/>
      <c r="D198" s="93"/>
      <c r="E198" s="93"/>
      <c r="F198" s="93"/>
      <c r="G198" s="93"/>
      <c r="H198" s="93"/>
      <c r="I198" s="128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</row>
    <row r="199" spans="1:43" ht="12.75" customHeight="1">
      <c r="A199" s="93"/>
      <c r="B199" s="93"/>
      <c r="C199" s="117"/>
      <c r="D199" s="93"/>
      <c r="E199" s="93"/>
      <c r="F199" s="93"/>
      <c r="G199" s="93"/>
      <c r="H199" s="93"/>
      <c r="I199" s="128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</row>
    <row r="200" spans="1:43" ht="12.75" customHeight="1">
      <c r="A200" s="93"/>
      <c r="B200" s="93"/>
      <c r="C200" s="117"/>
      <c r="D200" s="93"/>
      <c r="E200" s="93"/>
      <c r="F200" s="93"/>
      <c r="G200" s="93"/>
      <c r="H200" s="93"/>
      <c r="I200" s="128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</row>
    <row r="201" spans="1:43" ht="12.75" customHeight="1">
      <c r="A201" s="93"/>
      <c r="B201" s="93"/>
      <c r="C201" s="117"/>
      <c r="D201" s="93"/>
      <c r="E201" s="93"/>
      <c r="F201" s="93"/>
      <c r="G201" s="93"/>
      <c r="H201" s="93"/>
      <c r="I201" s="128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</row>
    <row r="202" spans="1:43" ht="12.75" customHeight="1">
      <c r="A202" s="93"/>
      <c r="B202" s="93"/>
      <c r="C202" s="117"/>
      <c r="D202" s="93"/>
      <c r="E202" s="93"/>
      <c r="F202" s="93"/>
      <c r="G202" s="93"/>
      <c r="H202" s="93"/>
      <c r="I202" s="128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</row>
    <row r="203" spans="1:43" ht="12.75" customHeight="1">
      <c r="A203" s="93"/>
      <c r="B203" s="93"/>
      <c r="C203" s="117"/>
      <c r="D203" s="93"/>
      <c r="E203" s="93"/>
      <c r="F203" s="93"/>
      <c r="G203" s="93"/>
      <c r="H203" s="93"/>
      <c r="I203" s="128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</row>
    <row r="204" spans="1:43" ht="12.75" customHeight="1">
      <c r="A204" s="93"/>
      <c r="B204" s="93"/>
      <c r="C204" s="117"/>
      <c r="D204" s="93"/>
      <c r="E204" s="93"/>
      <c r="F204" s="93"/>
      <c r="G204" s="93"/>
      <c r="H204" s="93"/>
      <c r="I204" s="128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</row>
    <row r="205" spans="1:43" ht="12.75" customHeight="1">
      <c r="A205" s="93"/>
      <c r="B205" s="93"/>
      <c r="C205" s="117"/>
      <c r="D205" s="93"/>
      <c r="E205" s="93"/>
      <c r="F205" s="93"/>
      <c r="G205" s="93"/>
      <c r="H205" s="93"/>
      <c r="I205" s="128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</row>
    <row r="206" spans="1:43" ht="12.75" customHeight="1">
      <c r="A206" s="93"/>
      <c r="B206" s="93"/>
      <c r="C206" s="117"/>
      <c r="D206" s="93"/>
      <c r="E206" s="93"/>
      <c r="F206" s="93"/>
      <c r="G206" s="93"/>
      <c r="H206" s="93"/>
      <c r="I206" s="128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</row>
    <row r="207" spans="1:43" ht="12.75" customHeight="1">
      <c r="A207" s="93"/>
      <c r="B207" s="93"/>
      <c r="C207" s="117"/>
      <c r="D207" s="93"/>
      <c r="E207" s="93"/>
      <c r="F207" s="93"/>
      <c r="G207" s="93"/>
      <c r="H207" s="93"/>
      <c r="I207" s="128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</row>
    <row r="208" spans="1:43" ht="12.75" customHeight="1">
      <c r="A208" s="93"/>
      <c r="B208" s="93"/>
      <c r="C208" s="117"/>
      <c r="D208" s="93"/>
      <c r="E208" s="93"/>
      <c r="F208" s="93"/>
      <c r="G208" s="93"/>
      <c r="H208" s="93"/>
      <c r="I208" s="128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</row>
    <row r="209" spans="1:43" ht="12.75" customHeight="1">
      <c r="A209" s="93"/>
      <c r="B209" s="93"/>
      <c r="C209" s="117"/>
      <c r="D209" s="93"/>
      <c r="E209" s="93"/>
      <c r="F209" s="93"/>
      <c r="G209" s="93"/>
      <c r="H209" s="93"/>
      <c r="I209" s="128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</row>
    <row r="210" spans="1:43" ht="12.75" customHeight="1">
      <c r="A210" s="93"/>
      <c r="B210" s="93"/>
      <c r="C210" s="117"/>
      <c r="D210" s="93"/>
      <c r="E210" s="93"/>
      <c r="F210" s="93"/>
      <c r="G210" s="93"/>
      <c r="H210" s="93"/>
      <c r="I210" s="128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</row>
    <row r="211" spans="1:43" ht="12.75" customHeight="1">
      <c r="A211" s="93"/>
      <c r="B211" s="93"/>
      <c r="C211" s="117"/>
      <c r="D211" s="93"/>
      <c r="E211" s="93"/>
      <c r="F211" s="93"/>
      <c r="G211" s="93"/>
      <c r="H211" s="93"/>
      <c r="I211" s="128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</row>
    <row r="212" spans="1:43" ht="12.75" customHeight="1">
      <c r="A212" s="93"/>
      <c r="B212" s="93"/>
      <c r="C212" s="117"/>
      <c r="D212" s="93"/>
      <c r="E212" s="93"/>
      <c r="F212" s="93"/>
      <c r="G212" s="93"/>
      <c r="H212" s="93"/>
      <c r="I212" s="128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</row>
    <row r="213" spans="1:43" ht="12.75" customHeight="1">
      <c r="A213" s="93"/>
      <c r="B213" s="93"/>
      <c r="C213" s="117"/>
      <c r="D213" s="93"/>
      <c r="E213" s="93"/>
      <c r="F213" s="93"/>
      <c r="G213" s="93"/>
      <c r="H213" s="93"/>
      <c r="I213" s="128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</row>
    <row r="214" spans="1:43" ht="12.75" customHeight="1">
      <c r="A214" s="93"/>
      <c r="B214" s="93"/>
      <c r="C214" s="117"/>
      <c r="D214" s="93"/>
      <c r="E214" s="93"/>
      <c r="F214" s="93"/>
      <c r="G214" s="93"/>
      <c r="H214" s="93"/>
      <c r="I214" s="128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</row>
    <row r="215" spans="1:43" ht="12.75" customHeight="1">
      <c r="A215" s="93"/>
      <c r="B215" s="93"/>
      <c r="C215" s="117"/>
      <c r="D215" s="93"/>
      <c r="E215" s="93"/>
      <c r="F215" s="93"/>
      <c r="G215" s="93"/>
      <c r="H215" s="93"/>
      <c r="I215" s="128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</row>
    <row r="216" spans="1:43" ht="12.75" customHeight="1">
      <c r="A216" s="93"/>
      <c r="B216" s="93"/>
      <c r="C216" s="117"/>
      <c r="D216" s="93"/>
      <c r="E216" s="93"/>
      <c r="F216" s="93"/>
      <c r="G216" s="93"/>
      <c r="H216" s="93"/>
      <c r="I216" s="128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</row>
    <row r="217" spans="1:43" ht="12.75" customHeight="1">
      <c r="A217" s="93"/>
      <c r="B217" s="93"/>
      <c r="C217" s="117"/>
      <c r="D217" s="93"/>
      <c r="E217" s="93"/>
      <c r="F217" s="93"/>
      <c r="G217" s="93"/>
      <c r="H217" s="93"/>
      <c r="I217" s="128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</row>
    <row r="218" spans="1:43" ht="12.75" customHeight="1">
      <c r="A218" s="93"/>
      <c r="B218" s="93"/>
      <c r="C218" s="117"/>
      <c r="D218" s="93"/>
      <c r="E218" s="93"/>
      <c r="F218" s="93"/>
      <c r="G218" s="93"/>
      <c r="H218" s="93"/>
      <c r="I218" s="128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</row>
    <row r="219" spans="1:43" ht="12.75" customHeight="1">
      <c r="A219" s="93"/>
      <c r="B219" s="93"/>
      <c r="C219" s="117"/>
      <c r="D219" s="93"/>
      <c r="E219" s="93"/>
      <c r="F219" s="93"/>
      <c r="G219" s="93"/>
      <c r="H219" s="93"/>
      <c r="I219" s="128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</row>
    <row r="220" spans="1:43" ht="12.75" customHeight="1">
      <c r="A220" s="93"/>
      <c r="B220" s="93"/>
      <c r="C220" s="117"/>
      <c r="D220" s="93"/>
      <c r="E220" s="93"/>
      <c r="F220" s="93"/>
      <c r="G220" s="93"/>
      <c r="H220" s="93"/>
      <c r="I220" s="128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</row>
    <row r="221" spans="1:43" ht="12.75" customHeight="1">
      <c r="A221" s="93"/>
      <c r="B221" s="93"/>
      <c r="C221" s="117"/>
      <c r="D221" s="93"/>
      <c r="E221" s="93"/>
      <c r="F221" s="93"/>
      <c r="G221" s="93"/>
      <c r="H221" s="93"/>
      <c r="I221" s="128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</row>
    <row r="222" spans="1:43" ht="12.75" customHeight="1">
      <c r="A222" s="93"/>
      <c r="B222" s="93"/>
      <c r="C222" s="117"/>
      <c r="D222" s="93"/>
      <c r="E222" s="93"/>
      <c r="F222" s="93"/>
      <c r="G222" s="93"/>
      <c r="H222" s="93"/>
      <c r="I222" s="128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</row>
    <row r="223" spans="1:43" ht="12.75" customHeight="1">
      <c r="A223" s="93"/>
      <c r="B223" s="93"/>
      <c r="C223" s="117"/>
      <c r="D223" s="93"/>
      <c r="E223" s="93"/>
      <c r="F223" s="93"/>
      <c r="G223" s="93"/>
      <c r="H223" s="93"/>
      <c r="I223" s="128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</row>
    <row r="224" spans="1:43" ht="12.75" customHeight="1">
      <c r="A224" s="93"/>
      <c r="B224" s="93"/>
      <c r="C224" s="117"/>
      <c r="D224" s="93"/>
      <c r="E224" s="93"/>
      <c r="F224" s="93"/>
      <c r="G224" s="93"/>
      <c r="H224" s="93"/>
      <c r="I224" s="128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</row>
    <row r="225" spans="1:43" ht="12.75" customHeight="1">
      <c r="A225" s="93"/>
      <c r="B225" s="93"/>
      <c r="C225" s="117"/>
      <c r="D225" s="93"/>
      <c r="E225" s="93"/>
      <c r="F225" s="93"/>
      <c r="G225" s="93"/>
      <c r="H225" s="93"/>
      <c r="I225" s="128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</row>
    <row r="226" spans="1:43" ht="12.75" customHeight="1">
      <c r="A226" s="93"/>
      <c r="B226" s="93"/>
      <c r="C226" s="117"/>
      <c r="D226" s="93"/>
      <c r="E226" s="93"/>
      <c r="F226" s="93"/>
      <c r="G226" s="93"/>
      <c r="H226" s="93"/>
      <c r="I226" s="128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</row>
    <row r="227" spans="1:43" ht="12.75" customHeight="1">
      <c r="A227" s="93"/>
      <c r="B227" s="93"/>
      <c r="C227" s="117"/>
      <c r="D227" s="93"/>
      <c r="E227" s="93"/>
      <c r="F227" s="93"/>
      <c r="G227" s="93"/>
      <c r="H227" s="93"/>
      <c r="I227" s="128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</row>
    <row r="228" spans="1:43" ht="12.75" customHeight="1">
      <c r="A228" s="93"/>
      <c r="B228" s="93"/>
      <c r="C228" s="117"/>
      <c r="D228" s="93"/>
      <c r="E228" s="93"/>
      <c r="F228" s="93"/>
      <c r="G228" s="93"/>
      <c r="H228" s="93"/>
      <c r="I228" s="128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</row>
    <row r="229" spans="1:43" ht="12.75" customHeight="1">
      <c r="A229" s="93"/>
      <c r="B229" s="93"/>
      <c r="C229" s="117"/>
      <c r="D229" s="93"/>
      <c r="E229" s="93"/>
      <c r="F229" s="93"/>
      <c r="G229" s="93"/>
      <c r="H229" s="93"/>
      <c r="I229" s="128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</row>
    <row r="230" spans="1:43" ht="12.75" customHeight="1">
      <c r="A230" s="93"/>
      <c r="B230" s="93"/>
      <c r="C230" s="117"/>
      <c r="D230" s="93"/>
      <c r="E230" s="93"/>
      <c r="F230" s="93"/>
      <c r="G230" s="93"/>
      <c r="H230" s="93"/>
      <c r="I230" s="128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</row>
    <row r="231" spans="1:43" ht="12.75" customHeight="1">
      <c r="A231" s="93"/>
      <c r="B231" s="93"/>
      <c r="C231" s="117"/>
      <c r="D231" s="93"/>
      <c r="E231" s="93"/>
      <c r="F231" s="93"/>
      <c r="G231" s="93"/>
      <c r="H231" s="93"/>
      <c r="I231" s="128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</row>
    <row r="232" spans="1:43" ht="12.75" customHeight="1">
      <c r="A232" s="93"/>
      <c r="B232" s="93"/>
      <c r="C232" s="117"/>
      <c r="D232" s="93"/>
      <c r="E232" s="93"/>
      <c r="F232" s="93"/>
      <c r="G232" s="93"/>
      <c r="H232" s="93"/>
      <c r="I232" s="128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</row>
    <row r="233" spans="1:43" ht="12.75" customHeight="1">
      <c r="A233" s="93"/>
      <c r="B233" s="93"/>
      <c r="C233" s="117"/>
      <c r="D233" s="93"/>
      <c r="E233" s="93"/>
      <c r="F233" s="93"/>
      <c r="G233" s="93"/>
      <c r="H233" s="93"/>
      <c r="I233" s="128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</row>
    <row r="234" spans="1:43" ht="12.75" customHeight="1">
      <c r="A234" s="93"/>
      <c r="B234" s="93"/>
      <c r="C234" s="117"/>
      <c r="D234" s="93"/>
      <c r="E234" s="93"/>
      <c r="F234" s="93"/>
      <c r="G234" s="93"/>
      <c r="H234" s="93"/>
      <c r="I234" s="128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</row>
    <row r="235" spans="1:43" ht="12.75" customHeight="1">
      <c r="A235" s="93"/>
      <c r="B235" s="93"/>
      <c r="C235" s="117"/>
      <c r="D235" s="93"/>
      <c r="E235" s="93"/>
      <c r="F235" s="93"/>
      <c r="G235" s="93"/>
      <c r="H235" s="93"/>
      <c r="I235" s="128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</row>
    <row r="236" spans="1:43" ht="12.75" customHeight="1">
      <c r="A236" s="93"/>
      <c r="B236" s="93"/>
      <c r="C236" s="117"/>
      <c r="D236" s="93"/>
      <c r="E236" s="93"/>
      <c r="F236" s="93"/>
      <c r="G236" s="93"/>
      <c r="H236" s="93"/>
      <c r="I236" s="128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</row>
    <row r="237" spans="1:43" ht="12.75" customHeight="1">
      <c r="A237" s="93"/>
      <c r="B237" s="93"/>
      <c r="C237" s="117"/>
      <c r="D237" s="93"/>
      <c r="E237" s="93"/>
      <c r="F237" s="93"/>
      <c r="G237" s="93"/>
      <c r="H237" s="93"/>
      <c r="I237" s="128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</row>
    <row r="238" spans="1:43" ht="12.75" customHeight="1">
      <c r="A238" s="93"/>
      <c r="B238" s="93"/>
      <c r="C238" s="117"/>
      <c r="D238" s="93"/>
      <c r="E238" s="93"/>
      <c r="F238" s="93"/>
      <c r="G238" s="93"/>
      <c r="H238" s="93"/>
      <c r="I238" s="128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</row>
    <row r="239" spans="1:43" ht="12.75" customHeight="1">
      <c r="A239" s="93"/>
      <c r="B239" s="93"/>
      <c r="C239" s="117"/>
      <c r="D239" s="93"/>
      <c r="E239" s="93"/>
      <c r="F239" s="93"/>
      <c r="G239" s="93"/>
      <c r="H239" s="93"/>
      <c r="I239" s="128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</row>
    <row r="240" spans="1:43" ht="12.75" customHeight="1">
      <c r="A240" s="93"/>
      <c r="B240" s="93"/>
      <c r="C240" s="117"/>
      <c r="D240" s="93"/>
      <c r="E240" s="93"/>
      <c r="F240" s="93"/>
      <c r="G240" s="93"/>
      <c r="H240" s="93"/>
      <c r="I240" s="128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</row>
    <row r="241" spans="1:43" ht="12.75" customHeight="1">
      <c r="A241" s="93"/>
      <c r="B241" s="93"/>
      <c r="C241" s="117"/>
      <c r="D241" s="93"/>
      <c r="E241" s="93"/>
      <c r="F241" s="93"/>
      <c r="G241" s="93"/>
      <c r="H241" s="93"/>
      <c r="I241" s="128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</row>
    <row r="242" spans="1:43" ht="12.75" customHeight="1">
      <c r="A242" s="93"/>
      <c r="B242" s="93"/>
      <c r="C242" s="117"/>
      <c r="D242" s="93"/>
      <c r="E242" s="93"/>
      <c r="F242" s="93"/>
      <c r="G242" s="93"/>
      <c r="H242" s="93"/>
      <c r="I242" s="128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</row>
    <row r="243" spans="1:43" ht="12.75" customHeight="1">
      <c r="A243" s="93"/>
      <c r="B243" s="93"/>
      <c r="C243" s="117"/>
      <c r="D243" s="93"/>
      <c r="E243" s="93"/>
      <c r="F243" s="93"/>
      <c r="G243" s="93"/>
      <c r="H243" s="93"/>
      <c r="I243" s="128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</row>
    <row r="244" spans="1:43" ht="12.75" customHeight="1">
      <c r="A244" s="93"/>
      <c r="B244" s="93"/>
      <c r="C244" s="117"/>
      <c r="D244" s="93"/>
      <c r="E244" s="93"/>
      <c r="F244" s="93"/>
      <c r="G244" s="93"/>
      <c r="H244" s="93"/>
      <c r="I244" s="128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</row>
    <row r="245" spans="1:43" ht="12.75" customHeight="1">
      <c r="A245" s="93"/>
      <c r="B245" s="93"/>
      <c r="C245" s="117"/>
      <c r="D245" s="93"/>
      <c r="E245" s="93"/>
      <c r="F245" s="93"/>
      <c r="G245" s="93"/>
      <c r="H245" s="93"/>
      <c r="I245" s="128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</row>
    <row r="246" spans="1:43" ht="12.75" customHeight="1">
      <c r="A246" s="93"/>
      <c r="B246" s="93"/>
      <c r="C246" s="117"/>
      <c r="D246" s="93"/>
      <c r="E246" s="93"/>
      <c r="F246" s="93"/>
      <c r="G246" s="93"/>
      <c r="H246" s="93"/>
      <c r="I246" s="128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</row>
    <row r="247" spans="1:43" ht="12.75" customHeight="1">
      <c r="A247" s="93"/>
      <c r="B247" s="93"/>
      <c r="C247" s="117"/>
      <c r="D247" s="93"/>
      <c r="E247" s="93"/>
      <c r="F247" s="93"/>
      <c r="G247" s="93"/>
      <c r="H247" s="93"/>
      <c r="I247" s="128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</row>
    <row r="248" spans="1:43" ht="12.75" customHeight="1">
      <c r="A248" s="93"/>
      <c r="B248" s="93"/>
      <c r="C248" s="117"/>
      <c r="D248" s="93"/>
      <c r="E248" s="93"/>
      <c r="F248" s="93"/>
      <c r="G248" s="93"/>
      <c r="H248" s="93"/>
      <c r="I248" s="128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</row>
    <row r="249" spans="1:43" ht="12.75" customHeight="1">
      <c r="A249" s="93"/>
      <c r="B249" s="93"/>
      <c r="C249" s="117"/>
      <c r="D249" s="93"/>
      <c r="E249" s="93"/>
      <c r="F249" s="93"/>
      <c r="G249" s="93"/>
      <c r="H249" s="93"/>
      <c r="I249" s="128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</row>
    <row r="250" spans="1:43" ht="12.75" customHeight="1">
      <c r="A250" s="93"/>
      <c r="B250" s="93"/>
      <c r="C250" s="117"/>
      <c r="D250" s="93"/>
      <c r="E250" s="93"/>
      <c r="F250" s="93"/>
      <c r="G250" s="93"/>
      <c r="H250" s="93"/>
      <c r="I250" s="128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</row>
    <row r="251" spans="1:43" ht="12.75" customHeight="1">
      <c r="A251" s="93"/>
      <c r="B251" s="93"/>
      <c r="C251" s="117"/>
      <c r="D251" s="93"/>
      <c r="E251" s="93"/>
      <c r="F251" s="93"/>
      <c r="G251" s="93"/>
      <c r="H251" s="93"/>
      <c r="I251" s="128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</row>
    <row r="252" spans="1:43" ht="12.75" customHeight="1">
      <c r="A252" s="93"/>
      <c r="B252" s="93"/>
      <c r="C252" s="117"/>
      <c r="D252" s="93"/>
      <c r="E252" s="93"/>
      <c r="F252" s="93"/>
      <c r="G252" s="93"/>
      <c r="H252" s="93"/>
      <c r="I252" s="128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</row>
    <row r="253" spans="1:43" ht="12.75" customHeight="1">
      <c r="A253" s="93"/>
      <c r="B253" s="93"/>
      <c r="C253" s="117"/>
      <c r="D253" s="93"/>
      <c r="E253" s="93"/>
      <c r="F253" s="93"/>
      <c r="G253" s="93"/>
      <c r="H253" s="93"/>
      <c r="I253" s="128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</row>
    <row r="254" spans="1:43" ht="12.75" customHeight="1">
      <c r="A254" s="93"/>
      <c r="B254" s="93"/>
      <c r="C254" s="117"/>
      <c r="D254" s="93"/>
      <c r="E254" s="93"/>
      <c r="F254" s="93"/>
      <c r="G254" s="93"/>
      <c r="H254" s="93"/>
      <c r="I254" s="128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</row>
    <row r="255" spans="1:43" ht="12.75" customHeight="1">
      <c r="A255" s="93"/>
      <c r="B255" s="93"/>
      <c r="C255" s="117"/>
      <c r="D255" s="93"/>
      <c r="E255" s="93"/>
      <c r="F255" s="93"/>
      <c r="G255" s="93"/>
      <c r="H255" s="93"/>
      <c r="I255" s="128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</row>
    <row r="256" spans="1:43" ht="12.75" customHeight="1">
      <c r="A256" s="93"/>
      <c r="B256" s="93"/>
      <c r="C256" s="117"/>
      <c r="D256" s="93"/>
      <c r="E256" s="93"/>
      <c r="F256" s="93"/>
      <c r="G256" s="93"/>
      <c r="H256" s="93"/>
      <c r="I256" s="128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</row>
    <row r="257" spans="1:43" ht="12.75" customHeight="1">
      <c r="A257" s="93"/>
      <c r="B257" s="93"/>
      <c r="C257" s="117"/>
      <c r="D257" s="93"/>
      <c r="E257" s="93"/>
      <c r="F257" s="93"/>
      <c r="G257" s="93"/>
      <c r="H257" s="93"/>
      <c r="I257" s="128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</row>
    <row r="258" spans="1:43" ht="12.75" customHeight="1">
      <c r="A258" s="93"/>
      <c r="B258" s="93"/>
      <c r="C258" s="117"/>
      <c r="D258" s="93"/>
      <c r="E258" s="93"/>
      <c r="F258" s="93"/>
      <c r="G258" s="93"/>
      <c r="H258" s="93"/>
      <c r="I258" s="128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</row>
    <row r="259" spans="1:43" ht="12.75" customHeight="1">
      <c r="A259" s="93"/>
      <c r="B259" s="93"/>
      <c r="C259" s="117"/>
      <c r="D259" s="93"/>
      <c r="E259" s="93"/>
      <c r="F259" s="93"/>
      <c r="G259" s="93"/>
      <c r="H259" s="93"/>
      <c r="I259" s="128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</row>
    <row r="260" spans="1:43" ht="12.75" customHeight="1">
      <c r="A260" s="93"/>
      <c r="B260" s="93"/>
      <c r="C260" s="117"/>
      <c r="D260" s="93"/>
      <c r="E260" s="93"/>
      <c r="F260" s="93"/>
      <c r="G260" s="93"/>
      <c r="H260" s="93"/>
      <c r="I260" s="128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</row>
    <row r="261" spans="1:43" ht="12.75" customHeight="1">
      <c r="A261" s="93"/>
      <c r="B261" s="93"/>
      <c r="C261" s="117"/>
      <c r="D261" s="93"/>
      <c r="E261" s="93"/>
      <c r="F261" s="93"/>
      <c r="G261" s="93"/>
      <c r="H261" s="93"/>
      <c r="I261" s="128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</row>
    <row r="262" spans="1:43" ht="12.75" customHeight="1">
      <c r="A262" s="93"/>
      <c r="B262" s="93"/>
      <c r="C262" s="117"/>
      <c r="D262" s="93"/>
      <c r="E262" s="93"/>
      <c r="F262" s="93"/>
      <c r="G262" s="93"/>
      <c r="H262" s="93"/>
      <c r="I262" s="128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</row>
    <row r="263" spans="1:43" ht="12.75" customHeight="1">
      <c r="A263" s="93"/>
      <c r="B263" s="93"/>
      <c r="C263" s="117"/>
      <c r="D263" s="93"/>
      <c r="E263" s="93"/>
      <c r="F263" s="93"/>
      <c r="G263" s="93"/>
      <c r="H263" s="93"/>
      <c r="I263" s="128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</row>
    <row r="264" spans="1:43" ht="12.75" customHeight="1">
      <c r="A264" s="93"/>
      <c r="B264" s="93"/>
      <c r="C264" s="117"/>
      <c r="D264" s="93"/>
      <c r="E264" s="93"/>
      <c r="F264" s="93"/>
      <c r="G264" s="93"/>
      <c r="H264" s="93"/>
      <c r="I264" s="128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</row>
    <row r="265" spans="1:43" ht="12.75" customHeight="1">
      <c r="A265" s="93"/>
      <c r="B265" s="93"/>
      <c r="C265" s="117"/>
      <c r="D265" s="93"/>
      <c r="E265" s="93"/>
      <c r="F265" s="93"/>
      <c r="G265" s="93"/>
      <c r="H265" s="93"/>
      <c r="I265" s="128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</row>
    <row r="266" spans="1:43" ht="12.75" customHeight="1">
      <c r="A266" s="93"/>
      <c r="B266" s="93"/>
      <c r="C266" s="117"/>
      <c r="D266" s="93"/>
      <c r="E266" s="93"/>
      <c r="F266" s="93"/>
      <c r="G266" s="93"/>
      <c r="H266" s="93"/>
      <c r="I266" s="128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</row>
    <row r="267" spans="1:43" ht="12.75" customHeight="1">
      <c r="A267" s="93"/>
      <c r="B267" s="93"/>
      <c r="C267" s="117"/>
      <c r="D267" s="93"/>
      <c r="E267" s="93"/>
      <c r="F267" s="93"/>
      <c r="G267" s="93"/>
      <c r="H267" s="93"/>
      <c r="I267" s="128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</row>
    <row r="268" spans="1:43" ht="12.75" customHeight="1">
      <c r="A268" s="93"/>
      <c r="B268" s="93"/>
      <c r="C268" s="117"/>
      <c r="D268" s="93"/>
      <c r="E268" s="93"/>
      <c r="F268" s="93"/>
      <c r="G268" s="93"/>
      <c r="H268" s="93"/>
      <c r="I268" s="128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</row>
    <row r="269" spans="1:43" ht="12.75" customHeight="1">
      <c r="A269" s="93"/>
      <c r="B269" s="93"/>
      <c r="C269" s="117"/>
      <c r="D269" s="93"/>
      <c r="E269" s="93"/>
      <c r="F269" s="93"/>
      <c r="G269" s="93"/>
      <c r="H269" s="93"/>
      <c r="I269" s="128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</row>
    <row r="270" spans="1:43" ht="12.75" customHeight="1">
      <c r="A270" s="93"/>
      <c r="B270" s="93"/>
      <c r="C270" s="117"/>
      <c r="D270" s="93"/>
      <c r="E270" s="93"/>
      <c r="F270" s="93"/>
      <c r="G270" s="93"/>
      <c r="H270" s="93"/>
      <c r="I270" s="128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</row>
    <row r="271" spans="1:43" ht="12.75" customHeight="1">
      <c r="A271" s="93"/>
      <c r="B271" s="93"/>
      <c r="C271" s="117"/>
      <c r="D271" s="93"/>
      <c r="E271" s="93"/>
      <c r="F271" s="93"/>
      <c r="G271" s="93"/>
      <c r="H271" s="93"/>
      <c r="I271" s="128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</row>
    <row r="272" spans="1:43" ht="12.75" customHeight="1">
      <c r="A272" s="93"/>
      <c r="B272" s="93"/>
      <c r="C272" s="117"/>
      <c r="D272" s="93"/>
      <c r="E272" s="93"/>
      <c r="F272" s="93"/>
      <c r="G272" s="93"/>
      <c r="H272" s="93"/>
      <c r="I272" s="128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</row>
    <row r="273" spans="1:43" ht="12.75" customHeight="1">
      <c r="A273" s="93"/>
      <c r="B273" s="93"/>
      <c r="C273" s="117"/>
      <c r="D273" s="93"/>
      <c r="E273" s="93"/>
      <c r="F273" s="93"/>
      <c r="G273" s="93"/>
      <c r="H273" s="93"/>
      <c r="I273" s="128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</row>
    <row r="274" spans="1:43" ht="12.75" customHeight="1">
      <c r="A274" s="93"/>
      <c r="B274" s="93"/>
      <c r="C274" s="117"/>
      <c r="D274" s="93"/>
      <c r="E274" s="93"/>
      <c r="F274" s="93"/>
      <c r="G274" s="93"/>
      <c r="H274" s="93"/>
      <c r="I274" s="128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</row>
    <row r="275" spans="1:43" ht="12.75" customHeight="1">
      <c r="A275" s="93"/>
      <c r="B275" s="93"/>
      <c r="C275" s="117"/>
      <c r="D275" s="93"/>
      <c r="E275" s="93"/>
      <c r="F275" s="93"/>
      <c r="G275" s="93"/>
      <c r="H275" s="93"/>
      <c r="I275" s="128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</row>
    <row r="276" spans="1:43" ht="12.75" customHeight="1">
      <c r="A276" s="93"/>
      <c r="B276" s="93"/>
      <c r="C276" s="117"/>
      <c r="D276" s="93"/>
      <c r="E276" s="93"/>
      <c r="F276" s="93"/>
      <c r="G276" s="93"/>
      <c r="H276" s="93"/>
      <c r="I276" s="128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</row>
    <row r="277" spans="1:43" ht="12.75" customHeight="1">
      <c r="A277" s="93"/>
      <c r="B277" s="93"/>
      <c r="C277" s="117"/>
      <c r="D277" s="93"/>
      <c r="E277" s="93"/>
      <c r="F277" s="93"/>
      <c r="G277" s="93"/>
      <c r="H277" s="93"/>
      <c r="I277" s="128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</row>
    <row r="278" spans="1:43" ht="12.75" customHeight="1">
      <c r="A278" s="93"/>
      <c r="B278" s="93"/>
      <c r="C278" s="117"/>
      <c r="D278" s="93"/>
      <c r="E278" s="93"/>
      <c r="F278" s="93"/>
      <c r="G278" s="93"/>
      <c r="H278" s="93"/>
      <c r="I278" s="128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</row>
    <row r="279" spans="1:43" ht="12.75" customHeight="1">
      <c r="A279" s="93"/>
      <c r="B279" s="93"/>
      <c r="C279" s="117"/>
      <c r="D279" s="93"/>
      <c r="E279" s="93"/>
      <c r="F279" s="93"/>
      <c r="G279" s="93"/>
      <c r="H279" s="93"/>
      <c r="I279" s="128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</row>
    <row r="280" spans="1:43" ht="12.75" customHeight="1">
      <c r="A280" s="93"/>
      <c r="B280" s="93"/>
      <c r="C280" s="117"/>
      <c r="D280" s="93"/>
      <c r="E280" s="93"/>
      <c r="F280" s="93"/>
      <c r="G280" s="93"/>
      <c r="H280" s="93"/>
      <c r="I280" s="128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</row>
    <row r="281" spans="1:43" ht="12.75" customHeight="1">
      <c r="A281" s="93"/>
      <c r="B281" s="93"/>
      <c r="C281" s="117"/>
      <c r="D281" s="93"/>
      <c r="E281" s="93"/>
      <c r="F281" s="93"/>
      <c r="G281" s="93"/>
      <c r="H281" s="93"/>
      <c r="I281" s="128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</row>
    <row r="282" spans="1:43" ht="12.75" customHeight="1">
      <c r="A282" s="93"/>
      <c r="B282" s="93"/>
      <c r="C282" s="117"/>
      <c r="D282" s="93"/>
      <c r="E282" s="93"/>
      <c r="F282" s="93"/>
      <c r="G282" s="93"/>
      <c r="H282" s="93"/>
      <c r="I282" s="128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</row>
    <row r="283" spans="1:43" ht="12.75" customHeight="1">
      <c r="A283" s="93"/>
      <c r="B283" s="93"/>
      <c r="C283" s="117"/>
      <c r="D283" s="93"/>
      <c r="E283" s="93"/>
      <c r="F283" s="93"/>
      <c r="G283" s="93"/>
      <c r="H283" s="93"/>
      <c r="I283" s="128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</row>
    <row r="284" spans="1:43" ht="12.75" customHeight="1">
      <c r="A284" s="93"/>
      <c r="B284" s="93"/>
      <c r="C284" s="117"/>
      <c r="D284" s="93"/>
      <c r="E284" s="93"/>
      <c r="F284" s="93"/>
      <c r="G284" s="93"/>
      <c r="H284" s="93"/>
      <c r="I284" s="128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</row>
    <row r="285" spans="1:43" ht="12.75" customHeight="1">
      <c r="A285" s="93"/>
      <c r="B285" s="93"/>
      <c r="C285" s="117"/>
      <c r="D285" s="93"/>
      <c r="E285" s="93"/>
      <c r="F285" s="93"/>
      <c r="G285" s="93"/>
      <c r="H285" s="93"/>
      <c r="I285" s="128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</row>
    <row r="286" spans="1:43" ht="12.75" customHeight="1">
      <c r="A286" s="93"/>
      <c r="B286" s="93"/>
      <c r="C286" s="117"/>
      <c r="D286" s="93"/>
      <c r="E286" s="93"/>
      <c r="F286" s="93"/>
      <c r="G286" s="93"/>
      <c r="H286" s="93"/>
      <c r="I286" s="128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</row>
    <row r="287" spans="1:43" ht="12.75" customHeight="1">
      <c r="A287" s="93"/>
      <c r="B287" s="93"/>
      <c r="C287" s="117"/>
      <c r="D287" s="93"/>
      <c r="E287" s="93"/>
      <c r="F287" s="93"/>
      <c r="G287" s="93"/>
      <c r="H287" s="93"/>
      <c r="I287" s="128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</row>
    <row r="288" spans="1:43" ht="12.75" customHeight="1">
      <c r="A288" s="93"/>
      <c r="B288" s="93"/>
      <c r="C288" s="117"/>
      <c r="D288" s="93"/>
      <c r="E288" s="93"/>
      <c r="F288" s="93"/>
      <c r="G288" s="93"/>
      <c r="H288" s="93"/>
      <c r="I288" s="128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</row>
    <row r="289" spans="1:43" ht="12.75" customHeight="1">
      <c r="A289" s="93"/>
      <c r="B289" s="93"/>
      <c r="C289" s="117"/>
      <c r="D289" s="93"/>
      <c r="E289" s="93"/>
      <c r="F289" s="93"/>
      <c r="G289" s="93"/>
      <c r="H289" s="93"/>
      <c r="I289" s="128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</row>
    <row r="290" spans="1:43" ht="12.75" customHeight="1">
      <c r="A290" s="93"/>
      <c r="B290" s="93"/>
      <c r="C290" s="117"/>
      <c r="D290" s="93"/>
      <c r="E290" s="93"/>
      <c r="F290" s="93"/>
      <c r="G290" s="93"/>
      <c r="H290" s="93"/>
      <c r="I290" s="128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</row>
    <row r="291" spans="1:43" ht="12.75" customHeight="1">
      <c r="A291" s="93"/>
      <c r="B291" s="93"/>
      <c r="C291" s="117"/>
      <c r="D291" s="93"/>
      <c r="E291" s="93"/>
      <c r="F291" s="93"/>
      <c r="G291" s="93"/>
      <c r="H291" s="93"/>
      <c r="I291" s="128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</row>
    <row r="292" spans="1:43" ht="12.75" customHeight="1">
      <c r="A292" s="93"/>
      <c r="B292" s="93"/>
      <c r="C292" s="117"/>
      <c r="D292" s="93"/>
      <c r="E292" s="93"/>
      <c r="F292" s="93"/>
      <c r="G292" s="93"/>
      <c r="H292" s="93"/>
      <c r="I292" s="128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</row>
    <row r="293" spans="1:43" ht="12.75" customHeight="1">
      <c r="A293" s="93"/>
      <c r="B293" s="93"/>
      <c r="C293" s="117"/>
      <c r="D293" s="93"/>
      <c r="E293" s="93"/>
      <c r="F293" s="93"/>
      <c r="G293" s="93"/>
      <c r="H293" s="93"/>
      <c r="I293" s="128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</row>
    <row r="294" spans="1:43" ht="12.75" customHeight="1">
      <c r="A294" s="93"/>
      <c r="B294" s="93"/>
      <c r="C294" s="117"/>
      <c r="D294" s="93"/>
      <c r="E294" s="93"/>
      <c r="F294" s="93"/>
      <c r="G294" s="93"/>
      <c r="H294" s="93"/>
      <c r="I294" s="128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</row>
    <row r="295" spans="1:43" ht="12.75" customHeight="1">
      <c r="A295" s="93"/>
      <c r="B295" s="93"/>
      <c r="C295" s="117"/>
      <c r="D295" s="93"/>
      <c r="E295" s="93"/>
      <c r="F295" s="93"/>
      <c r="G295" s="93"/>
      <c r="H295" s="93"/>
      <c r="I295" s="128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</row>
    <row r="296" spans="1:43" ht="12.75" customHeight="1">
      <c r="A296" s="93"/>
      <c r="B296" s="93"/>
      <c r="C296" s="117"/>
      <c r="D296" s="93"/>
      <c r="E296" s="93"/>
      <c r="F296" s="93"/>
      <c r="G296" s="93"/>
      <c r="H296" s="93"/>
      <c r="I296" s="128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</row>
    <row r="297" spans="1:43" ht="12.75" customHeight="1">
      <c r="A297" s="93"/>
      <c r="B297" s="93"/>
      <c r="C297" s="117"/>
      <c r="D297" s="93"/>
      <c r="E297" s="93"/>
      <c r="F297" s="93"/>
      <c r="G297" s="93"/>
      <c r="H297" s="93"/>
      <c r="I297" s="128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</row>
    <row r="298" spans="1:43" ht="12.75" customHeight="1">
      <c r="A298" s="93"/>
      <c r="B298" s="93"/>
      <c r="C298" s="117"/>
      <c r="D298" s="93"/>
      <c r="E298" s="93"/>
      <c r="F298" s="93"/>
      <c r="G298" s="93"/>
      <c r="H298" s="93"/>
      <c r="I298" s="128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</row>
    <row r="299" spans="1:43" ht="12.75" customHeight="1">
      <c r="A299" s="93"/>
      <c r="B299" s="93"/>
      <c r="C299" s="117"/>
      <c r="D299" s="93"/>
      <c r="E299" s="93"/>
      <c r="F299" s="93"/>
      <c r="G299" s="93"/>
      <c r="H299" s="93"/>
      <c r="I299" s="128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</row>
    <row r="300" spans="1:43" ht="12.75" customHeight="1">
      <c r="A300" s="93"/>
      <c r="B300" s="93"/>
      <c r="C300" s="117"/>
      <c r="D300" s="93"/>
      <c r="E300" s="93"/>
      <c r="F300" s="93"/>
      <c r="G300" s="93"/>
      <c r="H300" s="93"/>
      <c r="I300" s="128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</row>
    <row r="301" spans="1:43" ht="12.75" customHeight="1">
      <c r="A301" s="93"/>
      <c r="B301" s="93"/>
      <c r="C301" s="117"/>
      <c r="D301" s="93"/>
      <c r="E301" s="93"/>
      <c r="F301" s="93"/>
      <c r="G301" s="93"/>
      <c r="H301" s="93"/>
      <c r="I301" s="128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</row>
    <row r="302" spans="1:43" ht="12.75" customHeight="1">
      <c r="A302" s="93"/>
      <c r="B302" s="93"/>
      <c r="C302" s="117"/>
      <c r="D302" s="93"/>
      <c r="E302" s="93"/>
      <c r="F302" s="93"/>
      <c r="G302" s="93"/>
      <c r="H302" s="93"/>
      <c r="I302" s="128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</row>
    <row r="303" spans="1:43" ht="12.75" customHeight="1">
      <c r="A303" s="93"/>
      <c r="B303" s="93"/>
      <c r="C303" s="117"/>
      <c r="D303" s="93"/>
      <c r="E303" s="93"/>
      <c r="F303" s="93"/>
      <c r="G303" s="93"/>
      <c r="H303" s="93"/>
      <c r="I303" s="128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</row>
    <row r="304" spans="1:43" ht="12.75" customHeight="1">
      <c r="A304" s="93"/>
      <c r="B304" s="93"/>
      <c r="C304" s="117"/>
      <c r="D304" s="93"/>
      <c r="E304" s="93"/>
      <c r="F304" s="93"/>
      <c r="G304" s="93"/>
      <c r="H304" s="93"/>
      <c r="I304" s="128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</row>
    <row r="305" spans="1:43" ht="12.75" customHeight="1">
      <c r="A305" s="93"/>
      <c r="B305" s="93"/>
      <c r="C305" s="117"/>
      <c r="D305" s="93"/>
      <c r="E305" s="93"/>
      <c r="F305" s="93"/>
      <c r="G305" s="93"/>
      <c r="H305" s="93"/>
      <c r="I305" s="128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</row>
    <row r="306" spans="1:43" ht="12.75" customHeight="1">
      <c r="A306" s="93"/>
      <c r="B306" s="93"/>
      <c r="C306" s="117"/>
      <c r="D306" s="93"/>
      <c r="E306" s="93"/>
      <c r="F306" s="93"/>
      <c r="G306" s="93"/>
      <c r="H306" s="93"/>
      <c r="I306" s="128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</row>
    <row r="307" spans="1:43" ht="12.75" customHeight="1">
      <c r="A307" s="93"/>
      <c r="B307" s="93"/>
      <c r="C307" s="117"/>
      <c r="D307" s="93"/>
      <c r="E307" s="93"/>
      <c r="F307" s="93"/>
      <c r="G307" s="93"/>
      <c r="H307" s="93"/>
      <c r="I307" s="128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</row>
    <row r="308" spans="1:43" ht="12.75" customHeight="1">
      <c r="A308" s="93"/>
      <c r="B308" s="93"/>
      <c r="C308" s="117"/>
      <c r="D308" s="93"/>
      <c r="E308" s="93"/>
      <c r="F308" s="93"/>
      <c r="G308" s="93"/>
      <c r="H308" s="93"/>
      <c r="I308" s="128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</row>
    <row r="309" spans="1:43" ht="12.75" customHeight="1">
      <c r="A309" s="93"/>
      <c r="B309" s="93"/>
      <c r="C309" s="117"/>
      <c r="D309" s="93"/>
      <c r="E309" s="93"/>
      <c r="F309" s="93"/>
      <c r="G309" s="93"/>
      <c r="H309" s="93"/>
      <c r="I309" s="128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</row>
    <row r="310" spans="1:43" ht="12.75" customHeight="1">
      <c r="A310" s="93"/>
      <c r="B310" s="93"/>
      <c r="C310" s="117"/>
      <c r="D310" s="93"/>
      <c r="E310" s="93"/>
      <c r="F310" s="93"/>
      <c r="G310" s="93"/>
      <c r="H310" s="93"/>
      <c r="I310" s="128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</row>
    <row r="311" spans="1:43" ht="12.75" customHeight="1">
      <c r="A311" s="93"/>
      <c r="B311" s="93"/>
      <c r="C311" s="117"/>
      <c r="D311" s="93"/>
      <c r="E311" s="93"/>
      <c r="F311" s="93"/>
      <c r="G311" s="93"/>
      <c r="H311" s="93"/>
      <c r="I311" s="128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</row>
    <row r="312" spans="1:43" ht="12.75" customHeight="1">
      <c r="A312" s="93"/>
      <c r="B312" s="93"/>
      <c r="C312" s="117"/>
      <c r="D312" s="93"/>
      <c r="E312" s="93"/>
      <c r="F312" s="93"/>
      <c r="G312" s="93"/>
      <c r="H312" s="93"/>
      <c r="I312" s="128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</row>
    <row r="313" spans="1:43" ht="12.75" customHeight="1">
      <c r="A313" s="93"/>
      <c r="B313" s="93"/>
      <c r="C313" s="117"/>
      <c r="D313" s="93"/>
      <c r="E313" s="93"/>
      <c r="F313" s="93"/>
      <c r="G313" s="93"/>
      <c r="H313" s="93"/>
      <c r="I313" s="128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</row>
    <row r="314" spans="1:43" ht="12.75" customHeight="1">
      <c r="A314" s="93"/>
      <c r="B314" s="93"/>
      <c r="C314" s="117"/>
      <c r="D314" s="93"/>
      <c r="E314" s="93"/>
      <c r="F314" s="93"/>
      <c r="G314" s="93"/>
      <c r="H314" s="93"/>
      <c r="I314" s="128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</row>
    <row r="315" spans="1:43" ht="12.75" customHeight="1">
      <c r="A315" s="93"/>
      <c r="B315" s="93"/>
      <c r="C315" s="117"/>
      <c r="D315" s="93"/>
      <c r="E315" s="93"/>
      <c r="F315" s="93"/>
      <c r="G315" s="93"/>
      <c r="H315" s="93"/>
      <c r="I315" s="128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</row>
    <row r="316" spans="1:43" ht="12.75" customHeight="1">
      <c r="A316" s="93"/>
      <c r="B316" s="93"/>
      <c r="C316" s="117"/>
      <c r="D316" s="93"/>
      <c r="E316" s="93"/>
      <c r="F316" s="93"/>
      <c r="G316" s="93"/>
      <c r="H316" s="93"/>
      <c r="I316" s="128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</row>
    <row r="317" spans="1:43" ht="12.75" customHeight="1">
      <c r="A317" s="93"/>
      <c r="B317" s="93"/>
      <c r="C317" s="117"/>
      <c r="D317" s="93"/>
      <c r="E317" s="93"/>
      <c r="F317" s="93"/>
      <c r="G317" s="93"/>
      <c r="H317" s="93"/>
      <c r="I317" s="128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</row>
    <row r="318" spans="1:43" ht="12.75" customHeight="1">
      <c r="A318" s="93"/>
      <c r="B318" s="93"/>
      <c r="C318" s="117"/>
      <c r="D318" s="93"/>
      <c r="E318" s="93"/>
      <c r="F318" s="93"/>
      <c r="G318" s="93"/>
      <c r="H318" s="93"/>
      <c r="I318" s="128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</row>
    <row r="319" spans="1:43" ht="12.75" customHeight="1">
      <c r="A319" s="93"/>
      <c r="B319" s="93"/>
      <c r="C319" s="117"/>
      <c r="D319" s="93"/>
      <c r="E319" s="93"/>
      <c r="F319" s="93"/>
      <c r="G319" s="93"/>
      <c r="H319" s="93"/>
      <c r="I319" s="128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</row>
    <row r="320" spans="1:43" ht="12.75" customHeight="1">
      <c r="A320" s="93"/>
      <c r="B320" s="93"/>
      <c r="C320" s="117"/>
      <c r="D320" s="93"/>
      <c r="E320" s="93"/>
      <c r="F320" s="93"/>
      <c r="G320" s="93"/>
      <c r="H320" s="93"/>
      <c r="I320" s="128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</row>
    <row r="321" spans="1:43" ht="12.75" customHeight="1">
      <c r="A321" s="93"/>
      <c r="B321" s="93"/>
      <c r="C321" s="117"/>
      <c r="D321" s="93"/>
      <c r="E321" s="93"/>
      <c r="F321" s="93"/>
      <c r="G321" s="93"/>
      <c r="H321" s="93"/>
      <c r="I321" s="128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</row>
    <row r="322" spans="1:43" ht="12.75" customHeight="1">
      <c r="A322" s="93"/>
      <c r="B322" s="93"/>
      <c r="C322" s="117"/>
      <c r="D322" s="93"/>
      <c r="E322" s="93"/>
      <c r="F322" s="93"/>
      <c r="G322" s="93"/>
      <c r="H322" s="93"/>
      <c r="I322" s="128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</row>
    <row r="323" spans="1:43" ht="12.75" customHeight="1">
      <c r="A323" s="93"/>
      <c r="B323" s="93"/>
      <c r="C323" s="117"/>
      <c r="D323" s="93"/>
      <c r="E323" s="93"/>
      <c r="F323" s="93"/>
      <c r="G323" s="93"/>
      <c r="H323" s="93"/>
      <c r="I323" s="128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</row>
    <row r="324" spans="1:43" ht="12.75" customHeight="1">
      <c r="A324" s="93"/>
      <c r="B324" s="93"/>
      <c r="C324" s="117"/>
      <c r="D324" s="93"/>
      <c r="E324" s="93"/>
      <c r="F324" s="93"/>
      <c r="G324" s="93"/>
      <c r="H324" s="93"/>
      <c r="I324" s="128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</row>
    <row r="325" spans="1:43" ht="12.75" customHeight="1">
      <c r="A325" s="93"/>
      <c r="B325" s="93"/>
      <c r="C325" s="117"/>
      <c r="D325" s="93"/>
      <c r="E325" s="93"/>
      <c r="F325" s="93"/>
      <c r="G325" s="93"/>
      <c r="H325" s="93"/>
      <c r="I325" s="128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</row>
    <row r="326" spans="1:43" ht="12.75" customHeight="1">
      <c r="A326" s="93"/>
      <c r="B326" s="93"/>
      <c r="C326" s="117"/>
      <c r="D326" s="93"/>
      <c r="E326" s="93"/>
      <c r="F326" s="93"/>
      <c r="G326" s="93"/>
      <c r="H326" s="93"/>
      <c r="I326" s="128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</row>
    <row r="327" spans="1:43" ht="12.75" customHeight="1">
      <c r="A327" s="93"/>
      <c r="B327" s="93"/>
      <c r="C327" s="117"/>
      <c r="D327" s="93"/>
      <c r="E327" s="93"/>
      <c r="F327" s="93"/>
      <c r="G327" s="93"/>
      <c r="H327" s="93"/>
      <c r="I327" s="128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</row>
    <row r="328" spans="1:43" ht="12.75" customHeight="1">
      <c r="A328" s="93"/>
      <c r="B328" s="93"/>
      <c r="C328" s="117"/>
      <c r="D328" s="93"/>
      <c r="E328" s="93"/>
      <c r="F328" s="93"/>
      <c r="G328" s="93"/>
      <c r="H328" s="93"/>
      <c r="I328" s="128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</row>
    <row r="329" spans="1:43" ht="12.75" customHeight="1">
      <c r="A329" s="93"/>
      <c r="B329" s="93"/>
      <c r="C329" s="117"/>
      <c r="D329" s="93"/>
      <c r="E329" s="93"/>
      <c r="F329" s="93"/>
      <c r="G329" s="93"/>
      <c r="H329" s="93"/>
      <c r="I329" s="128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</row>
    <row r="330" spans="1:43" ht="12.75" customHeight="1">
      <c r="A330" s="93"/>
      <c r="B330" s="93"/>
      <c r="C330" s="117"/>
      <c r="D330" s="93"/>
      <c r="E330" s="93"/>
      <c r="F330" s="93"/>
      <c r="G330" s="93"/>
      <c r="H330" s="93"/>
      <c r="I330" s="128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</row>
    <row r="331" spans="1:43" ht="12.75" customHeight="1">
      <c r="A331" s="93"/>
      <c r="B331" s="93"/>
      <c r="C331" s="117"/>
      <c r="D331" s="93"/>
      <c r="E331" s="93"/>
      <c r="F331" s="93"/>
      <c r="G331" s="93"/>
      <c r="H331" s="93"/>
      <c r="I331" s="128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</row>
    <row r="332" spans="1:43" ht="12.75" customHeight="1">
      <c r="A332" s="93"/>
      <c r="B332" s="93"/>
      <c r="C332" s="117"/>
      <c r="D332" s="93"/>
      <c r="E332" s="93"/>
      <c r="F332" s="93"/>
      <c r="G332" s="93"/>
      <c r="H332" s="93"/>
      <c r="I332" s="128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</row>
    <row r="333" spans="1:43" ht="12.75" customHeight="1">
      <c r="A333" s="93"/>
      <c r="B333" s="93"/>
      <c r="C333" s="117"/>
      <c r="D333" s="93"/>
      <c r="E333" s="93"/>
      <c r="F333" s="93"/>
      <c r="G333" s="93"/>
      <c r="H333" s="93"/>
      <c r="I333" s="128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</row>
    <row r="334" spans="1:43" ht="12.75" customHeight="1">
      <c r="A334" s="93"/>
      <c r="B334" s="93"/>
      <c r="C334" s="117"/>
      <c r="D334" s="93"/>
      <c r="E334" s="93"/>
      <c r="F334" s="93"/>
      <c r="G334" s="93"/>
      <c r="H334" s="93"/>
      <c r="I334" s="128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</row>
    <row r="335" spans="1:43" ht="12.75" customHeight="1">
      <c r="A335" s="93"/>
      <c r="B335" s="93"/>
      <c r="C335" s="117"/>
      <c r="D335" s="93"/>
      <c r="E335" s="93"/>
      <c r="F335" s="93"/>
      <c r="G335" s="93"/>
      <c r="H335" s="93"/>
      <c r="I335" s="128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</row>
    <row r="336" spans="1:43" ht="12.75" customHeight="1">
      <c r="A336" s="93"/>
      <c r="B336" s="93"/>
      <c r="C336" s="117"/>
      <c r="D336" s="93"/>
      <c r="E336" s="93"/>
      <c r="F336" s="93"/>
      <c r="G336" s="93"/>
      <c r="H336" s="93"/>
      <c r="I336" s="128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</row>
    <row r="337" spans="1:43" ht="12.75" customHeight="1">
      <c r="A337" s="93"/>
      <c r="B337" s="93"/>
      <c r="C337" s="117"/>
      <c r="D337" s="93"/>
      <c r="E337" s="93"/>
      <c r="F337" s="93"/>
      <c r="G337" s="93"/>
      <c r="H337" s="93"/>
      <c r="I337" s="128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</row>
    <row r="338" spans="1:43" ht="12.75" customHeight="1">
      <c r="A338" s="93"/>
      <c r="B338" s="93"/>
      <c r="C338" s="117"/>
      <c r="D338" s="93"/>
      <c r="E338" s="93"/>
      <c r="F338" s="93"/>
      <c r="G338" s="93"/>
      <c r="H338" s="93"/>
      <c r="I338" s="128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</row>
    <row r="339" spans="1:43" ht="12.75" customHeight="1">
      <c r="A339" s="93"/>
      <c r="B339" s="93"/>
      <c r="C339" s="117"/>
      <c r="D339" s="93"/>
      <c r="E339" s="93"/>
      <c r="F339" s="93"/>
      <c r="G339" s="93"/>
      <c r="H339" s="93"/>
      <c r="I339" s="128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</row>
    <row r="340" spans="1:43" ht="12.75" customHeight="1">
      <c r="A340" s="93"/>
      <c r="B340" s="93"/>
      <c r="C340" s="117"/>
      <c r="D340" s="93"/>
      <c r="E340" s="93"/>
      <c r="F340" s="93"/>
      <c r="G340" s="93"/>
      <c r="H340" s="93"/>
      <c r="I340" s="128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</row>
    <row r="341" spans="1:43" ht="12.75" customHeight="1">
      <c r="A341" s="93"/>
      <c r="B341" s="93"/>
      <c r="C341" s="117"/>
      <c r="D341" s="93"/>
      <c r="E341" s="93"/>
      <c r="F341" s="93"/>
      <c r="G341" s="93"/>
      <c r="H341" s="93"/>
      <c r="I341" s="128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</row>
    <row r="342" spans="1:43" ht="12.75" customHeight="1">
      <c r="A342" s="93"/>
      <c r="B342" s="93"/>
      <c r="C342" s="117"/>
      <c r="D342" s="93"/>
      <c r="E342" s="93"/>
      <c r="F342" s="93"/>
      <c r="G342" s="93"/>
      <c r="H342" s="93"/>
      <c r="I342" s="128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</row>
    <row r="343" spans="1:43" ht="12.75" customHeight="1">
      <c r="A343" s="93"/>
      <c r="B343" s="93"/>
      <c r="C343" s="117"/>
      <c r="D343" s="93"/>
      <c r="E343" s="93"/>
      <c r="F343" s="93"/>
      <c r="G343" s="93"/>
      <c r="H343" s="93"/>
      <c r="I343" s="128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</row>
    <row r="344" spans="1:43" ht="12.75" customHeight="1">
      <c r="A344" s="93"/>
      <c r="B344" s="93"/>
      <c r="C344" s="117"/>
      <c r="D344" s="93"/>
      <c r="E344" s="93"/>
      <c r="F344" s="93"/>
      <c r="G344" s="93"/>
      <c r="H344" s="93"/>
      <c r="I344" s="128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</row>
    <row r="345" spans="1:43" ht="12.75" customHeight="1">
      <c r="A345" s="93"/>
      <c r="B345" s="93"/>
      <c r="C345" s="117"/>
      <c r="D345" s="93"/>
      <c r="E345" s="93"/>
      <c r="F345" s="93"/>
      <c r="G345" s="93"/>
      <c r="H345" s="93"/>
      <c r="I345" s="128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</row>
    <row r="346" spans="1:43" ht="12.75" customHeight="1">
      <c r="A346" s="93"/>
      <c r="B346" s="93"/>
      <c r="C346" s="117"/>
      <c r="D346" s="93"/>
      <c r="E346" s="93"/>
      <c r="F346" s="93"/>
      <c r="G346" s="93"/>
      <c r="H346" s="93"/>
      <c r="I346" s="128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</row>
    <row r="347" spans="1:43" ht="12.75" customHeight="1">
      <c r="A347" s="93"/>
      <c r="B347" s="93"/>
      <c r="C347" s="117"/>
      <c r="D347" s="93"/>
      <c r="E347" s="93"/>
      <c r="F347" s="93"/>
      <c r="G347" s="93"/>
      <c r="H347" s="93"/>
      <c r="I347" s="128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</row>
    <row r="348" spans="1:43" ht="12.75" customHeight="1">
      <c r="A348" s="93"/>
      <c r="B348" s="93"/>
      <c r="C348" s="117"/>
      <c r="D348" s="93"/>
      <c r="E348" s="93"/>
      <c r="F348" s="93"/>
      <c r="G348" s="93"/>
      <c r="H348" s="93"/>
      <c r="I348" s="128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</row>
    <row r="349" spans="1:43" ht="12.75" customHeight="1">
      <c r="A349" s="93"/>
      <c r="B349" s="93"/>
      <c r="C349" s="117"/>
      <c r="D349" s="93"/>
      <c r="E349" s="93"/>
      <c r="F349" s="93"/>
      <c r="G349" s="93"/>
      <c r="H349" s="93"/>
      <c r="I349" s="128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</row>
    <row r="350" spans="1:43" ht="12.75" customHeight="1">
      <c r="A350" s="93"/>
      <c r="B350" s="93"/>
      <c r="C350" s="117"/>
      <c r="D350" s="93"/>
      <c r="E350" s="93"/>
      <c r="F350" s="93"/>
      <c r="G350" s="93"/>
      <c r="H350" s="93"/>
      <c r="I350" s="128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</row>
    <row r="351" spans="1:43" ht="12.75" customHeight="1">
      <c r="A351" s="93"/>
      <c r="B351" s="93"/>
      <c r="C351" s="117"/>
      <c r="D351" s="93"/>
      <c r="E351" s="93"/>
      <c r="F351" s="93"/>
      <c r="G351" s="93"/>
      <c r="H351" s="93"/>
      <c r="I351" s="128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</row>
    <row r="352" spans="1:43" ht="12.75" customHeight="1">
      <c r="A352" s="93"/>
      <c r="B352" s="93"/>
      <c r="C352" s="117"/>
      <c r="D352" s="93"/>
      <c r="E352" s="93"/>
      <c r="F352" s="93"/>
      <c r="G352" s="93"/>
      <c r="H352" s="93"/>
      <c r="I352" s="128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</row>
    <row r="353" spans="1:43" ht="12.75" customHeight="1">
      <c r="A353" s="93"/>
      <c r="B353" s="93"/>
      <c r="C353" s="117"/>
      <c r="D353" s="93"/>
      <c r="E353" s="93"/>
      <c r="F353" s="93"/>
      <c r="G353" s="93"/>
      <c r="H353" s="93"/>
      <c r="I353" s="128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</row>
    <row r="354" spans="1:43" ht="12.75" customHeight="1">
      <c r="A354" s="93"/>
      <c r="B354" s="93"/>
      <c r="C354" s="117"/>
      <c r="D354" s="93"/>
      <c r="E354" s="93"/>
      <c r="F354" s="93"/>
      <c r="G354" s="93"/>
      <c r="H354" s="93"/>
      <c r="I354" s="128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</row>
    <row r="355" spans="1:43" ht="12.75" customHeight="1">
      <c r="A355" s="93"/>
      <c r="B355" s="93"/>
      <c r="C355" s="117"/>
      <c r="D355" s="93"/>
      <c r="E355" s="93"/>
      <c r="F355" s="93"/>
      <c r="G355" s="93"/>
      <c r="H355" s="93"/>
      <c r="I355" s="128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</row>
    <row r="356" spans="1:43" ht="12.75" customHeight="1">
      <c r="A356" s="93"/>
      <c r="B356" s="93"/>
      <c r="C356" s="117"/>
      <c r="D356" s="93"/>
      <c r="E356" s="93"/>
      <c r="F356" s="93"/>
      <c r="G356" s="93"/>
      <c r="H356" s="93"/>
      <c r="I356" s="128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</row>
    <row r="357" spans="1:43" ht="12.75" customHeight="1">
      <c r="A357" s="93"/>
      <c r="B357" s="93"/>
      <c r="C357" s="117"/>
      <c r="D357" s="93"/>
      <c r="E357" s="93"/>
      <c r="F357" s="93"/>
      <c r="G357" s="93"/>
      <c r="H357" s="93"/>
      <c r="I357" s="128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</row>
    <row r="358" spans="1:43" ht="12.75" customHeight="1">
      <c r="A358" s="93"/>
      <c r="B358" s="93"/>
      <c r="C358" s="117"/>
      <c r="D358" s="93"/>
      <c r="E358" s="93"/>
      <c r="F358" s="93"/>
      <c r="G358" s="93"/>
      <c r="H358" s="93"/>
      <c r="I358" s="128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</row>
    <row r="359" spans="1:43" ht="12.75" customHeight="1">
      <c r="A359" s="93"/>
      <c r="B359" s="93"/>
      <c r="C359" s="117"/>
      <c r="D359" s="93"/>
      <c r="E359" s="93"/>
      <c r="F359" s="93"/>
      <c r="G359" s="93"/>
      <c r="H359" s="93"/>
      <c r="I359" s="128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</row>
    <row r="360" spans="1:43" ht="12.75" customHeight="1">
      <c r="A360" s="93"/>
      <c r="B360" s="93"/>
      <c r="C360" s="117"/>
      <c r="D360" s="93"/>
      <c r="E360" s="93"/>
      <c r="F360" s="93"/>
      <c r="G360" s="93"/>
      <c r="H360" s="93"/>
      <c r="I360" s="128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</row>
    <row r="361" spans="1:43" ht="12.75" customHeight="1">
      <c r="A361" s="93"/>
      <c r="B361" s="93"/>
      <c r="C361" s="117"/>
      <c r="D361" s="93"/>
      <c r="E361" s="93"/>
      <c r="F361" s="93"/>
      <c r="G361" s="93"/>
      <c r="H361" s="93"/>
      <c r="I361" s="128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</row>
    <row r="362" spans="1:43" ht="12.75" customHeight="1">
      <c r="A362" s="93"/>
      <c r="B362" s="93"/>
      <c r="C362" s="117"/>
      <c r="D362" s="93"/>
      <c r="E362" s="93"/>
      <c r="F362" s="93"/>
      <c r="G362" s="93"/>
      <c r="H362" s="93"/>
      <c r="I362" s="128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</row>
    <row r="363" spans="1:43" ht="12.75" customHeight="1">
      <c r="A363" s="93"/>
      <c r="B363" s="93"/>
      <c r="C363" s="117"/>
      <c r="D363" s="93"/>
      <c r="E363" s="93"/>
      <c r="F363" s="93"/>
      <c r="G363" s="93"/>
      <c r="H363" s="93"/>
      <c r="I363" s="128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  <c r="AK363" s="93"/>
      <c r="AL363" s="93"/>
      <c r="AM363" s="93"/>
      <c r="AN363" s="93"/>
      <c r="AO363" s="93"/>
      <c r="AP363" s="93"/>
      <c r="AQ363" s="93"/>
    </row>
    <row r="364" spans="1:43" ht="12.75" customHeight="1">
      <c r="A364" s="93"/>
      <c r="B364" s="93"/>
      <c r="C364" s="117"/>
      <c r="D364" s="93"/>
      <c r="E364" s="93"/>
      <c r="F364" s="93"/>
      <c r="G364" s="93"/>
      <c r="H364" s="93"/>
      <c r="I364" s="128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  <c r="AK364" s="93"/>
      <c r="AL364" s="93"/>
      <c r="AM364" s="93"/>
      <c r="AN364" s="93"/>
      <c r="AO364" s="93"/>
      <c r="AP364" s="93"/>
      <c r="AQ364" s="93"/>
    </row>
    <row r="365" spans="1:43" ht="12.75" customHeight="1">
      <c r="A365" s="93"/>
      <c r="B365" s="93"/>
      <c r="C365" s="117"/>
      <c r="D365" s="93"/>
      <c r="E365" s="93"/>
      <c r="F365" s="93"/>
      <c r="G365" s="93"/>
      <c r="H365" s="93"/>
      <c r="I365" s="128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  <c r="AK365" s="93"/>
      <c r="AL365" s="93"/>
      <c r="AM365" s="93"/>
      <c r="AN365" s="93"/>
      <c r="AO365" s="93"/>
      <c r="AP365" s="93"/>
      <c r="AQ365" s="93"/>
    </row>
    <row r="366" spans="1:43" ht="12.75" customHeight="1">
      <c r="A366" s="93"/>
      <c r="B366" s="93"/>
      <c r="C366" s="117"/>
      <c r="D366" s="93"/>
      <c r="E366" s="93"/>
      <c r="F366" s="93"/>
      <c r="G366" s="93"/>
      <c r="H366" s="93"/>
      <c r="I366" s="128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  <c r="AK366" s="93"/>
      <c r="AL366" s="93"/>
      <c r="AM366" s="93"/>
      <c r="AN366" s="93"/>
      <c r="AO366" s="93"/>
      <c r="AP366" s="93"/>
      <c r="AQ366" s="93"/>
    </row>
    <row r="367" spans="1:43" ht="12.75" customHeight="1">
      <c r="A367" s="93"/>
      <c r="B367" s="93"/>
      <c r="C367" s="117"/>
      <c r="D367" s="93"/>
      <c r="E367" s="93"/>
      <c r="F367" s="93"/>
      <c r="G367" s="93"/>
      <c r="H367" s="93"/>
      <c r="I367" s="128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</row>
    <row r="368" spans="1:43" ht="12.75" customHeight="1">
      <c r="A368" s="93"/>
      <c r="B368" s="93"/>
      <c r="C368" s="117"/>
      <c r="D368" s="93"/>
      <c r="E368" s="93"/>
      <c r="F368" s="93"/>
      <c r="G368" s="93"/>
      <c r="H368" s="93"/>
      <c r="I368" s="128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  <c r="AK368" s="93"/>
      <c r="AL368" s="93"/>
      <c r="AM368" s="93"/>
      <c r="AN368" s="93"/>
      <c r="AO368" s="93"/>
      <c r="AP368" s="93"/>
      <c r="AQ368" s="93"/>
    </row>
    <row r="369" spans="1:43" ht="12.75" customHeight="1">
      <c r="A369" s="93"/>
      <c r="B369" s="93"/>
      <c r="C369" s="117"/>
      <c r="D369" s="93"/>
      <c r="E369" s="93"/>
      <c r="F369" s="93"/>
      <c r="G369" s="93"/>
      <c r="H369" s="93"/>
      <c r="I369" s="128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  <c r="AK369" s="93"/>
      <c r="AL369" s="93"/>
      <c r="AM369" s="93"/>
      <c r="AN369" s="93"/>
      <c r="AO369" s="93"/>
      <c r="AP369" s="93"/>
      <c r="AQ369" s="93"/>
    </row>
    <row r="370" spans="1:43" ht="12.75" customHeight="1">
      <c r="A370" s="93"/>
      <c r="B370" s="93"/>
      <c r="C370" s="117"/>
      <c r="D370" s="93"/>
      <c r="E370" s="93"/>
      <c r="F370" s="93"/>
      <c r="G370" s="93"/>
      <c r="H370" s="93"/>
      <c r="I370" s="128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  <c r="AK370" s="93"/>
      <c r="AL370" s="93"/>
      <c r="AM370" s="93"/>
      <c r="AN370" s="93"/>
      <c r="AO370" s="93"/>
      <c r="AP370" s="93"/>
      <c r="AQ370" s="93"/>
    </row>
    <row r="371" spans="1:43" ht="12.75" customHeight="1">
      <c r="A371" s="93"/>
      <c r="B371" s="93"/>
      <c r="C371" s="117"/>
      <c r="D371" s="93"/>
      <c r="E371" s="93"/>
      <c r="F371" s="93"/>
      <c r="G371" s="93"/>
      <c r="H371" s="93"/>
      <c r="I371" s="128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  <c r="AK371" s="93"/>
      <c r="AL371" s="93"/>
      <c r="AM371" s="93"/>
      <c r="AN371" s="93"/>
      <c r="AO371" s="93"/>
      <c r="AP371" s="93"/>
      <c r="AQ371" s="93"/>
    </row>
    <row r="372" spans="1:43" ht="12.75" customHeight="1">
      <c r="A372" s="93"/>
      <c r="B372" s="93"/>
      <c r="C372" s="117"/>
      <c r="D372" s="93"/>
      <c r="E372" s="93"/>
      <c r="F372" s="93"/>
      <c r="G372" s="93"/>
      <c r="H372" s="93"/>
      <c r="I372" s="128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  <c r="AK372" s="93"/>
      <c r="AL372" s="93"/>
      <c r="AM372" s="93"/>
      <c r="AN372" s="93"/>
      <c r="AO372" s="93"/>
      <c r="AP372" s="93"/>
      <c r="AQ372" s="93"/>
    </row>
    <row r="373" spans="1:43" ht="12.75" customHeight="1">
      <c r="A373" s="93"/>
      <c r="B373" s="93"/>
      <c r="C373" s="117"/>
      <c r="D373" s="93"/>
      <c r="E373" s="93"/>
      <c r="F373" s="93"/>
      <c r="G373" s="93"/>
      <c r="H373" s="93"/>
      <c r="I373" s="128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  <c r="AK373" s="93"/>
      <c r="AL373" s="93"/>
      <c r="AM373" s="93"/>
      <c r="AN373" s="93"/>
      <c r="AO373" s="93"/>
      <c r="AP373" s="93"/>
      <c r="AQ373" s="93"/>
    </row>
    <row r="374" spans="1:43" ht="12.75" customHeight="1">
      <c r="A374" s="93"/>
      <c r="B374" s="93"/>
      <c r="C374" s="117"/>
      <c r="D374" s="93"/>
      <c r="E374" s="93"/>
      <c r="F374" s="93"/>
      <c r="G374" s="93"/>
      <c r="H374" s="93"/>
      <c r="I374" s="128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  <c r="AK374" s="93"/>
      <c r="AL374" s="93"/>
      <c r="AM374" s="93"/>
      <c r="AN374" s="93"/>
      <c r="AO374" s="93"/>
      <c r="AP374" s="93"/>
      <c r="AQ374" s="93"/>
    </row>
    <row r="375" spans="1:43" ht="12.75" customHeight="1">
      <c r="A375" s="93"/>
      <c r="B375" s="93"/>
      <c r="C375" s="117"/>
      <c r="D375" s="93"/>
      <c r="E375" s="93"/>
      <c r="F375" s="93"/>
      <c r="G375" s="93"/>
      <c r="H375" s="93"/>
      <c r="I375" s="128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  <c r="AK375" s="93"/>
      <c r="AL375" s="93"/>
      <c r="AM375" s="93"/>
      <c r="AN375" s="93"/>
      <c r="AO375" s="93"/>
      <c r="AP375" s="93"/>
      <c r="AQ375" s="93"/>
    </row>
    <row r="376" spans="1:43" ht="12.75" customHeight="1">
      <c r="A376" s="93"/>
      <c r="B376" s="93"/>
      <c r="C376" s="117"/>
      <c r="D376" s="93"/>
      <c r="E376" s="93"/>
      <c r="F376" s="93"/>
      <c r="G376" s="93"/>
      <c r="H376" s="93"/>
      <c r="I376" s="128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  <c r="AK376" s="93"/>
      <c r="AL376" s="93"/>
      <c r="AM376" s="93"/>
      <c r="AN376" s="93"/>
      <c r="AO376" s="93"/>
      <c r="AP376" s="93"/>
      <c r="AQ376" s="93"/>
    </row>
    <row r="377" spans="1:43" ht="12.75" customHeight="1">
      <c r="A377" s="93"/>
      <c r="B377" s="93"/>
      <c r="C377" s="117"/>
      <c r="D377" s="93"/>
      <c r="E377" s="93"/>
      <c r="F377" s="93"/>
      <c r="G377" s="93"/>
      <c r="H377" s="93"/>
      <c r="I377" s="128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  <c r="AK377" s="93"/>
      <c r="AL377" s="93"/>
      <c r="AM377" s="93"/>
      <c r="AN377" s="93"/>
      <c r="AO377" s="93"/>
      <c r="AP377" s="93"/>
      <c r="AQ377" s="93"/>
    </row>
    <row r="378" spans="1:43" ht="12.75" customHeight="1">
      <c r="A378" s="93"/>
      <c r="B378" s="93"/>
      <c r="C378" s="117"/>
      <c r="D378" s="93"/>
      <c r="E378" s="93"/>
      <c r="F378" s="93"/>
      <c r="G378" s="93"/>
      <c r="H378" s="93"/>
      <c r="I378" s="128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</row>
    <row r="379" spans="1:43" ht="12.75" customHeight="1">
      <c r="A379" s="93"/>
      <c r="B379" s="93"/>
      <c r="C379" s="117"/>
      <c r="D379" s="93"/>
      <c r="E379" s="93"/>
      <c r="F379" s="93"/>
      <c r="G379" s="93"/>
      <c r="H379" s="93"/>
      <c r="I379" s="128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  <c r="AK379" s="93"/>
      <c r="AL379" s="93"/>
      <c r="AM379" s="93"/>
      <c r="AN379" s="93"/>
      <c r="AO379" s="93"/>
      <c r="AP379" s="93"/>
      <c r="AQ379" s="93"/>
    </row>
    <row r="380" spans="1:43" ht="12.75" customHeight="1">
      <c r="A380" s="93"/>
      <c r="B380" s="93"/>
      <c r="C380" s="117"/>
      <c r="D380" s="93"/>
      <c r="E380" s="93"/>
      <c r="F380" s="93"/>
      <c r="G380" s="93"/>
      <c r="H380" s="93"/>
      <c r="I380" s="128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  <c r="AK380" s="93"/>
      <c r="AL380" s="93"/>
      <c r="AM380" s="93"/>
      <c r="AN380" s="93"/>
      <c r="AO380" s="93"/>
      <c r="AP380" s="93"/>
      <c r="AQ380" s="93"/>
    </row>
    <row r="381" spans="1:43" ht="12.75" customHeight="1">
      <c r="A381" s="93"/>
      <c r="B381" s="93"/>
      <c r="C381" s="117"/>
      <c r="D381" s="93"/>
      <c r="E381" s="93"/>
      <c r="F381" s="93"/>
      <c r="G381" s="93"/>
      <c r="H381" s="93"/>
      <c r="I381" s="128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  <c r="AK381" s="93"/>
      <c r="AL381" s="93"/>
      <c r="AM381" s="93"/>
      <c r="AN381" s="93"/>
      <c r="AO381" s="93"/>
      <c r="AP381" s="93"/>
      <c r="AQ381" s="93"/>
    </row>
    <row r="382" spans="1:43" ht="12.75" customHeight="1">
      <c r="A382" s="93"/>
      <c r="B382" s="93"/>
      <c r="C382" s="117"/>
      <c r="D382" s="93"/>
      <c r="E382" s="93"/>
      <c r="F382" s="93"/>
      <c r="G382" s="93"/>
      <c r="H382" s="93"/>
      <c r="I382" s="128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  <c r="AK382" s="93"/>
      <c r="AL382" s="93"/>
      <c r="AM382" s="93"/>
      <c r="AN382" s="93"/>
      <c r="AO382" s="93"/>
      <c r="AP382" s="93"/>
      <c r="AQ382" s="93"/>
    </row>
    <row r="383" spans="1:43" ht="12.75" customHeight="1">
      <c r="A383" s="93"/>
      <c r="B383" s="93"/>
      <c r="C383" s="117"/>
      <c r="D383" s="93"/>
      <c r="E383" s="93"/>
      <c r="F383" s="93"/>
      <c r="G383" s="93"/>
      <c r="H383" s="93"/>
      <c r="I383" s="128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</row>
    <row r="384" spans="1:43" ht="12.75" customHeight="1">
      <c r="A384" s="93"/>
      <c r="B384" s="93"/>
      <c r="C384" s="117"/>
      <c r="D384" s="93"/>
      <c r="E384" s="93"/>
      <c r="F384" s="93"/>
      <c r="G384" s="93"/>
      <c r="H384" s="93"/>
      <c r="I384" s="128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  <c r="AK384" s="93"/>
      <c r="AL384" s="93"/>
      <c r="AM384" s="93"/>
      <c r="AN384" s="93"/>
      <c r="AO384" s="93"/>
      <c r="AP384" s="93"/>
      <c r="AQ384" s="93"/>
    </row>
    <row r="385" spans="1:43" ht="12.75" customHeight="1">
      <c r="A385" s="93"/>
      <c r="B385" s="93"/>
      <c r="C385" s="117"/>
      <c r="D385" s="93"/>
      <c r="E385" s="93"/>
      <c r="F385" s="93"/>
      <c r="G385" s="93"/>
      <c r="H385" s="93"/>
      <c r="I385" s="128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  <c r="AK385" s="93"/>
      <c r="AL385" s="93"/>
      <c r="AM385" s="93"/>
      <c r="AN385" s="93"/>
      <c r="AO385" s="93"/>
      <c r="AP385" s="93"/>
      <c r="AQ385" s="93"/>
    </row>
    <row r="386" spans="1:43" ht="12.75" customHeight="1">
      <c r="A386" s="93"/>
      <c r="B386" s="93"/>
      <c r="C386" s="117"/>
      <c r="D386" s="93"/>
      <c r="E386" s="93"/>
      <c r="F386" s="93"/>
      <c r="G386" s="93"/>
      <c r="H386" s="93"/>
      <c r="I386" s="128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  <c r="AK386" s="93"/>
      <c r="AL386" s="93"/>
      <c r="AM386" s="93"/>
      <c r="AN386" s="93"/>
      <c r="AO386" s="93"/>
      <c r="AP386" s="93"/>
      <c r="AQ386" s="93"/>
    </row>
    <row r="387" spans="1:43" ht="12.75" customHeight="1">
      <c r="A387" s="93"/>
      <c r="B387" s="93"/>
      <c r="C387" s="117"/>
      <c r="D387" s="93"/>
      <c r="E387" s="93"/>
      <c r="F387" s="93"/>
      <c r="G387" s="93"/>
      <c r="H387" s="93"/>
      <c r="I387" s="128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  <c r="AK387" s="93"/>
      <c r="AL387" s="93"/>
      <c r="AM387" s="93"/>
      <c r="AN387" s="93"/>
      <c r="AO387" s="93"/>
      <c r="AP387" s="93"/>
      <c r="AQ387" s="93"/>
    </row>
    <row r="388" spans="1:43" ht="12.75" customHeight="1">
      <c r="A388" s="93"/>
      <c r="B388" s="93"/>
      <c r="C388" s="117"/>
      <c r="D388" s="93"/>
      <c r="E388" s="93"/>
      <c r="F388" s="93"/>
      <c r="G388" s="93"/>
      <c r="H388" s="93"/>
      <c r="I388" s="128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  <c r="AK388" s="93"/>
      <c r="AL388" s="93"/>
      <c r="AM388" s="93"/>
      <c r="AN388" s="93"/>
      <c r="AO388" s="93"/>
      <c r="AP388" s="93"/>
      <c r="AQ388" s="93"/>
    </row>
    <row r="389" spans="1:43" ht="12.75" customHeight="1">
      <c r="A389" s="93"/>
      <c r="B389" s="93"/>
      <c r="C389" s="117"/>
      <c r="D389" s="93"/>
      <c r="E389" s="93"/>
      <c r="F389" s="93"/>
      <c r="G389" s="93"/>
      <c r="H389" s="93"/>
      <c r="I389" s="128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</row>
    <row r="390" spans="1:43" ht="12.75" customHeight="1">
      <c r="A390" s="93"/>
      <c r="B390" s="93"/>
      <c r="C390" s="117"/>
      <c r="D390" s="93"/>
      <c r="E390" s="93"/>
      <c r="F390" s="93"/>
      <c r="G390" s="93"/>
      <c r="H390" s="93"/>
      <c r="I390" s="128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  <c r="AK390" s="93"/>
      <c r="AL390" s="93"/>
      <c r="AM390" s="93"/>
      <c r="AN390" s="93"/>
      <c r="AO390" s="93"/>
      <c r="AP390" s="93"/>
      <c r="AQ390" s="93"/>
    </row>
    <row r="391" spans="1:43" ht="12.75" customHeight="1">
      <c r="A391" s="93"/>
      <c r="B391" s="93"/>
      <c r="C391" s="117"/>
      <c r="D391" s="93"/>
      <c r="E391" s="93"/>
      <c r="F391" s="93"/>
      <c r="G391" s="93"/>
      <c r="H391" s="93"/>
      <c r="I391" s="128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  <c r="AK391" s="93"/>
      <c r="AL391" s="93"/>
      <c r="AM391" s="93"/>
      <c r="AN391" s="93"/>
      <c r="AO391" s="93"/>
      <c r="AP391" s="93"/>
      <c r="AQ391" s="93"/>
    </row>
    <row r="392" spans="1:43" ht="12.75" customHeight="1">
      <c r="A392" s="93"/>
      <c r="B392" s="93"/>
      <c r="C392" s="117"/>
      <c r="D392" s="93"/>
      <c r="E392" s="93"/>
      <c r="F392" s="93"/>
      <c r="G392" s="93"/>
      <c r="H392" s="93"/>
      <c r="I392" s="128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  <c r="AK392" s="93"/>
      <c r="AL392" s="93"/>
      <c r="AM392" s="93"/>
      <c r="AN392" s="93"/>
      <c r="AO392" s="93"/>
      <c r="AP392" s="93"/>
      <c r="AQ392" s="93"/>
    </row>
    <row r="393" spans="1:43" ht="12.75" customHeight="1">
      <c r="A393" s="93"/>
      <c r="B393" s="93"/>
      <c r="C393" s="117"/>
      <c r="D393" s="93"/>
      <c r="E393" s="93"/>
      <c r="F393" s="93"/>
      <c r="G393" s="93"/>
      <c r="H393" s="93"/>
      <c r="I393" s="128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  <c r="AK393" s="93"/>
      <c r="AL393" s="93"/>
      <c r="AM393" s="93"/>
      <c r="AN393" s="93"/>
      <c r="AO393" s="93"/>
      <c r="AP393" s="93"/>
      <c r="AQ393" s="93"/>
    </row>
    <row r="394" spans="1:43" ht="12.75" customHeight="1">
      <c r="A394" s="93"/>
      <c r="B394" s="93"/>
      <c r="C394" s="117"/>
      <c r="D394" s="93"/>
      <c r="E394" s="93"/>
      <c r="F394" s="93"/>
      <c r="G394" s="93"/>
      <c r="H394" s="93"/>
      <c r="I394" s="128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  <c r="AK394" s="93"/>
      <c r="AL394" s="93"/>
      <c r="AM394" s="93"/>
      <c r="AN394" s="93"/>
      <c r="AO394" s="93"/>
      <c r="AP394" s="93"/>
      <c r="AQ394" s="93"/>
    </row>
    <row r="395" spans="1:43" ht="12.75" customHeight="1">
      <c r="A395" s="93"/>
      <c r="B395" s="93"/>
      <c r="C395" s="117"/>
      <c r="D395" s="93"/>
      <c r="E395" s="93"/>
      <c r="F395" s="93"/>
      <c r="G395" s="93"/>
      <c r="H395" s="93"/>
      <c r="I395" s="128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  <c r="AK395" s="93"/>
      <c r="AL395" s="93"/>
      <c r="AM395" s="93"/>
      <c r="AN395" s="93"/>
      <c r="AO395" s="93"/>
      <c r="AP395" s="93"/>
      <c r="AQ395" s="93"/>
    </row>
    <row r="396" spans="1:43" ht="12.75" customHeight="1">
      <c r="A396" s="93"/>
      <c r="B396" s="93"/>
      <c r="C396" s="117"/>
      <c r="D396" s="93"/>
      <c r="E396" s="93"/>
      <c r="F396" s="93"/>
      <c r="G396" s="93"/>
      <c r="H396" s="93"/>
      <c r="I396" s="128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  <c r="AK396" s="93"/>
      <c r="AL396" s="93"/>
      <c r="AM396" s="93"/>
      <c r="AN396" s="93"/>
      <c r="AO396" s="93"/>
      <c r="AP396" s="93"/>
      <c r="AQ396" s="93"/>
    </row>
    <row r="397" spans="1:43" ht="12.75" customHeight="1">
      <c r="A397" s="93"/>
      <c r="B397" s="93"/>
      <c r="C397" s="117"/>
      <c r="D397" s="93"/>
      <c r="E397" s="93"/>
      <c r="F397" s="93"/>
      <c r="G397" s="93"/>
      <c r="H397" s="93"/>
      <c r="I397" s="128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  <c r="AK397" s="93"/>
      <c r="AL397" s="93"/>
      <c r="AM397" s="93"/>
      <c r="AN397" s="93"/>
      <c r="AO397" s="93"/>
      <c r="AP397" s="93"/>
      <c r="AQ397" s="93"/>
    </row>
    <row r="398" spans="1:43" ht="12.75" customHeight="1">
      <c r="A398" s="93"/>
      <c r="B398" s="93"/>
      <c r="C398" s="117"/>
      <c r="D398" s="93"/>
      <c r="E398" s="93"/>
      <c r="F398" s="93"/>
      <c r="G398" s="93"/>
      <c r="H398" s="93"/>
      <c r="I398" s="128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  <c r="AK398" s="93"/>
      <c r="AL398" s="93"/>
      <c r="AM398" s="93"/>
      <c r="AN398" s="93"/>
      <c r="AO398" s="93"/>
      <c r="AP398" s="93"/>
      <c r="AQ398" s="93"/>
    </row>
    <row r="399" spans="1:43" ht="12.75" customHeight="1">
      <c r="A399" s="93"/>
      <c r="B399" s="93"/>
      <c r="C399" s="117"/>
      <c r="D399" s="93"/>
      <c r="E399" s="93"/>
      <c r="F399" s="93"/>
      <c r="G399" s="93"/>
      <c r="H399" s="93"/>
      <c r="I399" s="128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  <c r="AK399" s="93"/>
      <c r="AL399" s="93"/>
      <c r="AM399" s="93"/>
      <c r="AN399" s="93"/>
      <c r="AO399" s="93"/>
      <c r="AP399" s="93"/>
      <c r="AQ399" s="93"/>
    </row>
    <row r="400" spans="1:43" ht="12.75" customHeight="1">
      <c r="A400" s="93"/>
      <c r="B400" s="93"/>
      <c r="C400" s="117"/>
      <c r="D400" s="93"/>
      <c r="E400" s="93"/>
      <c r="F400" s="93"/>
      <c r="G400" s="93"/>
      <c r="H400" s="93"/>
      <c r="I400" s="128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</row>
    <row r="401" spans="1:43" ht="12.75" customHeight="1">
      <c r="A401" s="93"/>
      <c r="B401" s="93"/>
      <c r="C401" s="117"/>
      <c r="D401" s="93"/>
      <c r="E401" s="93"/>
      <c r="F401" s="93"/>
      <c r="G401" s="93"/>
      <c r="H401" s="93"/>
      <c r="I401" s="128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  <c r="AK401" s="93"/>
      <c r="AL401" s="93"/>
      <c r="AM401" s="93"/>
      <c r="AN401" s="93"/>
      <c r="AO401" s="93"/>
      <c r="AP401" s="93"/>
      <c r="AQ401" s="93"/>
    </row>
    <row r="402" spans="1:43" ht="12.75" customHeight="1">
      <c r="A402" s="93"/>
      <c r="B402" s="93"/>
      <c r="C402" s="117"/>
      <c r="D402" s="93"/>
      <c r="E402" s="93"/>
      <c r="F402" s="93"/>
      <c r="G402" s="93"/>
      <c r="H402" s="93"/>
      <c r="I402" s="128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  <c r="AK402" s="93"/>
      <c r="AL402" s="93"/>
      <c r="AM402" s="93"/>
      <c r="AN402" s="93"/>
      <c r="AO402" s="93"/>
      <c r="AP402" s="93"/>
      <c r="AQ402" s="93"/>
    </row>
    <row r="403" spans="1:43" ht="12.75" customHeight="1">
      <c r="A403" s="93"/>
      <c r="B403" s="93"/>
      <c r="C403" s="117"/>
      <c r="D403" s="93"/>
      <c r="E403" s="93"/>
      <c r="F403" s="93"/>
      <c r="G403" s="93"/>
      <c r="H403" s="93"/>
      <c r="I403" s="128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  <c r="AK403" s="93"/>
      <c r="AL403" s="93"/>
      <c r="AM403" s="93"/>
      <c r="AN403" s="93"/>
      <c r="AO403" s="93"/>
      <c r="AP403" s="93"/>
      <c r="AQ403" s="93"/>
    </row>
    <row r="404" spans="1:43" ht="12.75" customHeight="1">
      <c r="A404" s="93"/>
      <c r="B404" s="93"/>
      <c r="C404" s="117"/>
      <c r="D404" s="93"/>
      <c r="E404" s="93"/>
      <c r="F404" s="93"/>
      <c r="G404" s="93"/>
      <c r="H404" s="93"/>
      <c r="I404" s="128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  <c r="AK404" s="93"/>
      <c r="AL404" s="93"/>
      <c r="AM404" s="93"/>
      <c r="AN404" s="93"/>
      <c r="AO404" s="93"/>
      <c r="AP404" s="93"/>
      <c r="AQ404" s="93"/>
    </row>
    <row r="405" spans="1:43" ht="12.75" customHeight="1">
      <c r="A405" s="93"/>
      <c r="B405" s="93"/>
      <c r="C405" s="117"/>
      <c r="D405" s="93"/>
      <c r="E405" s="93"/>
      <c r="F405" s="93"/>
      <c r="G405" s="93"/>
      <c r="H405" s="93"/>
      <c r="I405" s="128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  <c r="AK405" s="93"/>
      <c r="AL405" s="93"/>
      <c r="AM405" s="93"/>
      <c r="AN405" s="93"/>
      <c r="AO405" s="93"/>
      <c r="AP405" s="93"/>
      <c r="AQ405" s="93"/>
    </row>
    <row r="406" spans="1:43" ht="12.75" customHeight="1">
      <c r="A406" s="93"/>
      <c r="B406" s="93"/>
      <c r="C406" s="117"/>
      <c r="D406" s="93"/>
      <c r="E406" s="93"/>
      <c r="F406" s="93"/>
      <c r="G406" s="93"/>
      <c r="H406" s="93"/>
      <c r="I406" s="128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</row>
    <row r="407" spans="1:43" ht="12.75" customHeight="1">
      <c r="A407" s="93"/>
      <c r="B407" s="93"/>
      <c r="C407" s="117"/>
      <c r="D407" s="93"/>
      <c r="E407" s="93"/>
      <c r="F407" s="93"/>
      <c r="G407" s="93"/>
      <c r="H407" s="93"/>
      <c r="I407" s="128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  <c r="AK407" s="93"/>
      <c r="AL407" s="93"/>
      <c r="AM407" s="93"/>
      <c r="AN407" s="93"/>
      <c r="AO407" s="93"/>
      <c r="AP407" s="93"/>
      <c r="AQ407" s="93"/>
    </row>
    <row r="408" spans="1:43" ht="12.75" customHeight="1">
      <c r="A408" s="93"/>
      <c r="B408" s="93"/>
      <c r="C408" s="117"/>
      <c r="D408" s="93"/>
      <c r="E408" s="93"/>
      <c r="F408" s="93"/>
      <c r="G408" s="93"/>
      <c r="H408" s="93"/>
      <c r="I408" s="128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  <c r="AK408" s="93"/>
      <c r="AL408" s="93"/>
      <c r="AM408" s="93"/>
      <c r="AN408" s="93"/>
      <c r="AO408" s="93"/>
      <c r="AP408" s="93"/>
      <c r="AQ408" s="93"/>
    </row>
    <row r="409" spans="1:43" ht="12.75" customHeight="1">
      <c r="A409" s="93"/>
      <c r="B409" s="93"/>
      <c r="C409" s="117"/>
      <c r="D409" s="93"/>
      <c r="E409" s="93"/>
      <c r="F409" s="93"/>
      <c r="G409" s="93"/>
      <c r="H409" s="93"/>
      <c r="I409" s="128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  <c r="AK409" s="93"/>
      <c r="AL409" s="93"/>
      <c r="AM409" s="93"/>
      <c r="AN409" s="93"/>
      <c r="AO409" s="93"/>
      <c r="AP409" s="93"/>
      <c r="AQ409" s="93"/>
    </row>
    <row r="410" spans="1:43" ht="12.75" customHeight="1">
      <c r="A410" s="93"/>
      <c r="B410" s="93"/>
      <c r="C410" s="117"/>
      <c r="D410" s="93"/>
      <c r="E410" s="93"/>
      <c r="F410" s="93"/>
      <c r="G410" s="93"/>
      <c r="H410" s="93"/>
      <c r="I410" s="128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</row>
    <row r="411" spans="1:43" ht="12.75" customHeight="1">
      <c r="A411" s="93"/>
      <c r="B411" s="93"/>
      <c r="C411" s="117"/>
      <c r="D411" s="93"/>
      <c r="E411" s="93"/>
      <c r="F411" s="93"/>
      <c r="G411" s="93"/>
      <c r="H411" s="93"/>
      <c r="I411" s="128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  <c r="AK411" s="93"/>
      <c r="AL411" s="93"/>
      <c r="AM411" s="93"/>
      <c r="AN411" s="93"/>
      <c r="AO411" s="93"/>
      <c r="AP411" s="93"/>
      <c r="AQ411" s="93"/>
    </row>
    <row r="412" spans="1:43" ht="12.75" customHeight="1">
      <c r="A412" s="93"/>
      <c r="B412" s="93"/>
      <c r="C412" s="117"/>
      <c r="D412" s="93"/>
      <c r="E412" s="93"/>
      <c r="F412" s="93"/>
      <c r="G412" s="93"/>
      <c r="H412" s="93"/>
      <c r="I412" s="128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</row>
    <row r="413" spans="1:43" ht="12.75" customHeight="1">
      <c r="A413" s="93"/>
      <c r="B413" s="93"/>
      <c r="C413" s="117"/>
      <c r="D413" s="93"/>
      <c r="E413" s="93"/>
      <c r="F413" s="93"/>
      <c r="G413" s="93"/>
      <c r="H413" s="93"/>
      <c r="I413" s="128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  <c r="AK413" s="93"/>
      <c r="AL413" s="93"/>
      <c r="AM413" s="93"/>
      <c r="AN413" s="93"/>
      <c r="AO413" s="93"/>
      <c r="AP413" s="93"/>
      <c r="AQ413" s="93"/>
    </row>
    <row r="414" spans="1:43" ht="12.75" customHeight="1">
      <c r="A414" s="93"/>
      <c r="B414" s="93"/>
      <c r="C414" s="117"/>
      <c r="D414" s="93"/>
      <c r="E414" s="93"/>
      <c r="F414" s="93"/>
      <c r="G414" s="93"/>
      <c r="H414" s="93"/>
      <c r="I414" s="128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  <c r="AK414" s="93"/>
      <c r="AL414" s="93"/>
      <c r="AM414" s="93"/>
      <c r="AN414" s="93"/>
      <c r="AO414" s="93"/>
      <c r="AP414" s="93"/>
      <c r="AQ414" s="93"/>
    </row>
    <row r="415" spans="1:43" ht="12.75" customHeight="1">
      <c r="A415" s="93"/>
      <c r="B415" s="93"/>
      <c r="C415" s="117"/>
      <c r="D415" s="93"/>
      <c r="E415" s="93"/>
      <c r="F415" s="93"/>
      <c r="G415" s="93"/>
      <c r="H415" s="93"/>
      <c r="I415" s="128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  <c r="AK415" s="93"/>
      <c r="AL415" s="93"/>
      <c r="AM415" s="93"/>
      <c r="AN415" s="93"/>
      <c r="AO415" s="93"/>
      <c r="AP415" s="93"/>
      <c r="AQ415" s="93"/>
    </row>
    <row r="416" spans="1:43" ht="12.75" customHeight="1">
      <c r="A416" s="93"/>
      <c r="B416" s="93"/>
      <c r="C416" s="117"/>
      <c r="D416" s="93"/>
      <c r="E416" s="93"/>
      <c r="F416" s="93"/>
      <c r="G416" s="93"/>
      <c r="H416" s="93"/>
      <c r="I416" s="128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</row>
    <row r="417" spans="1:43" ht="12.75" customHeight="1">
      <c r="A417" s="93"/>
      <c r="B417" s="93"/>
      <c r="C417" s="117"/>
      <c r="D417" s="93"/>
      <c r="E417" s="93"/>
      <c r="F417" s="93"/>
      <c r="G417" s="93"/>
      <c r="H417" s="93"/>
      <c r="I417" s="128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  <c r="AK417" s="93"/>
      <c r="AL417" s="93"/>
      <c r="AM417" s="93"/>
      <c r="AN417" s="93"/>
      <c r="AO417" s="93"/>
      <c r="AP417" s="93"/>
      <c r="AQ417" s="93"/>
    </row>
    <row r="418" spans="1:43" ht="12.75" customHeight="1">
      <c r="A418" s="93"/>
      <c r="B418" s="93"/>
      <c r="C418" s="117"/>
      <c r="D418" s="93"/>
      <c r="E418" s="93"/>
      <c r="F418" s="93"/>
      <c r="G418" s="93"/>
      <c r="H418" s="93"/>
      <c r="I418" s="128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  <c r="AK418" s="93"/>
      <c r="AL418" s="93"/>
      <c r="AM418" s="93"/>
      <c r="AN418" s="93"/>
      <c r="AO418" s="93"/>
      <c r="AP418" s="93"/>
      <c r="AQ418" s="93"/>
    </row>
    <row r="419" spans="1:43" ht="12.75" customHeight="1">
      <c r="A419" s="93"/>
      <c r="B419" s="93"/>
      <c r="C419" s="117"/>
      <c r="D419" s="93"/>
      <c r="E419" s="93"/>
      <c r="F419" s="93"/>
      <c r="G419" s="93"/>
      <c r="H419" s="93"/>
      <c r="I419" s="128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  <c r="AK419" s="93"/>
      <c r="AL419" s="93"/>
      <c r="AM419" s="93"/>
      <c r="AN419" s="93"/>
      <c r="AO419" s="93"/>
      <c r="AP419" s="93"/>
      <c r="AQ419" s="93"/>
    </row>
    <row r="420" spans="1:43" ht="12.75" customHeight="1">
      <c r="A420" s="93"/>
      <c r="B420" s="93"/>
      <c r="C420" s="117"/>
      <c r="D420" s="93"/>
      <c r="E420" s="93"/>
      <c r="F420" s="93"/>
      <c r="G420" s="93"/>
      <c r="H420" s="93"/>
      <c r="I420" s="128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</row>
    <row r="421" spans="1:43" ht="12.75" customHeight="1">
      <c r="A421" s="93"/>
      <c r="B421" s="93"/>
      <c r="C421" s="117"/>
      <c r="D421" s="93"/>
      <c r="E421" s="93"/>
      <c r="F421" s="93"/>
      <c r="G421" s="93"/>
      <c r="H421" s="93"/>
      <c r="I421" s="128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  <c r="AK421" s="93"/>
      <c r="AL421" s="93"/>
      <c r="AM421" s="93"/>
      <c r="AN421" s="93"/>
      <c r="AO421" s="93"/>
      <c r="AP421" s="93"/>
      <c r="AQ421" s="93"/>
    </row>
    <row r="422" spans="1:43" ht="12.75" customHeight="1">
      <c r="A422" s="93"/>
      <c r="B422" s="93"/>
      <c r="C422" s="117"/>
      <c r="D422" s="93"/>
      <c r="E422" s="93"/>
      <c r="F422" s="93"/>
      <c r="G422" s="93"/>
      <c r="H422" s="93"/>
      <c r="I422" s="128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  <c r="AK422" s="93"/>
      <c r="AL422" s="93"/>
      <c r="AM422" s="93"/>
      <c r="AN422" s="93"/>
      <c r="AO422" s="93"/>
      <c r="AP422" s="93"/>
      <c r="AQ422" s="93"/>
    </row>
    <row r="423" spans="1:43" ht="12.75" customHeight="1">
      <c r="A423" s="93"/>
      <c r="B423" s="93"/>
      <c r="C423" s="117"/>
      <c r="D423" s="93"/>
      <c r="E423" s="93"/>
      <c r="F423" s="93"/>
      <c r="G423" s="93"/>
      <c r="H423" s="93"/>
      <c r="I423" s="128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3"/>
      <c r="AM423" s="93"/>
      <c r="AN423" s="93"/>
      <c r="AO423" s="93"/>
      <c r="AP423" s="93"/>
      <c r="AQ423" s="93"/>
    </row>
    <row r="424" spans="1:43" ht="12.75" customHeight="1">
      <c r="A424" s="93"/>
      <c r="B424" s="93"/>
      <c r="C424" s="117"/>
      <c r="D424" s="93"/>
      <c r="E424" s="93"/>
      <c r="F424" s="93"/>
      <c r="G424" s="93"/>
      <c r="H424" s="93"/>
      <c r="I424" s="128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</row>
    <row r="425" spans="1:43" ht="12.75" customHeight="1">
      <c r="A425" s="93"/>
      <c r="B425" s="93"/>
      <c r="C425" s="117"/>
      <c r="D425" s="93"/>
      <c r="E425" s="93"/>
      <c r="F425" s="93"/>
      <c r="G425" s="93"/>
      <c r="H425" s="93"/>
      <c r="I425" s="128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  <c r="AK425" s="93"/>
      <c r="AL425" s="93"/>
      <c r="AM425" s="93"/>
      <c r="AN425" s="93"/>
      <c r="AO425" s="93"/>
      <c r="AP425" s="93"/>
      <c r="AQ425" s="93"/>
    </row>
    <row r="426" spans="1:43" ht="12.75" customHeight="1">
      <c r="A426" s="93"/>
      <c r="B426" s="93"/>
      <c r="C426" s="117"/>
      <c r="D426" s="93"/>
      <c r="E426" s="93"/>
      <c r="F426" s="93"/>
      <c r="G426" s="93"/>
      <c r="H426" s="93"/>
      <c r="I426" s="128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  <c r="AK426" s="93"/>
      <c r="AL426" s="93"/>
      <c r="AM426" s="93"/>
      <c r="AN426" s="93"/>
      <c r="AO426" s="93"/>
      <c r="AP426" s="93"/>
      <c r="AQ426" s="93"/>
    </row>
    <row r="427" spans="1:43" ht="12.75" customHeight="1">
      <c r="A427" s="93"/>
      <c r="B427" s="93"/>
      <c r="C427" s="117"/>
      <c r="D427" s="93"/>
      <c r="E427" s="93"/>
      <c r="F427" s="93"/>
      <c r="G427" s="93"/>
      <c r="H427" s="93"/>
      <c r="I427" s="128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  <c r="AK427" s="93"/>
      <c r="AL427" s="93"/>
      <c r="AM427" s="93"/>
      <c r="AN427" s="93"/>
      <c r="AO427" s="93"/>
      <c r="AP427" s="93"/>
      <c r="AQ427" s="93"/>
    </row>
    <row r="428" spans="1:43" ht="12.75" customHeight="1">
      <c r="A428" s="93"/>
      <c r="B428" s="93"/>
      <c r="C428" s="117"/>
      <c r="D428" s="93"/>
      <c r="E428" s="93"/>
      <c r="F428" s="93"/>
      <c r="G428" s="93"/>
      <c r="H428" s="93"/>
      <c r="I428" s="128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  <c r="AK428" s="93"/>
      <c r="AL428" s="93"/>
      <c r="AM428" s="93"/>
      <c r="AN428" s="93"/>
      <c r="AO428" s="93"/>
      <c r="AP428" s="93"/>
      <c r="AQ428" s="93"/>
    </row>
    <row r="429" spans="1:43" ht="12.75" customHeight="1">
      <c r="A429" s="93"/>
      <c r="B429" s="93"/>
      <c r="C429" s="117"/>
      <c r="D429" s="93"/>
      <c r="E429" s="93"/>
      <c r="F429" s="93"/>
      <c r="G429" s="93"/>
      <c r="H429" s="93"/>
      <c r="I429" s="128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  <c r="AK429" s="93"/>
      <c r="AL429" s="93"/>
      <c r="AM429" s="93"/>
      <c r="AN429" s="93"/>
      <c r="AO429" s="93"/>
      <c r="AP429" s="93"/>
      <c r="AQ429" s="93"/>
    </row>
    <row r="430" spans="1:43" ht="12.75" customHeight="1">
      <c r="A430" s="93"/>
      <c r="B430" s="93"/>
      <c r="C430" s="117"/>
      <c r="D430" s="93"/>
      <c r="E430" s="93"/>
      <c r="F430" s="93"/>
      <c r="G430" s="93"/>
      <c r="H430" s="93"/>
      <c r="I430" s="128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  <c r="AK430" s="93"/>
      <c r="AL430" s="93"/>
      <c r="AM430" s="93"/>
      <c r="AN430" s="93"/>
      <c r="AO430" s="93"/>
      <c r="AP430" s="93"/>
      <c r="AQ430" s="93"/>
    </row>
    <row r="431" spans="1:43" ht="12.75" customHeight="1">
      <c r="A431" s="93"/>
      <c r="B431" s="93"/>
      <c r="C431" s="117"/>
      <c r="D431" s="93"/>
      <c r="E431" s="93"/>
      <c r="F431" s="93"/>
      <c r="G431" s="93"/>
      <c r="H431" s="93"/>
      <c r="I431" s="128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  <c r="AK431" s="93"/>
      <c r="AL431" s="93"/>
      <c r="AM431" s="93"/>
      <c r="AN431" s="93"/>
      <c r="AO431" s="93"/>
      <c r="AP431" s="93"/>
      <c r="AQ431" s="93"/>
    </row>
    <row r="432" spans="1:43" ht="12.75" customHeight="1">
      <c r="A432" s="93"/>
      <c r="B432" s="93"/>
      <c r="C432" s="117"/>
      <c r="D432" s="93"/>
      <c r="E432" s="93"/>
      <c r="F432" s="93"/>
      <c r="G432" s="93"/>
      <c r="H432" s="93"/>
      <c r="I432" s="128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  <c r="AK432" s="93"/>
      <c r="AL432" s="93"/>
      <c r="AM432" s="93"/>
      <c r="AN432" s="93"/>
      <c r="AO432" s="93"/>
      <c r="AP432" s="93"/>
      <c r="AQ432" s="93"/>
    </row>
    <row r="433" spans="1:43" ht="12.75" customHeight="1">
      <c r="A433" s="93"/>
      <c r="B433" s="93"/>
      <c r="C433" s="117"/>
      <c r="D433" s="93"/>
      <c r="E433" s="93"/>
      <c r="F433" s="93"/>
      <c r="G433" s="93"/>
      <c r="H433" s="93"/>
      <c r="I433" s="128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  <c r="AK433" s="93"/>
      <c r="AL433" s="93"/>
      <c r="AM433" s="93"/>
      <c r="AN433" s="93"/>
      <c r="AO433" s="93"/>
      <c r="AP433" s="93"/>
      <c r="AQ433" s="93"/>
    </row>
    <row r="434" spans="1:43" ht="12.75" customHeight="1">
      <c r="A434" s="93"/>
      <c r="B434" s="93"/>
      <c r="C434" s="117"/>
      <c r="D434" s="93"/>
      <c r="E434" s="93"/>
      <c r="F434" s="93"/>
      <c r="G434" s="93"/>
      <c r="H434" s="93"/>
      <c r="I434" s="128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  <c r="AK434" s="93"/>
      <c r="AL434" s="93"/>
      <c r="AM434" s="93"/>
      <c r="AN434" s="93"/>
      <c r="AO434" s="93"/>
      <c r="AP434" s="93"/>
      <c r="AQ434" s="93"/>
    </row>
    <row r="435" spans="1:43" ht="12.75" customHeight="1">
      <c r="A435" s="93"/>
      <c r="B435" s="93"/>
      <c r="C435" s="117"/>
      <c r="D435" s="93"/>
      <c r="E435" s="93"/>
      <c r="F435" s="93"/>
      <c r="G435" s="93"/>
      <c r="H435" s="93"/>
      <c r="I435" s="128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  <c r="AK435" s="93"/>
      <c r="AL435" s="93"/>
      <c r="AM435" s="93"/>
      <c r="AN435" s="93"/>
      <c r="AO435" s="93"/>
      <c r="AP435" s="93"/>
      <c r="AQ435" s="93"/>
    </row>
    <row r="436" spans="1:43" ht="12.75" customHeight="1">
      <c r="A436" s="93"/>
      <c r="B436" s="93"/>
      <c r="C436" s="117"/>
      <c r="D436" s="93"/>
      <c r="E436" s="93"/>
      <c r="F436" s="93"/>
      <c r="G436" s="93"/>
      <c r="H436" s="93"/>
      <c r="I436" s="128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  <c r="AK436" s="93"/>
      <c r="AL436" s="93"/>
      <c r="AM436" s="93"/>
      <c r="AN436" s="93"/>
      <c r="AO436" s="93"/>
      <c r="AP436" s="93"/>
      <c r="AQ436" s="93"/>
    </row>
    <row r="437" spans="1:43" ht="12.75" customHeight="1">
      <c r="A437" s="93"/>
      <c r="B437" s="93"/>
      <c r="C437" s="117"/>
      <c r="D437" s="93"/>
      <c r="E437" s="93"/>
      <c r="F437" s="93"/>
      <c r="G437" s="93"/>
      <c r="H437" s="93"/>
      <c r="I437" s="128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  <c r="AK437" s="93"/>
      <c r="AL437" s="93"/>
      <c r="AM437" s="93"/>
      <c r="AN437" s="93"/>
      <c r="AO437" s="93"/>
      <c r="AP437" s="93"/>
      <c r="AQ437" s="93"/>
    </row>
    <row r="438" spans="1:43" ht="12.75" customHeight="1">
      <c r="A438" s="93"/>
      <c r="B438" s="93"/>
      <c r="C438" s="117"/>
      <c r="D438" s="93"/>
      <c r="E438" s="93"/>
      <c r="F438" s="93"/>
      <c r="G438" s="93"/>
      <c r="H438" s="93"/>
      <c r="I438" s="128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  <c r="AK438" s="93"/>
      <c r="AL438" s="93"/>
      <c r="AM438" s="93"/>
      <c r="AN438" s="93"/>
      <c r="AO438" s="93"/>
      <c r="AP438" s="93"/>
      <c r="AQ438" s="93"/>
    </row>
    <row r="439" spans="1:43" ht="12.75" customHeight="1">
      <c r="A439" s="93"/>
      <c r="B439" s="93"/>
      <c r="C439" s="117"/>
      <c r="D439" s="93"/>
      <c r="E439" s="93"/>
      <c r="F439" s="93"/>
      <c r="G439" s="93"/>
      <c r="H439" s="93"/>
      <c r="I439" s="128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  <c r="AK439" s="93"/>
      <c r="AL439" s="93"/>
      <c r="AM439" s="93"/>
      <c r="AN439" s="93"/>
      <c r="AO439" s="93"/>
      <c r="AP439" s="93"/>
      <c r="AQ439" s="93"/>
    </row>
    <row r="440" spans="1:43" ht="12.75" customHeight="1">
      <c r="A440" s="93"/>
      <c r="B440" s="93"/>
      <c r="C440" s="117"/>
      <c r="D440" s="93"/>
      <c r="E440" s="93"/>
      <c r="F440" s="93"/>
      <c r="G440" s="93"/>
      <c r="H440" s="93"/>
      <c r="I440" s="128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  <c r="AK440" s="93"/>
      <c r="AL440" s="93"/>
      <c r="AM440" s="93"/>
      <c r="AN440" s="93"/>
      <c r="AO440" s="93"/>
      <c r="AP440" s="93"/>
      <c r="AQ440" s="93"/>
    </row>
    <row r="441" spans="1:43" ht="12.75" customHeight="1">
      <c r="A441" s="93"/>
      <c r="B441" s="93"/>
      <c r="C441" s="117"/>
      <c r="D441" s="93"/>
      <c r="E441" s="93"/>
      <c r="F441" s="93"/>
      <c r="G441" s="93"/>
      <c r="H441" s="93"/>
      <c r="I441" s="128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  <c r="AK441" s="93"/>
      <c r="AL441" s="93"/>
      <c r="AM441" s="93"/>
      <c r="AN441" s="93"/>
      <c r="AO441" s="93"/>
      <c r="AP441" s="93"/>
      <c r="AQ441" s="93"/>
    </row>
    <row r="442" spans="1:43" ht="12.75" customHeight="1">
      <c r="A442" s="93"/>
      <c r="B442" s="93"/>
      <c r="C442" s="117"/>
      <c r="D442" s="93"/>
      <c r="E442" s="93"/>
      <c r="F442" s="93"/>
      <c r="G442" s="93"/>
      <c r="H442" s="93"/>
      <c r="I442" s="128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  <c r="AK442" s="93"/>
      <c r="AL442" s="93"/>
      <c r="AM442" s="93"/>
      <c r="AN442" s="93"/>
      <c r="AO442" s="93"/>
      <c r="AP442" s="93"/>
      <c r="AQ442" s="93"/>
    </row>
    <row r="443" spans="1:43" ht="12.75" customHeight="1">
      <c r="A443" s="93"/>
      <c r="B443" s="93"/>
      <c r="C443" s="117"/>
      <c r="D443" s="93"/>
      <c r="E443" s="93"/>
      <c r="F443" s="93"/>
      <c r="G443" s="93"/>
      <c r="H443" s="93"/>
      <c r="I443" s="128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  <c r="AK443" s="93"/>
      <c r="AL443" s="93"/>
      <c r="AM443" s="93"/>
      <c r="AN443" s="93"/>
      <c r="AO443" s="93"/>
      <c r="AP443" s="93"/>
      <c r="AQ443" s="93"/>
    </row>
    <row r="444" spans="1:43" ht="12.75" customHeight="1">
      <c r="A444" s="93"/>
      <c r="B444" s="93"/>
      <c r="C444" s="117"/>
      <c r="D444" s="93"/>
      <c r="E444" s="93"/>
      <c r="F444" s="93"/>
      <c r="G444" s="93"/>
      <c r="H444" s="93"/>
      <c r="I444" s="128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  <c r="AK444" s="93"/>
      <c r="AL444" s="93"/>
      <c r="AM444" s="93"/>
      <c r="AN444" s="93"/>
      <c r="AO444" s="93"/>
      <c r="AP444" s="93"/>
      <c r="AQ444" s="93"/>
    </row>
    <row r="445" spans="1:43" ht="12.75" customHeight="1">
      <c r="A445" s="93"/>
      <c r="B445" s="93"/>
      <c r="C445" s="117"/>
      <c r="D445" s="93"/>
      <c r="E445" s="93"/>
      <c r="F445" s="93"/>
      <c r="G445" s="93"/>
      <c r="H445" s="93"/>
      <c r="I445" s="128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  <c r="AK445" s="93"/>
      <c r="AL445" s="93"/>
      <c r="AM445" s="93"/>
      <c r="AN445" s="93"/>
      <c r="AO445" s="93"/>
      <c r="AP445" s="93"/>
      <c r="AQ445" s="93"/>
    </row>
    <row r="446" spans="1:43" ht="12.75" customHeight="1">
      <c r="A446" s="93"/>
      <c r="B446" s="93"/>
      <c r="C446" s="117"/>
      <c r="D446" s="93"/>
      <c r="E446" s="93"/>
      <c r="F446" s="93"/>
      <c r="G446" s="93"/>
      <c r="H446" s="93"/>
      <c r="I446" s="128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  <c r="AK446" s="93"/>
      <c r="AL446" s="93"/>
      <c r="AM446" s="93"/>
      <c r="AN446" s="93"/>
      <c r="AO446" s="93"/>
      <c r="AP446" s="93"/>
      <c r="AQ446" s="93"/>
    </row>
    <row r="447" spans="1:43" ht="12.75" customHeight="1">
      <c r="A447" s="93"/>
      <c r="B447" s="93"/>
      <c r="C447" s="117"/>
      <c r="D447" s="93"/>
      <c r="E447" s="93"/>
      <c r="F447" s="93"/>
      <c r="G447" s="93"/>
      <c r="H447" s="93"/>
      <c r="I447" s="128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  <c r="AK447" s="93"/>
      <c r="AL447" s="93"/>
      <c r="AM447" s="93"/>
      <c r="AN447" s="93"/>
      <c r="AO447" s="93"/>
      <c r="AP447" s="93"/>
      <c r="AQ447" s="93"/>
    </row>
    <row r="448" spans="1:43" ht="12.75" customHeight="1">
      <c r="A448" s="93"/>
      <c r="B448" s="93"/>
      <c r="C448" s="117"/>
      <c r="D448" s="93"/>
      <c r="E448" s="93"/>
      <c r="F448" s="93"/>
      <c r="G448" s="93"/>
      <c r="H448" s="93"/>
      <c r="I448" s="128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  <c r="AK448" s="93"/>
      <c r="AL448" s="93"/>
      <c r="AM448" s="93"/>
      <c r="AN448" s="93"/>
      <c r="AO448" s="93"/>
      <c r="AP448" s="93"/>
      <c r="AQ448" s="93"/>
    </row>
    <row r="449" spans="1:43" ht="12.75" customHeight="1">
      <c r="A449" s="93"/>
      <c r="B449" s="93"/>
      <c r="C449" s="117"/>
      <c r="D449" s="93"/>
      <c r="E449" s="93"/>
      <c r="F449" s="93"/>
      <c r="G449" s="93"/>
      <c r="H449" s="93"/>
      <c r="I449" s="128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  <c r="AK449" s="93"/>
      <c r="AL449" s="93"/>
      <c r="AM449" s="93"/>
      <c r="AN449" s="93"/>
      <c r="AO449" s="93"/>
      <c r="AP449" s="93"/>
      <c r="AQ449" s="93"/>
    </row>
    <row r="450" spans="1:43" ht="12.75" customHeight="1">
      <c r="A450" s="93"/>
      <c r="B450" s="93"/>
      <c r="C450" s="117"/>
      <c r="D450" s="93"/>
      <c r="E450" s="93"/>
      <c r="F450" s="93"/>
      <c r="G450" s="93"/>
      <c r="H450" s="93"/>
      <c r="I450" s="128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  <c r="AK450" s="93"/>
      <c r="AL450" s="93"/>
      <c r="AM450" s="93"/>
      <c r="AN450" s="93"/>
      <c r="AO450" s="93"/>
      <c r="AP450" s="93"/>
      <c r="AQ450" s="93"/>
    </row>
    <row r="451" spans="1:43" ht="12.75" customHeight="1">
      <c r="A451" s="93"/>
      <c r="B451" s="93"/>
      <c r="C451" s="117"/>
      <c r="D451" s="93"/>
      <c r="E451" s="93"/>
      <c r="F451" s="93"/>
      <c r="G451" s="93"/>
      <c r="H451" s="93"/>
      <c r="I451" s="128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  <c r="AK451" s="93"/>
      <c r="AL451" s="93"/>
      <c r="AM451" s="93"/>
      <c r="AN451" s="93"/>
      <c r="AO451" s="93"/>
      <c r="AP451" s="93"/>
      <c r="AQ451" s="93"/>
    </row>
    <row r="452" spans="1:43" ht="12.75" customHeight="1">
      <c r="A452" s="93"/>
      <c r="B452" s="93"/>
      <c r="C452" s="117"/>
      <c r="D452" s="93"/>
      <c r="E452" s="93"/>
      <c r="F452" s="93"/>
      <c r="G452" s="93"/>
      <c r="H452" s="93"/>
      <c r="I452" s="128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  <c r="AK452" s="93"/>
      <c r="AL452" s="93"/>
      <c r="AM452" s="93"/>
      <c r="AN452" s="93"/>
      <c r="AO452" s="93"/>
      <c r="AP452" s="93"/>
      <c r="AQ452" s="93"/>
    </row>
    <row r="453" spans="1:43" ht="12.75" customHeight="1">
      <c r="A453" s="93"/>
      <c r="B453" s="93"/>
      <c r="C453" s="117"/>
      <c r="D453" s="93"/>
      <c r="E453" s="93"/>
      <c r="F453" s="93"/>
      <c r="G453" s="93"/>
      <c r="H453" s="93"/>
      <c r="I453" s="128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  <c r="AK453" s="93"/>
      <c r="AL453" s="93"/>
      <c r="AM453" s="93"/>
      <c r="AN453" s="93"/>
      <c r="AO453" s="93"/>
      <c r="AP453" s="93"/>
      <c r="AQ453" s="93"/>
    </row>
    <row r="454" spans="1:43" ht="12.75" customHeight="1">
      <c r="A454" s="93"/>
      <c r="B454" s="93"/>
      <c r="C454" s="117"/>
      <c r="D454" s="93"/>
      <c r="E454" s="93"/>
      <c r="F454" s="93"/>
      <c r="G454" s="93"/>
      <c r="H454" s="93"/>
      <c r="I454" s="128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  <c r="AK454" s="93"/>
      <c r="AL454" s="93"/>
      <c r="AM454" s="93"/>
      <c r="AN454" s="93"/>
      <c r="AO454" s="93"/>
      <c r="AP454" s="93"/>
      <c r="AQ454" s="93"/>
    </row>
    <row r="455" spans="1:43" ht="12.75" customHeight="1">
      <c r="A455" s="93"/>
      <c r="B455" s="93"/>
      <c r="C455" s="117"/>
      <c r="D455" s="93"/>
      <c r="E455" s="93"/>
      <c r="F455" s="93"/>
      <c r="G455" s="93"/>
      <c r="H455" s="93"/>
      <c r="I455" s="128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  <c r="AK455" s="93"/>
      <c r="AL455" s="93"/>
      <c r="AM455" s="93"/>
      <c r="AN455" s="93"/>
      <c r="AO455" s="93"/>
      <c r="AP455" s="93"/>
      <c r="AQ455" s="93"/>
    </row>
    <row r="456" spans="1:43" ht="12.75" customHeight="1">
      <c r="A456" s="93"/>
      <c r="B456" s="93"/>
      <c r="C456" s="117"/>
      <c r="D456" s="93"/>
      <c r="E456" s="93"/>
      <c r="F456" s="93"/>
      <c r="G456" s="93"/>
      <c r="H456" s="93"/>
      <c r="I456" s="128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  <c r="AK456" s="93"/>
      <c r="AL456" s="93"/>
      <c r="AM456" s="93"/>
      <c r="AN456" s="93"/>
      <c r="AO456" s="93"/>
      <c r="AP456" s="93"/>
      <c r="AQ456" s="93"/>
    </row>
    <row r="457" spans="1:43" ht="12.75" customHeight="1">
      <c r="A457" s="93"/>
      <c r="B457" s="93"/>
      <c r="C457" s="117"/>
      <c r="D457" s="93"/>
      <c r="E457" s="93"/>
      <c r="F457" s="93"/>
      <c r="G457" s="93"/>
      <c r="H457" s="93"/>
      <c r="I457" s="128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  <c r="AK457" s="93"/>
      <c r="AL457" s="93"/>
      <c r="AM457" s="93"/>
      <c r="AN457" s="93"/>
      <c r="AO457" s="93"/>
      <c r="AP457" s="93"/>
      <c r="AQ457" s="93"/>
    </row>
    <row r="458" spans="1:43" ht="12.75" customHeight="1">
      <c r="A458" s="93"/>
      <c r="B458" s="93"/>
      <c r="C458" s="117"/>
      <c r="D458" s="93"/>
      <c r="E458" s="93"/>
      <c r="F458" s="93"/>
      <c r="G458" s="93"/>
      <c r="H458" s="93"/>
      <c r="I458" s="128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  <c r="AK458" s="93"/>
      <c r="AL458" s="93"/>
      <c r="AM458" s="93"/>
      <c r="AN458" s="93"/>
      <c r="AO458" s="93"/>
      <c r="AP458" s="93"/>
      <c r="AQ458" s="93"/>
    </row>
    <row r="459" spans="1:43" ht="12.75" customHeight="1">
      <c r="A459" s="93"/>
      <c r="B459" s="93"/>
      <c r="C459" s="117"/>
      <c r="D459" s="93"/>
      <c r="E459" s="93"/>
      <c r="F459" s="93"/>
      <c r="G459" s="93"/>
      <c r="H459" s="93"/>
      <c r="I459" s="128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  <c r="AK459" s="93"/>
      <c r="AL459" s="93"/>
      <c r="AM459" s="93"/>
      <c r="AN459" s="93"/>
      <c r="AO459" s="93"/>
      <c r="AP459" s="93"/>
      <c r="AQ459" s="93"/>
    </row>
    <row r="460" spans="1:43" ht="12.75" customHeight="1">
      <c r="A460" s="93"/>
      <c r="B460" s="93"/>
      <c r="C460" s="117"/>
      <c r="D460" s="93"/>
      <c r="E460" s="93"/>
      <c r="F460" s="93"/>
      <c r="G460" s="93"/>
      <c r="H460" s="93"/>
      <c r="I460" s="128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  <c r="AK460" s="93"/>
      <c r="AL460" s="93"/>
      <c r="AM460" s="93"/>
      <c r="AN460" s="93"/>
      <c r="AO460" s="93"/>
      <c r="AP460" s="93"/>
      <c r="AQ460" s="93"/>
    </row>
    <row r="461" spans="1:43" ht="12.75" customHeight="1">
      <c r="A461" s="93"/>
      <c r="B461" s="93"/>
      <c r="C461" s="117"/>
      <c r="D461" s="93"/>
      <c r="E461" s="93"/>
      <c r="F461" s="93"/>
      <c r="G461" s="93"/>
      <c r="H461" s="93"/>
      <c r="I461" s="128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</row>
    <row r="462" spans="1:43" ht="12.75" customHeight="1">
      <c r="A462" s="93"/>
      <c r="B462" s="93"/>
      <c r="C462" s="117"/>
      <c r="D462" s="93"/>
      <c r="E462" s="93"/>
      <c r="F462" s="93"/>
      <c r="G462" s="93"/>
      <c r="H462" s="93"/>
      <c r="I462" s="128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  <c r="AK462" s="93"/>
      <c r="AL462" s="93"/>
      <c r="AM462" s="93"/>
      <c r="AN462" s="93"/>
      <c r="AO462" s="93"/>
      <c r="AP462" s="93"/>
      <c r="AQ462" s="93"/>
    </row>
    <row r="463" spans="1:43" ht="12.75" customHeight="1">
      <c r="A463" s="93"/>
      <c r="B463" s="93"/>
      <c r="C463" s="117"/>
      <c r="D463" s="93"/>
      <c r="E463" s="93"/>
      <c r="F463" s="93"/>
      <c r="G463" s="93"/>
      <c r="H463" s="93"/>
      <c r="I463" s="128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  <c r="AK463" s="93"/>
      <c r="AL463" s="93"/>
      <c r="AM463" s="93"/>
      <c r="AN463" s="93"/>
      <c r="AO463" s="93"/>
      <c r="AP463" s="93"/>
      <c r="AQ463" s="93"/>
    </row>
    <row r="464" spans="1:43" ht="12.75" customHeight="1">
      <c r="A464" s="93"/>
      <c r="B464" s="93"/>
      <c r="C464" s="117"/>
      <c r="D464" s="93"/>
      <c r="E464" s="93"/>
      <c r="F464" s="93"/>
      <c r="G464" s="93"/>
      <c r="H464" s="93"/>
      <c r="I464" s="128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  <c r="AK464" s="93"/>
      <c r="AL464" s="93"/>
      <c r="AM464" s="93"/>
      <c r="AN464" s="93"/>
      <c r="AO464" s="93"/>
      <c r="AP464" s="93"/>
      <c r="AQ464" s="93"/>
    </row>
    <row r="465" spans="1:43" ht="12.75" customHeight="1">
      <c r="A465" s="93"/>
      <c r="B465" s="93"/>
      <c r="C465" s="117"/>
      <c r="D465" s="93"/>
      <c r="E465" s="93"/>
      <c r="F465" s="93"/>
      <c r="G465" s="93"/>
      <c r="H465" s="93"/>
      <c r="I465" s="128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  <c r="AK465" s="93"/>
      <c r="AL465" s="93"/>
      <c r="AM465" s="93"/>
      <c r="AN465" s="93"/>
      <c r="AO465" s="93"/>
      <c r="AP465" s="93"/>
      <c r="AQ465" s="93"/>
    </row>
    <row r="466" spans="1:43" ht="12.75" customHeight="1">
      <c r="A466" s="93"/>
      <c r="B466" s="93"/>
      <c r="C466" s="117"/>
      <c r="D466" s="93"/>
      <c r="E466" s="93"/>
      <c r="F466" s="93"/>
      <c r="G466" s="93"/>
      <c r="H466" s="93"/>
      <c r="I466" s="128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  <c r="AK466" s="93"/>
      <c r="AL466" s="93"/>
      <c r="AM466" s="93"/>
      <c r="AN466" s="93"/>
      <c r="AO466" s="93"/>
      <c r="AP466" s="93"/>
      <c r="AQ466" s="93"/>
    </row>
    <row r="467" spans="1:43" ht="12.75" customHeight="1">
      <c r="A467" s="93"/>
      <c r="B467" s="93"/>
      <c r="C467" s="117"/>
      <c r="D467" s="93"/>
      <c r="E467" s="93"/>
      <c r="F467" s="93"/>
      <c r="G467" s="93"/>
      <c r="H467" s="93"/>
      <c r="I467" s="128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  <c r="AK467" s="93"/>
      <c r="AL467" s="93"/>
      <c r="AM467" s="93"/>
      <c r="AN467" s="93"/>
      <c r="AO467" s="93"/>
      <c r="AP467" s="93"/>
      <c r="AQ467" s="93"/>
    </row>
    <row r="468" spans="1:43" ht="12.75" customHeight="1">
      <c r="A468" s="93"/>
      <c r="B468" s="93"/>
      <c r="C468" s="117"/>
      <c r="D468" s="93"/>
      <c r="E468" s="93"/>
      <c r="F468" s="93"/>
      <c r="G468" s="93"/>
      <c r="H468" s="93"/>
      <c r="I468" s="128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  <c r="AK468" s="93"/>
      <c r="AL468" s="93"/>
      <c r="AM468" s="93"/>
      <c r="AN468" s="93"/>
      <c r="AO468" s="93"/>
      <c r="AP468" s="93"/>
      <c r="AQ468" s="93"/>
    </row>
    <row r="469" spans="1:43" ht="12.75" customHeight="1">
      <c r="A469" s="93"/>
      <c r="B469" s="93"/>
      <c r="C469" s="117"/>
      <c r="D469" s="93"/>
      <c r="E469" s="93"/>
      <c r="F469" s="93"/>
      <c r="G469" s="93"/>
      <c r="H469" s="93"/>
      <c r="I469" s="128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  <c r="AK469" s="93"/>
      <c r="AL469" s="93"/>
      <c r="AM469" s="93"/>
      <c r="AN469" s="93"/>
      <c r="AO469" s="93"/>
      <c r="AP469" s="93"/>
      <c r="AQ469" s="93"/>
    </row>
    <row r="470" spans="1:43" ht="12.75" customHeight="1">
      <c r="A470" s="93"/>
      <c r="B470" s="93"/>
      <c r="C470" s="117"/>
      <c r="D470" s="93"/>
      <c r="E470" s="93"/>
      <c r="F470" s="93"/>
      <c r="G470" s="93"/>
      <c r="H470" s="93"/>
      <c r="I470" s="128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  <c r="AK470" s="93"/>
      <c r="AL470" s="93"/>
      <c r="AM470" s="93"/>
      <c r="AN470" s="93"/>
      <c r="AO470" s="93"/>
      <c r="AP470" s="93"/>
      <c r="AQ470" s="93"/>
    </row>
    <row r="471" spans="1:43" ht="12.75" customHeight="1">
      <c r="A471" s="93"/>
      <c r="B471" s="93"/>
      <c r="C471" s="117"/>
      <c r="D471" s="93"/>
      <c r="E471" s="93"/>
      <c r="F471" s="93"/>
      <c r="G471" s="93"/>
      <c r="H471" s="93"/>
      <c r="I471" s="128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  <c r="AK471" s="93"/>
      <c r="AL471" s="93"/>
      <c r="AM471" s="93"/>
      <c r="AN471" s="93"/>
      <c r="AO471" s="93"/>
      <c r="AP471" s="93"/>
      <c r="AQ471" s="93"/>
    </row>
    <row r="472" spans="1:43" ht="12.75" customHeight="1">
      <c r="A472" s="93"/>
      <c r="B472" s="93"/>
      <c r="C472" s="117"/>
      <c r="D472" s="93"/>
      <c r="E472" s="93"/>
      <c r="F472" s="93"/>
      <c r="G472" s="93"/>
      <c r="H472" s="93"/>
      <c r="I472" s="128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  <c r="AK472" s="93"/>
      <c r="AL472" s="93"/>
      <c r="AM472" s="93"/>
      <c r="AN472" s="93"/>
      <c r="AO472" s="93"/>
      <c r="AP472" s="93"/>
      <c r="AQ472" s="93"/>
    </row>
    <row r="473" spans="1:43" ht="12.75" customHeight="1">
      <c r="A473" s="93"/>
      <c r="B473" s="93"/>
      <c r="C473" s="117"/>
      <c r="D473" s="93"/>
      <c r="E473" s="93"/>
      <c r="F473" s="93"/>
      <c r="G473" s="93"/>
      <c r="H473" s="93"/>
      <c r="I473" s="128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  <c r="AK473" s="93"/>
      <c r="AL473" s="93"/>
      <c r="AM473" s="93"/>
      <c r="AN473" s="93"/>
      <c r="AO473" s="93"/>
      <c r="AP473" s="93"/>
      <c r="AQ473" s="93"/>
    </row>
    <row r="474" spans="1:43" ht="12.75" customHeight="1">
      <c r="A474" s="93"/>
      <c r="B474" s="93"/>
      <c r="C474" s="117"/>
      <c r="D474" s="93"/>
      <c r="E474" s="93"/>
      <c r="F474" s="93"/>
      <c r="G474" s="93"/>
      <c r="H474" s="93"/>
      <c r="I474" s="128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  <c r="AK474" s="93"/>
      <c r="AL474" s="93"/>
      <c r="AM474" s="93"/>
      <c r="AN474" s="93"/>
      <c r="AO474" s="93"/>
      <c r="AP474" s="93"/>
      <c r="AQ474" s="93"/>
    </row>
    <row r="475" spans="1:43" ht="12.75" customHeight="1">
      <c r="A475" s="93"/>
      <c r="B475" s="93"/>
      <c r="C475" s="117"/>
      <c r="D475" s="93"/>
      <c r="E475" s="93"/>
      <c r="F475" s="93"/>
      <c r="G475" s="93"/>
      <c r="H475" s="93"/>
      <c r="I475" s="128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  <c r="AK475" s="93"/>
      <c r="AL475" s="93"/>
      <c r="AM475" s="93"/>
      <c r="AN475" s="93"/>
      <c r="AO475" s="93"/>
      <c r="AP475" s="93"/>
      <c r="AQ475" s="93"/>
    </row>
    <row r="476" spans="1:43" ht="12.75" customHeight="1">
      <c r="A476" s="93"/>
      <c r="B476" s="93"/>
      <c r="C476" s="117"/>
      <c r="D476" s="93"/>
      <c r="E476" s="93"/>
      <c r="F476" s="93"/>
      <c r="G476" s="93"/>
      <c r="H476" s="93"/>
      <c r="I476" s="128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  <c r="AK476" s="93"/>
      <c r="AL476" s="93"/>
      <c r="AM476" s="93"/>
      <c r="AN476" s="93"/>
      <c r="AO476" s="93"/>
      <c r="AP476" s="93"/>
      <c r="AQ476" s="93"/>
    </row>
    <row r="477" spans="1:43" ht="12.75" customHeight="1">
      <c r="A477" s="93"/>
      <c r="B477" s="93"/>
      <c r="C477" s="117"/>
      <c r="D477" s="93"/>
      <c r="E477" s="93"/>
      <c r="F477" s="93"/>
      <c r="G477" s="93"/>
      <c r="H477" s="93"/>
      <c r="I477" s="128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  <c r="AK477" s="93"/>
      <c r="AL477" s="93"/>
      <c r="AM477" s="93"/>
      <c r="AN477" s="93"/>
      <c r="AO477" s="93"/>
      <c r="AP477" s="93"/>
      <c r="AQ477" s="93"/>
    </row>
    <row r="478" spans="1:43" ht="12.75" customHeight="1">
      <c r="A478" s="93"/>
      <c r="B478" s="93"/>
      <c r="C478" s="117"/>
      <c r="D478" s="93"/>
      <c r="E478" s="93"/>
      <c r="F478" s="93"/>
      <c r="G478" s="93"/>
      <c r="H478" s="93"/>
      <c r="I478" s="128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  <c r="AK478" s="93"/>
      <c r="AL478" s="93"/>
      <c r="AM478" s="93"/>
      <c r="AN478" s="93"/>
      <c r="AO478" s="93"/>
      <c r="AP478" s="93"/>
      <c r="AQ478" s="93"/>
    </row>
    <row r="479" spans="1:43" ht="12.75" customHeight="1">
      <c r="A479" s="93"/>
      <c r="B479" s="93"/>
      <c r="C479" s="117"/>
      <c r="D479" s="93"/>
      <c r="E479" s="93"/>
      <c r="F479" s="93"/>
      <c r="G479" s="93"/>
      <c r="H479" s="93"/>
      <c r="I479" s="128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  <c r="AJ479" s="93"/>
      <c r="AK479" s="93"/>
      <c r="AL479" s="93"/>
      <c r="AM479" s="93"/>
      <c r="AN479" s="93"/>
      <c r="AO479" s="93"/>
      <c r="AP479" s="93"/>
      <c r="AQ479" s="93"/>
    </row>
    <row r="480" spans="1:43" ht="12.75" customHeight="1">
      <c r="A480" s="93"/>
      <c r="B480" s="93"/>
      <c r="C480" s="117"/>
      <c r="D480" s="93"/>
      <c r="E480" s="93"/>
      <c r="F480" s="93"/>
      <c r="G480" s="93"/>
      <c r="H480" s="93"/>
      <c r="I480" s="128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  <c r="AK480" s="93"/>
      <c r="AL480" s="93"/>
      <c r="AM480" s="93"/>
      <c r="AN480" s="93"/>
      <c r="AO480" s="93"/>
      <c r="AP480" s="93"/>
      <c r="AQ480" s="93"/>
    </row>
    <row r="481" spans="1:43" ht="12.75" customHeight="1">
      <c r="A481" s="93"/>
      <c r="B481" s="93"/>
      <c r="C481" s="117"/>
      <c r="D481" s="93"/>
      <c r="E481" s="93"/>
      <c r="F481" s="93"/>
      <c r="G481" s="93"/>
      <c r="H481" s="93"/>
      <c r="I481" s="128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  <c r="AJ481" s="93"/>
      <c r="AK481" s="93"/>
      <c r="AL481" s="93"/>
      <c r="AM481" s="93"/>
      <c r="AN481" s="93"/>
      <c r="AO481" s="93"/>
      <c r="AP481" s="93"/>
      <c r="AQ481" s="93"/>
    </row>
    <row r="482" spans="1:43" ht="12.75" customHeight="1">
      <c r="A482" s="93"/>
      <c r="B482" s="93"/>
      <c r="C482" s="117"/>
      <c r="D482" s="93"/>
      <c r="E482" s="93"/>
      <c r="F482" s="93"/>
      <c r="G482" s="93"/>
      <c r="H482" s="93"/>
      <c r="I482" s="128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  <c r="AK482" s="93"/>
      <c r="AL482" s="93"/>
      <c r="AM482" s="93"/>
      <c r="AN482" s="93"/>
      <c r="AO482" s="93"/>
      <c r="AP482" s="93"/>
      <c r="AQ482" s="93"/>
    </row>
    <row r="483" spans="1:43" ht="12.75" customHeight="1">
      <c r="A483" s="93"/>
      <c r="B483" s="93"/>
      <c r="C483" s="117"/>
      <c r="D483" s="93"/>
      <c r="E483" s="93"/>
      <c r="F483" s="93"/>
      <c r="G483" s="93"/>
      <c r="H483" s="93"/>
      <c r="I483" s="128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  <c r="AF483" s="93"/>
      <c r="AG483" s="93"/>
      <c r="AH483" s="93"/>
      <c r="AI483" s="93"/>
      <c r="AJ483" s="93"/>
      <c r="AK483" s="93"/>
      <c r="AL483" s="93"/>
      <c r="AM483" s="93"/>
      <c r="AN483" s="93"/>
      <c r="AO483" s="93"/>
      <c r="AP483" s="93"/>
      <c r="AQ483" s="93"/>
    </row>
    <row r="484" spans="1:43" ht="12.75" customHeight="1">
      <c r="A484" s="93"/>
      <c r="B484" s="93"/>
      <c r="C484" s="117"/>
      <c r="D484" s="93"/>
      <c r="E484" s="93"/>
      <c r="F484" s="93"/>
      <c r="G484" s="93"/>
      <c r="H484" s="93"/>
      <c r="I484" s="128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  <c r="AJ484" s="93"/>
      <c r="AK484" s="93"/>
      <c r="AL484" s="93"/>
      <c r="AM484" s="93"/>
      <c r="AN484" s="93"/>
      <c r="AO484" s="93"/>
      <c r="AP484" s="93"/>
      <c r="AQ484" s="93"/>
    </row>
    <row r="485" spans="1:43" ht="12.75" customHeight="1">
      <c r="A485" s="93"/>
      <c r="B485" s="93"/>
      <c r="C485" s="117"/>
      <c r="D485" s="93"/>
      <c r="E485" s="93"/>
      <c r="F485" s="93"/>
      <c r="G485" s="93"/>
      <c r="H485" s="93"/>
      <c r="I485" s="128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G485" s="93"/>
      <c r="AH485" s="93"/>
      <c r="AI485" s="93"/>
      <c r="AJ485" s="93"/>
      <c r="AK485" s="93"/>
      <c r="AL485" s="93"/>
      <c r="AM485" s="93"/>
      <c r="AN485" s="93"/>
      <c r="AO485" s="93"/>
      <c r="AP485" s="93"/>
      <c r="AQ485" s="93"/>
    </row>
    <row r="486" spans="1:43" ht="12.75" customHeight="1">
      <c r="A486" s="93"/>
      <c r="B486" s="93"/>
      <c r="C486" s="117"/>
      <c r="D486" s="93"/>
      <c r="E486" s="93"/>
      <c r="F486" s="93"/>
      <c r="G486" s="93"/>
      <c r="H486" s="93"/>
      <c r="I486" s="128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  <c r="AK486" s="93"/>
      <c r="AL486" s="93"/>
      <c r="AM486" s="93"/>
      <c r="AN486" s="93"/>
      <c r="AO486" s="93"/>
      <c r="AP486" s="93"/>
      <c r="AQ486" s="93"/>
    </row>
    <row r="487" spans="1:43" ht="12.75" customHeight="1">
      <c r="A487" s="93"/>
      <c r="B487" s="93"/>
      <c r="C487" s="117"/>
      <c r="D487" s="93"/>
      <c r="E487" s="93"/>
      <c r="F487" s="93"/>
      <c r="G487" s="93"/>
      <c r="H487" s="93"/>
      <c r="I487" s="128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  <c r="AK487" s="93"/>
      <c r="AL487" s="93"/>
      <c r="AM487" s="93"/>
      <c r="AN487" s="93"/>
      <c r="AO487" s="93"/>
      <c r="AP487" s="93"/>
      <c r="AQ487" s="93"/>
    </row>
    <row r="488" spans="1:43" ht="12.75" customHeight="1">
      <c r="A488" s="93"/>
      <c r="B488" s="93"/>
      <c r="C488" s="117"/>
      <c r="D488" s="93"/>
      <c r="E488" s="93"/>
      <c r="F488" s="93"/>
      <c r="G488" s="93"/>
      <c r="H488" s="93"/>
      <c r="I488" s="128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  <c r="AK488" s="93"/>
      <c r="AL488" s="93"/>
      <c r="AM488" s="93"/>
      <c r="AN488" s="93"/>
      <c r="AO488" s="93"/>
      <c r="AP488" s="93"/>
      <c r="AQ488" s="93"/>
    </row>
    <row r="489" spans="1:43" ht="12.75" customHeight="1">
      <c r="A489" s="93"/>
      <c r="B489" s="93"/>
      <c r="C489" s="117"/>
      <c r="D489" s="93"/>
      <c r="E489" s="93"/>
      <c r="F489" s="93"/>
      <c r="G489" s="93"/>
      <c r="H489" s="93"/>
      <c r="I489" s="128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  <c r="AJ489" s="93"/>
      <c r="AK489" s="93"/>
      <c r="AL489" s="93"/>
      <c r="AM489" s="93"/>
      <c r="AN489" s="93"/>
      <c r="AO489" s="93"/>
      <c r="AP489" s="93"/>
      <c r="AQ489" s="93"/>
    </row>
    <row r="490" spans="1:43" ht="12.75" customHeight="1">
      <c r="A490" s="93"/>
      <c r="B490" s="93"/>
      <c r="C490" s="117"/>
      <c r="D490" s="93"/>
      <c r="E490" s="93"/>
      <c r="F490" s="93"/>
      <c r="G490" s="93"/>
      <c r="H490" s="93"/>
      <c r="I490" s="128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  <c r="AJ490" s="93"/>
      <c r="AK490" s="93"/>
      <c r="AL490" s="93"/>
      <c r="AM490" s="93"/>
      <c r="AN490" s="93"/>
      <c r="AO490" s="93"/>
      <c r="AP490" s="93"/>
      <c r="AQ490" s="93"/>
    </row>
    <row r="491" spans="1:43" ht="12.75" customHeight="1">
      <c r="A491" s="93"/>
      <c r="B491" s="93"/>
      <c r="C491" s="117"/>
      <c r="D491" s="93"/>
      <c r="E491" s="93"/>
      <c r="F491" s="93"/>
      <c r="G491" s="93"/>
      <c r="H491" s="93"/>
      <c r="I491" s="128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  <c r="AF491" s="93"/>
      <c r="AG491" s="93"/>
      <c r="AH491" s="93"/>
      <c r="AI491" s="93"/>
      <c r="AJ491" s="93"/>
      <c r="AK491" s="93"/>
      <c r="AL491" s="93"/>
      <c r="AM491" s="93"/>
      <c r="AN491" s="93"/>
      <c r="AO491" s="93"/>
      <c r="AP491" s="93"/>
      <c r="AQ491" s="93"/>
    </row>
    <row r="492" spans="1:43" ht="12.75" customHeight="1">
      <c r="A492" s="93"/>
      <c r="B492" s="93"/>
      <c r="C492" s="117"/>
      <c r="D492" s="93"/>
      <c r="E492" s="93"/>
      <c r="F492" s="93"/>
      <c r="G492" s="93"/>
      <c r="H492" s="93"/>
      <c r="I492" s="128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  <c r="AJ492" s="93"/>
      <c r="AK492" s="93"/>
      <c r="AL492" s="93"/>
      <c r="AM492" s="93"/>
      <c r="AN492" s="93"/>
      <c r="AO492" s="93"/>
      <c r="AP492" s="93"/>
      <c r="AQ492" s="93"/>
    </row>
    <row r="493" spans="1:43" ht="12.75" customHeight="1">
      <c r="A493" s="93"/>
      <c r="B493" s="93"/>
      <c r="C493" s="117"/>
      <c r="D493" s="93"/>
      <c r="E493" s="93"/>
      <c r="F493" s="93"/>
      <c r="G493" s="93"/>
      <c r="H493" s="93"/>
      <c r="I493" s="128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  <c r="AF493" s="93"/>
      <c r="AG493" s="93"/>
      <c r="AH493" s="93"/>
      <c r="AI493" s="93"/>
      <c r="AJ493" s="93"/>
      <c r="AK493" s="93"/>
      <c r="AL493" s="93"/>
      <c r="AM493" s="93"/>
      <c r="AN493" s="93"/>
      <c r="AO493" s="93"/>
      <c r="AP493" s="93"/>
      <c r="AQ493" s="93"/>
    </row>
    <row r="494" spans="1:43" ht="12.75" customHeight="1">
      <c r="A494" s="93"/>
      <c r="B494" s="93"/>
      <c r="C494" s="117"/>
      <c r="D494" s="93"/>
      <c r="E494" s="93"/>
      <c r="F494" s="93"/>
      <c r="G494" s="93"/>
      <c r="H494" s="93"/>
      <c r="I494" s="128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  <c r="AJ494" s="93"/>
      <c r="AK494" s="93"/>
      <c r="AL494" s="93"/>
      <c r="AM494" s="93"/>
      <c r="AN494" s="93"/>
      <c r="AO494" s="93"/>
      <c r="AP494" s="93"/>
      <c r="AQ494" s="93"/>
    </row>
    <row r="495" spans="1:43" ht="12.75" customHeight="1">
      <c r="A495" s="93"/>
      <c r="B495" s="93"/>
      <c r="C495" s="117"/>
      <c r="D495" s="93"/>
      <c r="E495" s="93"/>
      <c r="F495" s="93"/>
      <c r="G495" s="93"/>
      <c r="H495" s="93"/>
      <c r="I495" s="128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G495" s="93"/>
      <c r="AH495" s="93"/>
      <c r="AI495" s="93"/>
      <c r="AJ495" s="93"/>
      <c r="AK495" s="93"/>
      <c r="AL495" s="93"/>
      <c r="AM495" s="93"/>
      <c r="AN495" s="93"/>
      <c r="AO495" s="93"/>
      <c r="AP495" s="93"/>
      <c r="AQ495" s="93"/>
    </row>
    <row r="496" spans="1:43" ht="12.75" customHeight="1">
      <c r="A496" s="93"/>
      <c r="B496" s="93"/>
      <c r="C496" s="117"/>
      <c r="D496" s="93"/>
      <c r="E496" s="93"/>
      <c r="F496" s="93"/>
      <c r="G496" s="93"/>
      <c r="H496" s="93"/>
      <c r="I496" s="128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  <c r="AJ496" s="93"/>
      <c r="AK496" s="93"/>
      <c r="AL496" s="93"/>
      <c r="AM496" s="93"/>
      <c r="AN496" s="93"/>
      <c r="AO496" s="93"/>
      <c r="AP496" s="93"/>
      <c r="AQ496" s="93"/>
    </row>
    <row r="497" spans="1:43" ht="12.75" customHeight="1">
      <c r="A497" s="93"/>
      <c r="B497" s="93"/>
      <c r="C497" s="117"/>
      <c r="D497" s="93"/>
      <c r="E497" s="93"/>
      <c r="F497" s="93"/>
      <c r="G497" s="93"/>
      <c r="H497" s="93"/>
      <c r="I497" s="128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  <c r="AF497" s="93"/>
      <c r="AG497" s="93"/>
      <c r="AH497" s="93"/>
      <c r="AI497" s="93"/>
      <c r="AJ497" s="93"/>
      <c r="AK497" s="93"/>
      <c r="AL497" s="93"/>
      <c r="AM497" s="93"/>
      <c r="AN497" s="93"/>
      <c r="AO497" s="93"/>
      <c r="AP497" s="93"/>
      <c r="AQ497" s="93"/>
    </row>
    <row r="498" spans="1:43" ht="12.75" customHeight="1">
      <c r="A498" s="93"/>
      <c r="B498" s="93"/>
      <c r="C498" s="117"/>
      <c r="D498" s="93"/>
      <c r="E498" s="93"/>
      <c r="F498" s="93"/>
      <c r="G498" s="93"/>
      <c r="H498" s="93"/>
      <c r="I498" s="128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  <c r="AJ498" s="93"/>
      <c r="AK498" s="93"/>
      <c r="AL498" s="93"/>
      <c r="AM498" s="93"/>
      <c r="AN498" s="93"/>
      <c r="AO498" s="93"/>
      <c r="AP498" s="93"/>
      <c r="AQ498" s="93"/>
    </row>
    <row r="499" spans="1:43" ht="12.75" customHeight="1">
      <c r="A499" s="93"/>
      <c r="B499" s="93"/>
      <c r="C499" s="117"/>
      <c r="D499" s="93"/>
      <c r="E499" s="93"/>
      <c r="F499" s="93"/>
      <c r="G499" s="93"/>
      <c r="H499" s="93"/>
      <c r="I499" s="128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  <c r="AJ499" s="93"/>
      <c r="AK499" s="93"/>
      <c r="AL499" s="93"/>
      <c r="AM499" s="93"/>
      <c r="AN499" s="93"/>
      <c r="AO499" s="93"/>
      <c r="AP499" s="93"/>
      <c r="AQ499" s="93"/>
    </row>
    <row r="500" spans="1:43" ht="12.75" customHeight="1">
      <c r="A500" s="93"/>
      <c r="B500" s="93"/>
      <c r="C500" s="117"/>
      <c r="D500" s="93"/>
      <c r="E500" s="93"/>
      <c r="F500" s="93"/>
      <c r="G500" s="93"/>
      <c r="H500" s="93"/>
      <c r="I500" s="128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  <c r="AK500" s="93"/>
      <c r="AL500" s="93"/>
      <c r="AM500" s="93"/>
      <c r="AN500" s="93"/>
      <c r="AO500" s="93"/>
      <c r="AP500" s="93"/>
      <c r="AQ500" s="93"/>
    </row>
    <row r="501" spans="1:43" ht="12.75" customHeight="1">
      <c r="A501" s="93"/>
      <c r="B501" s="93"/>
      <c r="C501" s="117"/>
      <c r="D501" s="93"/>
      <c r="E501" s="93"/>
      <c r="F501" s="93"/>
      <c r="G501" s="93"/>
      <c r="H501" s="93"/>
      <c r="I501" s="128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  <c r="AJ501" s="93"/>
      <c r="AK501" s="93"/>
      <c r="AL501" s="93"/>
      <c r="AM501" s="93"/>
      <c r="AN501" s="93"/>
      <c r="AO501" s="93"/>
      <c r="AP501" s="93"/>
      <c r="AQ501" s="93"/>
    </row>
    <row r="502" spans="1:43" ht="12.75" customHeight="1">
      <c r="A502" s="93"/>
      <c r="B502" s="93"/>
      <c r="C502" s="117"/>
      <c r="D502" s="93"/>
      <c r="E502" s="93"/>
      <c r="F502" s="93"/>
      <c r="G502" s="93"/>
      <c r="H502" s="93"/>
      <c r="I502" s="128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  <c r="AK502" s="93"/>
      <c r="AL502" s="93"/>
      <c r="AM502" s="93"/>
      <c r="AN502" s="93"/>
      <c r="AO502" s="93"/>
      <c r="AP502" s="93"/>
      <c r="AQ502" s="93"/>
    </row>
    <row r="503" spans="1:43" ht="12.75" customHeight="1">
      <c r="A503" s="93"/>
      <c r="B503" s="93"/>
      <c r="C503" s="117"/>
      <c r="D503" s="93"/>
      <c r="E503" s="93"/>
      <c r="F503" s="93"/>
      <c r="G503" s="93"/>
      <c r="H503" s="93"/>
      <c r="I503" s="128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G503" s="93"/>
      <c r="AH503" s="93"/>
      <c r="AI503" s="93"/>
      <c r="AJ503" s="93"/>
      <c r="AK503" s="93"/>
      <c r="AL503" s="93"/>
      <c r="AM503" s="93"/>
      <c r="AN503" s="93"/>
      <c r="AO503" s="93"/>
      <c r="AP503" s="93"/>
      <c r="AQ503" s="93"/>
    </row>
    <row r="504" spans="1:43" ht="12.75" customHeight="1">
      <c r="A504" s="93"/>
      <c r="B504" s="93"/>
      <c r="C504" s="117"/>
      <c r="D504" s="93"/>
      <c r="E504" s="93"/>
      <c r="F504" s="93"/>
      <c r="G504" s="93"/>
      <c r="H504" s="93"/>
      <c r="I504" s="128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  <c r="AJ504" s="93"/>
      <c r="AK504" s="93"/>
      <c r="AL504" s="93"/>
      <c r="AM504" s="93"/>
      <c r="AN504" s="93"/>
      <c r="AO504" s="93"/>
      <c r="AP504" s="93"/>
      <c r="AQ504" s="93"/>
    </row>
    <row r="505" spans="1:43" ht="12.75" customHeight="1">
      <c r="A505" s="93"/>
      <c r="B505" s="93"/>
      <c r="C505" s="117"/>
      <c r="D505" s="93"/>
      <c r="E505" s="93"/>
      <c r="F505" s="93"/>
      <c r="G505" s="93"/>
      <c r="H505" s="93"/>
      <c r="I505" s="128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G505" s="93"/>
      <c r="AH505" s="93"/>
      <c r="AI505" s="93"/>
      <c r="AJ505" s="93"/>
      <c r="AK505" s="93"/>
      <c r="AL505" s="93"/>
      <c r="AM505" s="93"/>
      <c r="AN505" s="93"/>
      <c r="AO505" s="93"/>
      <c r="AP505" s="93"/>
      <c r="AQ505" s="93"/>
    </row>
    <row r="506" spans="1:43" ht="12.75" customHeight="1">
      <c r="A506" s="93"/>
      <c r="B506" s="93"/>
      <c r="C506" s="117"/>
      <c r="D506" s="93"/>
      <c r="E506" s="93"/>
      <c r="F506" s="93"/>
      <c r="G506" s="93"/>
      <c r="H506" s="93"/>
      <c r="I506" s="128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  <c r="AJ506" s="93"/>
      <c r="AK506" s="93"/>
      <c r="AL506" s="93"/>
      <c r="AM506" s="93"/>
      <c r="AN506" s="93"/>
      <c r="AO506" s="93"/>
      <c r="AP506" s="93"/>
      <c r="AQ506" s="93"/>
    </row>
    <row r="507" spans="1:43" ht="12.75" customHeight="1">
      <c r="A507" s="93"/>
      <c r="B507" s="93"/>
      <c r="C507" s="117"/>
      <c r="D507" s="93"/>
      <c r="E507" s="93"/>
      <c r="F507" s="93"/>
      <c r="G507" s="93"/>
      <c r="H507" s="93"/>
      <c r="I507" s="128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  <c r="AJ507" s="93"/>
      <c r="AK507" s="93"/>
      <c r="AL507" s="93"/>
      <c r="AM507" s="93"/>
      <c r="AN507" s="93"/>
      <c r="AO507" s="93"/>
      <c r="AP507" s="93"/>
      <c r="AQ507" s="93"/>
    </row>
    <row r="508" spans="1:43" ht="12.75" customHeight="1">
      <c r="A508" s="93"/>
      <c r="B508" s="93"/>
      <c r="C508" s="117"/>
      <c r="D508" s="93"/>
      <c r="E508" s="93"/>
      <c r="F508" s="93"/>
      <c r="G508" s="93"/>
      <c r="H508" s="93"/>
      <c r="I508" s="128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  <c r="AK508" s="93"/>
      <c r="AL508" s="93"/>
      <c r="AM508" s="93"/>
      <c r="AN508" s="93"/>
      <c r="AO508" s="93"/>
      <c r="AP508" s="93"/>
      <c r="AQ508" s="93"/>
    </row>
    <row r="509" spans="1:43" ht="12.75" customHeight="1">
      <c r="A509" s="93"/>
      <c r="B509" s="93"/>
      <c r="C509" s="117"/>
      <c r="D509" s="93"/>
      <c r="E509" s="93"/>
      <c r="F509" s="93"/>
      <c r="G509" s="93"/>
      <c r="H509" s="93"/>
      <c r="I509" s="128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  <c r="AK509" s="93"/>
      <c r="AL509" s="93"/>
      <c r="AM509" s="93"/>
      <c r="AN509" s="93"/>
      <c r="AO509" s="93"/>
      <c r="AP509" s="93"/>
      <c r="AQ509" s="93"/>
    </row>
    <row r="510" spans="1:43" ht="12.75" customHeight="1">
      <c r="A510" s="93"/>
      <c r="B510" s="93"/>
      <c r="C510" s="117"/>
      <c r="D510" s="93"/>
      <c r="E510" s="93"/>
      <c r="F510" s="93"/>
      <c r="G510" s="93"/>
      <c r="H510" s="93"/>
      <c r="I510" s="128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  <c r="AK510" s="93"/>
      <c r="AL510" s="93"/>
      <c r="AM510" s="93"/>
      <c r="AN510" s="93"/>
      <c r="AO510" s="93"/>
      <c r="AP510" s="93"/>
      <c r="AQ510" s="93"/>
    </row>
    <row r="511" spans="1:43" ht="12.75" customHeight="1">
      <c r="A511" s="93"/>
      <c r="B511" s="93"/>
      <c r="C511" s="117"/>
      <c r="D511" s="93"/>
      <c r="E511" s="93"/>
      <c r="F511" s="93"/>
      <c r="G511" s="93"/>
      <c r="H511" s="93"/>
      <c r="I511" s="128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  <c r="AF511" s="93"/>
      <c r="AG511" s="93"/>
      <c r="AH511" s="93"/>
      <c r="AI511" s="93"/>
      <c r="AJ511" s="93"/>
      <c r="AK511" s="93"/>
      <c r="AL511" s="93"/>
      <c r="AM511" s="93"/>
      <c r="AN511" s="93"/>
      <c r="AO511" s="93"/>
      <c r="AP511" s="93"/>
      <c r="AQ511" s="93"/>
    </row>
    <row r="512" spans="1:43" ht="12.75" customHeight="1">
      <c r="A512" s="93"/>
      <c r="B512" s="93"/>
      <c r="C512" s="117"/>
      <c r="D512" s="93"/>
      <c r="E512" s="93"/>
      <c r="F512" s="93"/>
      <c r="G512" s="93"/>
      <c r="H512" s="93"/>
      <c r="I512" s="128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  <c r="AK512" s="93"/>
      <c r="AL512" s="93"/>
      <c r="AM512" s="93"/>
      <c r="AN512" s="93"/>
      <c r="AO512" s="93"/>
      <c r="AP512" s="93"/>
      <c r="AQ512" s="93"/>
    </row>
    <row r="513" spans="1:43" ht="12.75" customHeight="1">
      <c r="A513" s="93"/>
      <c r="B513" s="93"/>
      <c r="C513" s="117"/>
      <c r="D513" s="93"/>
      <c r="E513" s="93"/>
      <c r="F513" s="93"/>
      <c r="G513" s="93"/>
      <c r="H513" s="93"/>
      <c r="I513" s="128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  <c r="AF513" s="93"/>
      <c r="AG513" s="93"/>
      <c r="AH513" s="93"/>
      <c r="AI513" s="93"/>
      <c r="AJ513" s="93"/>
      <c r="AK513" s="93"/>
      <c r="AL513" s="93"/>
      <c r="AM513" s="93"/>
      <c r="AN513" s="93"/>
      <c r="AO513" s="93"/>
      <c r="AP513" s="93"/>
      <c r="AQ513" s="93"/>
    </row>
    <row r="514" spans="1:43" ht="12.75" customHeight="1">
      <c r="A514" s="93"/>
      <c r="B514" s="93"/>
      <c r="C514" s="117"/>
      <c r="D514" s="93"/>
      <c r="E514" s="93"/>
      <c r="F514" s="93"/>
      <c r="G514" s="93"/>
      <c r="H514" s="93"/>
      <c r="I514" s="128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  <c r="AJ514" s="93"/>
      <c r="AK514" s="93"/>
      <c r="AL514" s="93"/>
      <c r="AM514" s="93"/>
      <c r="AN514" s="93"/>
      <c r="AO514" s="93"/>
      <c r="AP514" s="93"/>
      <c r="AQ514" s="93"/>
    </row>
    <row r="515" spans="1:43" ht="12.75" customHeight="1">
      <c r="A515" s="93"/>
      <c r="B515" s="93"/>
      <c r="C515" s="117"/>
      <c r="D515" s="93"/>
      <c r="E515" s="93"/>
      <c r="F515" s="93"/>
      <c r="G515" s="93"/>
      <c r="H515" s="93"/>
      <c r="I515" s="128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G515" s="93"/>
      <c r="AH515" s="93"/>
      <c r="AI515" s="93"/>
      <c r="AJ515" s="93"/>
      <c r="AK515" s="93"/>
      <c r="AL515" s="93"/>
      <c r="AM515" s="93"/>
      <c r="AN515" s="93"/>
      <c r="AO515" s="93"/>
      <c r="AP515" s="93"/>
      <c r="AQ515" s="93"/>
    </row>
    <row r="516" spans="1:43" ht="12.75" customHeight="1">
      <c r="A516" s="93"/>
      <c r="B516" s="93"/>
      <c r="C516" s="117"/>
      <c r="D516" s="93"/>
      <c r="E516" s="93"/>
      <c r="F516" s="93"/>
      <c r="G516" s="93"/>
      <c r="H516" s="93"/>
      <c r="I516" s="128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  <c r="AK516" s="93"/>
      <c r="AL516" s="93"/>
      <c r="AM516" s="93"/>
      <c r="AN516" s="93"/>
      <c r="AO516" s="93"/>
      <c r="AP516" s="93"/>
      <c r="AQ516" s="93"/>
    </row>
    <row r="517" spans="1:43" ht="12.75" customHeight="1">
      <c r="A517" s="93"/>
      <c r="B517" s="93"/>
      <c r="C517" s="117"/>
      <c r="D517" s="93"/>
      <c r="E517" s="93"/>
      <c r="F517" s="93"/>
      <c r="G517" s="93"/>
      <c r="H517" s="93"/>
      <c r="I517" s="128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  <c r="AF517" s="93"/>
      <c r="AG517" s="93"/>
      <c r="AH517" s="93"/>
      <c r="AI517" s="93"/>
      <c r="AJ517" s="93"/>
      <c r="AK517" s="93"/>
      <c r="AL517" s="93"/>
      <c r="AM517" s="93"/>
      <c r="AN517" s="93"/>
      <c r="AO517" s="93"/>
      <c r="AP517" s="93"/>
      <c r="AQ517" s="93"/>
    </row>
    <row r="518" spans="1:43" ht="12.75" customHeight="1">
      <c r="A518" s="93"/>
      <c r="B518" s="93"/>
      <c r="C518" s="117"/>
      <c r="D518" s="93"/>
      <c r="E518" s="93"/>
      <c r="F518" s="93"/>
      <c r="G518" s="93"/>
      <c r="H518" s="93"/>
      <c r="I518" s="128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  <c r="AK518" s="93"/>
      <c r="AL518" s="93"/>
      <c r="AM518" s="93"/>
      <c r="AN518" s="93"/>
      <c r="AO518" s="93"/>
      <c r="AP518" s="93"/>
      <c r="AQ518" s="93"/>
    </row>
    <row r="519" spans="1:43" ht="12.75" customHeight="1">
      <c r="A519" s="93"/>
      <c r="B519" s="93"/>
      <c r="C519" s="117"/>
      <c r="D519" s="93"/>
      <c r="E519" s="93"/>
      <c r="F519" s="93"/>
      <c r="G519" s="93"/>
      <c r="H519" s="93"/>
      <c r="I519" s="128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  <c r="AJ519" s="93"/>
      <c r="AK519" s="93"/>
      <c r="AL519" s="93"/>
      <c r="AM519" s="93"/>
      <c r="AN519" s="93"/>
      <c r="AO519" s="93"/>
      <c r="AP519" s="93"/>
      <c r="AQ519" s="93"/>
    </row>
    <row r="520" spans="1:43" ht="12.75" customHeight="1">
      <c r="A520" s="93"/>
      <c r="B520" s="93"/>
      <c r="C520" s="117"/>
      <c r="D520" s="93"/>
      <c r="E520" s="93"/>
      <c r="F520" s="93"/>
      <c r="G520" s="93"/>
      <c r="H520" s="93"/>
      <c r="I520" s="128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  <c r="AJ520" s="93"/>
      <c r="AK520" s="93"/>
      <c r="AL520" s="93"/>
      <c r="AM520" s="93"/>
      <c r="AN520" s="93"/>
      <c r="AO520" s="93"/>
      <c r="AP520" s="93"/>
      <c r="AQ520" s="93"/>
    </row>
    <row r="521" spans="1:43" ht="12.75" customHeight="1">
      <c r="A521" s="93"/>
      <c r="B521" s="93"/>
      <c r="C521" s="117"/>
      <c r="D521" s="93"/>
      <c r="E521" s="93"/>
      <c r="F521" s="93"/>
      <c r="G521" s="93"/>
      <c r="H521" s="93"/>
      <c r="I521" s="128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  <c r="AF521" s="93"/>
      <c r="AG521" s="93"/>
      <c r="AH521" s="93"/>
      <c r="AI521" s="93"/>
      <c r="AJ521" s="93"/>
      <c r="AK521" s="93"/>
      <c r="AL521" s="93"/>
      <c r="AM521" s="93"/>
      <c r="AN521" s="93"/>
      <c r="AO521" s="93"/>
      <c r="AP521" s="93"/>
      <c r="AQ521" s="93"/>
    </row>
    <row r="522" spans="1:43" ht="12.75" customHeight="1">
      <c r="A522" s="93"/>
      <c r="B522" s="93"/>
      <c r="C522" s="117"/>
      <c r="D522" s="93"/>
      <c r="E522" s="93"/>
      <c r="F522" s="93"/>
      <c r="G522" s="93"/>
      <c r="H522" s="93"/>
      <c r="I522" s="128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  <c r="AJ522" s="93"/>
      <c r="AK522" s="93"/>
      <c r="AL522" s="93"/>
      <c r="AM522" s="93"/>
      <c r="AN522" s="93"/>
      <c r="AO522" s="93"/>
      <c r="AP522" s="93"/>
      <c r="AQ522" s="93"/>
    </row>
    <row r="523" spans="1:43" ht="12.75" customHeight="1">
      <c r="A523" s="93"/>
      <c r="B523" s="93"/>
      <c r="C523" s="117"/>
      <c r="D523" s="93"/>
      <c r="E523" s="93"/>
      <c r="F523" s="93"/>
      <c r="G523" s="93"/>
      <c r="H523" s="93"/>
      <c r="I523" s="128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  <c r="AF523" s="93"/>
      <c r="AG523" s="93"/>
      <c r="AH523" s="93"/>
      <c r="AI523" s="93"/>
      <c r="AJ523" s="93"/>
      <c r="AK523" s="93"/>
      <c r="AL523" s="93"/>
      <c r="AM523" s="93"/>
      <c r="AN523" s="93"/>
      <c r="AO523" s="93"/>
      <c r="AP523" s="93"/>
      <c r="AQ523" s="93"/>
    </row>
    <row r="524" spans="1:43" ht="12.75" customHeight="1">
      <c r="A524" s="93"/>
      <c r="B524" s="93"/>
      <c r="C524" s="117"/>
      <c r="D524" s="93"/>
      <c r="E524" s="93"/>
      <c r="F524" s="93"/>
      <c r="G524" s="93"/>
      <c r="H524" s="93"/>
      <c r="I524" s="128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  <c r="AJ524" s="93"/>
      <c r="AK524" s="93"/>
      <c r="AL524" s="93"/>
      <c r="AM524" s="93"/>
      <c r="AN524" s="93"/>
      <c r="AO524" s="93"/>
      <c r="AP524" s="93"/>
      <c r="AQ524" s="93"/>
    </row>
    <row r="525" spans="1:43" ht="12.75" customHeight="1">
      <c r="A525" s="93"/>
      <c r="B525" s="93"/>
      <c r="C525" s="117"/>
      <c r="D525" s="93"/>
      <c r="E525" s="93"/>
      <c r="F525" s="93"/>
      <c r="G525" s="93"/>
      <c r="H525" s="93"/>
      <c r="I525" s="128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G525" s="93"/>
      <c r="AH525" s="93"/>
      <c r="AI525" s="93"/>
      <c r="AJ525" s="93"/>
      <c r="AK525" s="93"/>
      <c r="AL525" s="93"/>
      <c r="AM525" s="93"/>
      <c r="AN525" s="93"/>
      <c r="AO525" s="93"/>
      <c r="AP525" s="93"/>
      <c r="AQ525" s="93"/>
    </row>
    <row r="526" spans="1:43" ht="12.75" customHeight="1">
      <c r="A526" s="93"/>
      <c r="B526" s="93"/>
      <c r="C526" s="117"/>
      <c r="D526" s="93"/>
      <c r="E526" s="93"/>
      <c r="F526" s="93"/>
      <c r="G526" s="93"/>
      <c r="H526" s="93"/>
      <c r="I526" s="128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  <c r="AK526" s="93"/>
      <c r="AL526" s="93"/>
      <c r="AM526" s="93"/>
      <c r="AN526" s="93"/>
      <c r="AO526" s="93"/>
      <c r="AP526" s="93"/>
      <c r="AQ526" s="93"/>
    </row>
    <row r="527" spans="1:43" ht="12.75" customHeight="1">
      <c r="A527" s="93"/>
      <c r="B527" s="93"/>
      <c r="C527" s="117"/>
      <c r="D527" s="93"/>
      <c r="E527" s="93"/>
      <c r="F527" s="93"/>
      <c r="G527" s="93"/>
      <c r="H527" s="93"/>
      <c r="I527" s="128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  <c r="AF527" s="93"/>
      <c r="AG527" s="93"/>
      <c r="AH527" s="93"/>
      <c r="AI527" s="93"/>
      <c r="AJ527" s="93"/>
      <c r="AK527" s="93"/>
      <c r="AL527" s="93"/>
      <c r="AM527" s="93"/>
      <c r="AN527" s="93"/>
      <c r="AO527" s="93"/>
      <c r="AP527" s="93"/>
      <c r="AQ527" s="93"/>
    </row>
    <row r="528" spans="1:43" ht="12.75" customHeight="1">
      <c r="A528" s="93"/>
      <c r="B528" s="93"/>
      <c r="C528" s="117"/>
      <c r="D528" s="93"/>
      <c r="E528" s="93"/>
      <c r="F528" s="93"/>
      <c r="G528" s="93"/>
      <c r="H528" s="93"/>
      <c r="I528" s="128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  <c r="AK528" s="93"/>
      <c r="AL528" s="93"/>
      <c r="AM528" s="93"/>
      <c r="AN528" s="93"/>
      <c r="AO528" s="93"/>
      <c r="AP528" s="93"/>
      <c r="AQ528" s="93"/>
    </row>
    <row r="529" spans="1:43" ht="12.75" customHeight="1">
      <c r="A529" s="93"/>
      <c r="B529" s="93"/>
      <c r="C529" s="117"/>
      <c r="D529" s="93"/>
      <c r="E529" s="93"/>
      <c r="F529" s="93"/>
      <c r="G529" s="93"/>
      <c r="H529" s="93"/>
      <c r="I529" s="128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  <c r="AJ529" s="93"/>
      <c r="AK529" s="93"/>
      <c r="AL529" s="93"/>
      <c r="AM529" s="93"/>
      <c r="AN529" s="93"/>
      <c r="AO529" s="93"/>
      <c r="AP529" s="93"/>
      <c r="AQ529" s="93"/>
    </row>
    <row r="530" spans="1:43" ht="12.75" customHeight="1">
      <c r="A530" s="93"/>
      <c r="B530" s="93"/>
      <c r="C530" s="117"/>
      <c r="D530" s="93"/>
      <c r="E530" s="93"/>
      <c r="F530" s="93"/>
      <c r="G530" s="93"/>
      <c r="H530" s="93"/>
      <c r="I530" s="128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  <c r="AJ530" s="93"/>
      <c r="AK530" s="93"/>
      <c r="AL530" s="93"/>
      <c r="AM530" s="93"/>
      <c r="AN530" s="93"/>
      <c r="AO530" s="93"/>
      <c r="AP530" s="93"/>
      <c r="AQ530" s="93"/>
    </row>
    <row r="531" spans="1:43" ht="12.75" customHeight="1">
      <c r="A531" s="93"/>
      <c r="B531" s="93"/>
      <c r="C531" s="117"/>
      <c r="D531" s="93"/>
      <c r="E531" s="93"/>
      <c r="F531" s="93"/>
      <c r="G531" s="93"/>
      <c r="H531" s="93"/>
      <c r="I531" s="128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  <c r="AF531" s="93"/>
      <c r="AG531" s="93"/>
      <c r="AH531" s="93"/>
      <c r="AI531" s="93"/>
      <c r="AJ531" s="93"/>
      <c r="AK531" s="93"/>
      <c r="AL531" s="93"/>
      <c r="AM531" s="93"/>
      <c r="AN531" s="93"/>
      <c r="AO531" s="93"/>
      <c r="AP531" s="93"/>
      <c r="AQ531" s="93"/>
    </row>
    <row r="532" spans="1:43" ht="12.75" customHeight="1">
      <c r="A532" s="93"/>
      <c r="B532" s="93"/>
      <c r="C532" s="117"/>
      <c r="D532" s="93"/>
      <c r="E532" s="93"/>
      <c r="F532" s="93"/>
      <c r="G532" s="93"/>
      <c r="H532" s="93"/>
      <c r="I532" s="128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  <c r="AJ532" s="93"/>
      <c r="AK532" s="93"/>
      <c r="AL532" s="93"/>
      <c r="AM532" s="93"/>
      <c r="AN532" s="93"/>
      <c r="AO532" s="93"/>
      <c r="AP532" s="93"/>
      <c r="AQ532" s="93"/>
    </row>
    <row r="533" spans="1:43" ht="12.75" customHeight="1">
      <c r="A533" s="93"/>
      <c r="B533" s="93"/>
      <c r="C533" s="117"/>
      <c r="D533" s="93"/>
      <c r="E533" s="93"/>
      <c r="F533" s="93"/>
      <c r="G533" s="93"/>
      <c r="H533" s="93"/>
      <c r="I533" s="128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  <c r="AF533" s="93"/>
      <c r="AG533" s="93"/>
      <c r="AH533" s="93"/>
      <c r="AI533" s="93"/>
      <c r="AJ533" s="93"/>
      <c r="AK533" s="93"/>
      <c r="AL533" s="93"/>
      <c r="AM533" s="93"/>
      <c r="AN533" s="93"/>
      <c r="AO533" s="93"/>
      <c r="AP533" s="93"/>
      <c r="AQ533" s="93"/>
    </row>
    <row r="534" spans="1:43" ht="12.75" customHeight="1">
      <c r="A534" s="93"/>
      <c r="B534" s="93"/>
      <c r="C534" s="117"/>
      <c r="D534" s="93"/>
      <c r="E534" s="93"/>
      <c r="F534" s="93"/>
      <c r="G534" s="93"/>
      <c r="H534" s="93"/>
      <c r="I534" s="128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  <c r="AJ534" s="93"/>
      <c r="AK534" s="93"/>
      <c r="AL534" s="93"/>
      <c r="AM534" s="93"/>
      <c r="AN534" s="93"/>
      <c r="AO534" s="93"/>
      <c r="AP534" s="93"/>
      <c r="AQ534" s="93"/>
    </row>
    <row r="535" spans="1:43" ht="12.75" customHeight="1">
      <c r="A535" s="93"/>
      <c r="B535" s="93"/>
      <c r="C535" s="117"/>
      <c r="D535" s="93"/>
      <c r="E535" s="93"/>
      <c r="F535" s="93"/>
      <c r="G535" s="93"/>
      <c r="H535" s="93"/>
      <c r="I535" s="128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G535" s="93"/>
      <c r="AH535" s="93"/>
      <c r="AI535" s="93"/>
      <c r="AJ535" s="93"/>
      <c r="AK535" s="93"/>
      <c r="AL535" s="93"/>
      <c r="AM535" s="93"/>
      <c r="AN535" s="93"/>
      <c r="AO535" s="93"/>
      <c r="AP535" s="93"/>
      <c r="AQ535" s="93"/>
    </row>
    <row r="536" spans="1:43" ht="12.75" customHeight="1">
      <c r="A536" s="93"/>
      <c r="B536" s="93"/>
      <c r="C536" s="117"/>
      <c r="D536" s="93"/>
      <c r="E536" s="93"/>
      <c r="F536" s="93"/>
      <c r="G536" s="93"/>
      <c r="H536" s="93"/>
      <c r="I536" s="128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  <c r="AJ536" s="93"/>
      <c r="AK536" s="93"/>
      <c r="AL536" s="93"/>
      <c r="AM536" s="93"/>
      <c r="AN536" s="93"/>
      <c r="AO536" s="93"/>
      <c r="AP536" s="93"/>
      <c r="AQ536" s="93"/>
    </row>
    <row r="537" spans="1:43" ht="12.75" customHeight="1">
      <c r="A537" s="93"/>
      <c r="B537" s="93"/>
      <c r="C537" s="117"/>
      <c r="D537" s="93"/>
      <c r="E537" s="93"/>
      <c r="F537" s="93"/>
      <c r="G537" s="93"/>
      <c r="H537" s="93"/>
      <c r="I537" s="128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  <c r="AF537" s="93"/>
      <c r="AG537" s="93"/>
      <c r="AH537" s="93"/>
      <c r="AI537" s="93"/>
      <c r="AJ537" s="93"/>
      <c r="AK537" s="93"/>
      <c r="AL537" s="93"/>
      <c r="AM537" s="93"/>
      <c r="AN537" s="93"/>
      <c r="AO537" s="93"/>
      <c r="AP537" s="93"/>
      <c r="AQ537" s="93"/>
    </row>
    <row r="538" spans="1:43" ht="12.75" customHeight="1">
      <c r="A538" s="93"/>
      <c r="B538" s="93"/>
      <c r="C538" s="117"/>
      <c r="D538" s="93"/>
      <c r="E538" s="93"/>
      <c r="F538" s="93"/>
      <c r="G538" s="93"/>
      <c r="H538" s="93"/>
      <c r="I538" s="128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  <c r="AJ538" s="93"/>
      <c r="AK538" s="93"/>
      <c r="AL538" s="93"/>
      <c r="AM538" s="93"/>
      <c r="AN538" s="93"/>
      <c r="AO538" s="93"/>
      <c r="AP538" s="93"/>
      <c r="AQ538" s="93"/>
    </row>
    <row r="539" spans="1:43" ht="12.75" customHeight="1">
      <c r="A539" s="93"/>
      <c r="B539" s="93"/>
      <c r="C539" s="117"/>
      <c r="D539" s="93"/>
      <c r="E539" s="93"/>
      <c r="F539" s="93"/>
      <c r="G539" s="93"/>
      <c r="H539" s="93"/>
      <c r="I539" s="128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  <c r="AJ539" s="93"/>
      <c r="AK539" s="93"/>
      <c r="AL539" s="93"/>
      <c r="AM539" s="93"/>
      <c r="AN539" s="93"/>
      <c r="AO539" s="93"/>
      <c r="AP539" s="93"/>
      <c r="AQ539" s="93"/>
    </row>
    <row r="540" spans="1:43" ht="12.75" customHeight="1">
      <c r="A540" s="93"/>
      <c r="B540" s="93"/>
      <c r="C540" s="117"/>
      <c r="D540" s="93"/>
      <c r="E540" s="93"/>
      <c r="F540" s="93"/>
      <c r="G540" s="93"/>
      <c r="H540" s="93"/>
      <c r="I540" s="128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  <c r="AJ540" s="93"/>
      <c r="AK540" s="93"/>
      <c r="AL540" s="93"/>
      <c r="AM540" s="93"/>
      <c r="AN540" s="93"/>
      <c r="AO540" s="93"/>
      <c r="AP540" s="93"/>
      <c r="AQ540" s="93"/>
    </row>
    <row r="541" spans="1:43" ht="12.75" customHeight="1">
      <c r="A541" s="93"/>
      <c r="B541" s="93"/>
      <c r="C541" s="117"/>
      <c r="D541" s="93"/>
      <c r="E541" s="93"/>
      <c r="F541" s="93"/>
      <c r="G541" s="93"/>
      <c r="H541" s="93"/>
      <c r="I541" s="128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  <c r="AJ541" s="93"/>
      <c r="AK541" s="93"/>
      <c r="AL541" s="93"/>
      <c r="AM541" s="93"/>
      <c r="AN541" s="93"/>
      <c r="AO541" s="93"/>
      <c r="AP541" s="93"/>
      <c r="AQ541" s="93"/>
    </row>
    <row r="542" spans="1:43" ht="12.75" customHeight="1">
      <c r="A542" s="93"/>
      <c r="B542" s="93"/>
      <c r="C542" s="117"/>
      <c r="D542" s="93"/>
      <c r="E542" s="93"/>
      <c r="F542" s="93"/>
      <c r="G542" s="93"/>
      <c r="H542" s="93"/>
      <c r="I542" s="128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  <c r="AJ542" s="93"/>
      <c r="AK542" s="93"/>
      <c r="AL542" s="93"/>
      <c r="AM542" s="93"/>
      <c r="AN542" s="93"/>
      <c r="AO542" s="93"/>
      <c r="AP542" s="93"/>
      <c r="AQ542" s="93"/>
    </row>
    <row r="543" spans="1:43" ht="12.75" customHeight="1">
      <c r="A543" s="93"/>
      <c r="B543" s="93"/>
      <c r="C543" s="117"/>
      <c r="D543" s="93"/>
      <c r="E543" s="93"/>
      <c r="F543" s="93"/>
      <c r="G543" s="93"/>
      <c r="H543" s="93"/>
      <c r="I543" s="128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  <c r="AJ543" s="93"/>
      <c r="AK543" s="93"/>
      <c r="AL543" s="93"/>
      <c r="AM543" s="93"/>
      <c r="AN543" s="93"/>
      <c r="AO543" s="93"/>
      <c r="AP543" s="93"/>
      <c r="AQ543" s="93"/>
    </row>
    <row r="544" spans="1:43" ht="12.75" customHeight="1">
      <c r="A544" s="93"/>
      <c r="B544" s="93"/>
      <c r="C544" s="117"/>
      <c r="D544" s="93"/>
      <c r="E544" s="93"/>
      <c r="F544" s="93"/>
      <c r="G544" s="93"/>
      <c r="H544" s="93"/>
      <c r="I544" s="128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93"/>
    </row>
    <row r="545" spans="1:43" ht="12.75" customHeight="1">
      <c r="A545" s="93"/>
      <c r="B545" s="93"/>
      <c r="C545" s="117"/>
      <c r="D545" s="93"/>
      <c r="E545" s="93"/>
      <c r="F545" s="93"/>
      <c r="G545" s="93"/>
      <c r="H545" s="93"/>
      <c r="I545" s="128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93"/>
    </row>
    <row r="546" spans="1:43" ht="12.75" customHeight="1">
      <c r="A546" s="93"/>
      <c r="B546" s="93"/>
      <c r="C546" s="117"/>
      <c r="D546" s="93"/>
      <c r="E546" s="93"/>
      <c r="F546" s="93"/>
      <c r="G546" s="93"/>
      <c r="H546" s="93"/>
      <c r="I546" s="128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93"/>
    </row>
    <row r="547" spans="1:43" ht="12.75" customHeight="1">
      <c r="A547" s="93"/>
      <c r="B547" s="93"/>
      <c r="C547" s="117"/>
      <c r="D547" s="93"/>
      <c r="E547" s="93"/>
      <c r="F547" s="93"/>
      <c r="G547" s="93"/>
      <c r="H547" s="93"/>
      <c r="I547" s="128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93"/>
    </row>
    <row r="548" spans="1:43" ht="12.75" customHeight="1">
      <c r="A548" s="93"/>
      <c r="B548" s="93"/>
      <c r="C548" s="117"/>
      <c r="D548" s="93"/>
      <c r="E548" s="93"/>
      <c r="F548" s="93"/>
      <c r="G548" s="93"/>
      <c r="H548" s="93"/>
      <c r="I548" s="128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93"/>
    </row>
    <row r="549" spans="1:43" ht="12.75" customHeight="1">
      <c r="A549" s="93"/>
      <c r="B549" s="93"/>
      <c r="C549" s="117"/>
      <c r="D549" s="93"/>
      <c r="E549" s="93"/>
      <c r="F549" s="93"/>
      <c r="G549" s="93"/>
      <c r="H549" s="93"/>
      <c r="I549" s="128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  <c r="AJ549" s="93"/>
      <c r="AK549" s="93"/>
      <c r="AL549" s="93"/>
      <c r="AM549" s="93"/>
      <c r="AN549" s="93"/>
      <c r="AO549" s="93"/>
      <c r="AP549" s="93"/>
      <c r="AQ549" s="93"/>
    </row>
    <row r="550" spans="1:43" ht="12.75" customHeight="1">
      <c r="A550" s="93"/>
      <c r="B550" s="93"/>
      <c r="C550" s="117"/>
      <c r="D550" s="93"/>
      <c r="E550" s="93"/>
      <c r="F550" s="93"/>
      <c r="G550" s="93"/>
      <c r="H550" s="93"/>
      <c r="I550" s="128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  <c r="AJ550" s="93"/>
      <c r="AK550" s="93"/>
      <c r="AL550" s="93"/>
      <c r="AM550" s="93"/>
      <c r="AN550" s="93"/>
      <c r="AO550" s="93"/>
      <c r="AP550" s="93"/>
      <c r="AQ550" s="93"/>
    </row>
    <row r="551" spans="1:43" ht="12.75" customHeight="1">
      <c r="A551" s="93"/>
      <c r="B551" s="93"/>
      <c r="C551" s="117"/>
      <c r="D551" s="93"/>
      <c r="E551" s="93"/>
      <c r="F551" s="93"/>
      <c r="G551" s="93"/>
      <c r="H551" s="93"/>
      <c r="I551" s="128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  <c r="AJ551" s="93"/>
      <c r="AK551" s="93"/>
      <c r="AL551" s="93"/>
      <c r="AM551" s="93"/>
      <c r="AN551" s="93"/>
      <c r="AO551" s="93"/>
      <c r="AP551" s="93"/>
      <c r="AQ551" s="93"/>
    </row>
    <row r="552" spans="1:43" ht="12.75" customHeight="1">
      <c r="A552" s="93"/>
      <c r="B552" s="93"/>
      <c r="C552" s="117"/>
      <c r="D552" s="93"/>
      <c r="E552" s="93"/>
      <c r="F552" s="93"/>
      <c r="G552" s="93"/>
      <c r="H552" s="93"/>
      <c r="I552" s="128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  <c r="AJ552" s="93"/>
      <c r="AK552" s="93"/>
      <c r="AL552" s="93"/>
      <c r="AM552" s="93"/>
      <c r="AN552" s="93"/>
      <c r="AO552" s="93"/>
      <c r="AP552" s="93"/>
      <c r="AQ552" s="93"/>
    </row>
    <row r="553" spans="1:43" ht="12.75" customHeight="1">
      <c r="A553" s="93"/>
      <c r="B553" s="93"/>
      <c r="C553" s="117"/>
      <c r="D553" s="93"/>
      <c r="E553" s="93"/>
      <c r="F553" s="93"/>
      <c r="G553" s="93"/>
      <c r="H553" s="93"/>
      <c r="I553" s="128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  <c r="AJ553" s="93"/>
      <c r="AK553" s="93"/>
      <c r="AL553" s="93"/>
      <c r="AM553" s="93"/>
      <c r="AN553" s="93"/>
      <c r="AO553" s="93"/>
      <c r="AP553" s="93"/>
      <c r="AQ553" s="93"/>
    </row>
    <row r="554" spans="1:43" ht="12.75" customHeight="1">
      <c r="A554" s="93"/>
      <c r="B554" s="93"/>
      <c r="C554" s="117"/>
      <c r="D554" s="93"/>
      <c r="E554" s="93"/>
      <c r="F554" s="93"/>
      <c r="G554" s="93"/>
      <c r="H554" s="93"/>
      <c r="I554" s="128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  <c r="AJ554" s="93"/>
      <c r="AK554" s="93"/>
      <c r="AL554" s="93"/>
      <c r="AM554" s="93"/>
      <c r="AN554" s="93"/>
      <c r="AO554" s="93"/>
      <c r="AP554" s="93"/>
      <c r="AQ554" s="93"/>
    </row>
    <row r="555" spans="1:43" ht="12.75" customHeight="1">
      <c r="A555" s="93"/>
      <c r="B555" s="93"/>
      <c r="C555" s="117"/>
      <c r="D555" s="93"/>
      <c r="E555" s="93"/>
      <c r="F555" s="93"/>
      <c r="G555" s="93"/>
      <c r="H555" s="93"/>
      <c r="I555" s="128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  <c r="AJ555" s="93"/>
      <c r="AK555" s="93"/>
      <c r="AL555" s="93"/>
      <c r="AM555" s="93"/>
      <c r="AN555" s="93"/>
      <c r="AO555" s="93"/>
      <c r="AP555" s="93"/>
      <c r="AQ555" s="93"/>
    </row>
    <row r="556" spans="1:43" ht="12.75" customHeight="1">
      <c r="A556" s="93"/>
      <c r="B556" s="93"/>
      <c r="C556" s="117"/>
      <c r="D556" s="93"/>
      <c r="E556" s="93"/>
      <c r="F556" s="93"/>
      <c r="G556" s="93"/>
      <c r="H556" s="93"/>
      <c r="I556" s="128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  <c r="AJ556" s="93"/>
      <c r="AK556" s="93"/>
      <c r="AL556" s="93"/>
      <c r="AM556" s="93"/>
      <c r="AN556" s="93"/>
      <c r="AO556" s="93"/>
      <c r="AP556" s="93"/>
      <c r="AQ556" s="93"/>
    </row>
    <row r="557" spans="1:43" ht="12.75" customHeight="1">
      <c r="A557" s="93"/>
      <c r="B557" s="93"/>
      <c r="C557" s="117"/>
      <c r="D557" s="93"/>
      <c r="E557" s="93"/>
      <c r="F557" s="93"/>
      <c r="G557" s="93"/>
      <c r="H557" s="93"/>
      <c r="I557" s="128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</row>
    <row r="558" spans="1:43" ht="12.75" customHeight="1">
      <c r="A558" s="93"/>
      <c r="B558" s="93"/>
      <c r="C558" s="117"/>
      <c r="D558" s="93"/>
      <c r="E558" s="93"/>
      <c r="F558" s="93"/>
      <c r="G558" s="93"/>
      <c r="H558" s="93"/>
      <c r="I558" s="128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  <c r="AJ558" s="93"/>
      <c r="AK558" s="93"/>
      <c r="AL558" s="93"/>
      <c r="AM558" s="93"/>
      <c r="AN558" s="93"/>
      <c r="AO558" s="93"/>
      <c r="AP558" s="93"/>
      <c r="AQ558" s="93"/>
    </row>
    <row r="559" spans="1:43" ht="12.75" customHeight="1">
      <c r="A559" s="93"/>
      <c r="B559" s="93"/>
      <c r="C559" s="117"/>
      <c r="D559" s="93"/>
      <c r="E559" s="93"/>
      <c r="F559" s="93"/>
      <c r="G559" s="93"/>
      <c r="H559" s="93"/>
      <c r="I559" s="128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</row>
    <row r="560" spans="1:43" ht="12.75" customHeight="1">
      <c r="A560" s="93"/>
      <c r="B560" s="93"/>
      <c r="C560" s="117"/>
      <c r="D560" s="93"/>
      <c r="E560" s="93"/>
      <c r="F560" s="93"/>
      <c r="G560" s="93"/>
      <c r="H560" s="93"/>
      <c r="I560" s="128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  <c r="AJ560" s="93"/>
      <c r="AK560" s="93"/>
      <c r="AL560" s="93"/>
      <c r="AM560" s="93"/>
      <c r="AN560" s="93"/>
      <c r="AO560" s="93"/>
      <c r="AP560" s="93"/>
      <c r="AQ560" s="93"/>
    </row>
    <row r="561" spans="1:43" ht="12.75" customHeight="1">
      <c r="A561" s="93"/>
      <c r="B561" s="93"/>
      <c r="C561" s="117"/>
      <c r="D561" s="93"/>
      <c r="E561" s="93"/>
      <c r="F561" s="93"/>
      <c r="G561" s="93"/>
      <c r="H561" s="93"/>
      <c r="I561" s="128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</row>
    <row r="562" spans="1:43" ht="12.75" customHeight="1">
      <c r="A562" s="93"/>
      <c r="B562" s="93"/>
      <c r="C562" s="117"/>
      <c r="D562" s="93"/>
      <c r="E562" s="93"/>
      <c r="F562" s="93"/>
      <c r="G562" s="93"/>
      <c r="H562" s="93"/>
      <c r="I562" s="128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  <c r="AJ562" s="93"/>
      <c r="AK562" s="93"/>
      <c r="AL562" s="93"/>
      <c r="AM562" s="93"/>
      <c r="AN562" s="93"/>
      <c r="AO562" s="93"/>
      <c r="AP562" s="93"/>
      <c r="AQ562" s="93"/>
    </row>
    <row r="563" spans="1:43" ht="12.75" customHeight="1">
      <c r="A563" s="93"/>
      <c r="B563" s="93"/>
      <c r="C563" s="117"/>
      <c r="D563" s="93"/>
      <c r="E563" s="93"/>
      <c r="F563" s="93"/>
      <c r="G563" s="93"/>
      <c r="H563" s="93"/>
      <c r="I563" s="128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</row>
    <row r="564" spans="1:43" ht="12.75" customHeight="1">
      <c r="A564" s="93"/>
      <c r="B564" s="93"/>
      <c r="C564" s="117"/>
      <c r="D564" s="93"/>
      <c r="E564" s="93"/>
      <c r="F564" s="93"/>
      <c r="G564" s="93"/>
      <c r="H564" s="93"/>
      <c r="I564" s="128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  <c r="AK564" s="93"/>
      <c r="AL564" s="93"/>
      <c r="AM564" s="93"/>
      <c r="AN564" s="93"/>
      <c r="AO564" s="93"/>
      <c r="AP564" s="93"/>
      <c r="AQ564" s="93"/>
    </row>
    <row r="565" spans="1:43" ht="12.75" customHeight="1">
      <c r="A565" s="93"/>
      <c r="B565" s="93"/>
      <c r="C565" s="117"/>
      <c r="D565" s="93"/>
      <c r="E565" s="93"/>
      <c r="F565" s="93"/>
      <c r="G565" s="93"/>
      <c r="H565" s="93"/>
      <c r="I565" s="128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</row>
    <row r="566" spans="1:43" ht="12.75" customHeight="1">
      <c r="A566" s="93"/>
      <c r="B566" s="93"/>
      <c r="C566" s="117"/>
      <c r="D566" s="93"/>
      <c r="E566" s="93"/>
      <c r="F566" s="93"/>
      <c r="G566" s="93"/>
      <c r="H566" s="93"/>
      <c r="I566" s="128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  <c r="AJ566" s="93"/>
      <c r="AK566" s="93"/>
      <c r="AL566" s="93"/>
      <c r="AM566" s="93"/>
      <c r="AN566" s="93"/>
      <c r="AO566" s="93"/>
      <c r="AP566" s="93"/>
      <c r="AQ566" s="93"/>
    </row>
    <row r="567" spans="1:43" ht="12.75" customHeight="1">
      <c r="A567" s="93"/>
      <c r="B567" s="93"/>
      <c r="C567" s="117"/>
      <c r="D567" s="93"/>
      <c r="E567" s="93"/>
      <c r="F567" s="93"/>
      <c r="G567" s="93"/>
      <c r="H567" s="93"/>
      <c r="I567" s="128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</row>
    <row r="568" spans="1:43" ht="12.75" customHeight="1">
      <c r="A568" s="93"/>
      <c r="B568" s="93"/>
      <c r="C568" s="117"/>
      <c r="D568" s="93"/>
      <c r="E568" s="93"/>
      <c r="F568" s="93"/>
      <c r="G568" s="93"/>
      <c r="H568" s="93"/>
      <c r="I568" s="128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  <c r="AJ568" s="93"/>
      <c r="AK568" s="93"/>
      <c r="AL568" s="93"/>
      <c r="AM568" s="93"/>
      <c r="AN568" s="93"/>
      <c r="AO568" s="93"/>
      <c r="AP568" s="93"/>
      <c r="AQ568" s="93"/>
    </row>
    <row r="569" spans="1:43" ht="12.75" customHeight="1">
      <c r="A569" s="93"/>
      <c r="B569" s="93"/>
      <c r="C569" s="117"/>
      <c r="D569" s="93"/>
      <c r="E569" s="93"/>
      <c r="F569" s="93"/>
      <c r="G569" s="93"/>
      <c r="H569" s="93"/>
      <c r="I569" s="128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</row>
    <row r="570" spans="1:43" ht="12.75" customHeight="1">
      <c r="A570" s="93"/>
      <c r="B570" s="93"/>
      <c r="C570" s="117"/>
      <c r="D570" s="93"/>
      <c r="E570" s="93"/>
      <c r="F570" s="93"/>
      <c r="G570" s="93"/>
      <c r="H570" s="93"/>
      <c r="I570" s="128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  <c r="AJ570" s="93"/>
      <c r="AK570" s="93"/>
      <c r="AL570" s="93"/>
      <c r="AM570" s="93"/>
      <c r="AN570" s="93"/>
      <c r="AO570" s="93"/>
      <c r="AP570" s="93"/>
      <c r="AQ570" s="93"/>
    </row>
    <row r="571" spans="1:43" ht="12.75" customHeight="1">
      <c r="A571" s="93"/>
      <c r="B571" s="93"/>
      <c r="C571" s="117"/>
      <c r="D571" s="93"/>
      <c r="E571" s="93"/>
      <c r="F571" s="93"/>
      <c r="G571" s="93"/>
      <c r="H571" s="93"/>
      <c r="I571" s="128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  <c r="AJ571" s="93"/>
      <c r="AK571" s="93"/>
      <c r="AL571" s="93"/>
      <c r="AM571" s="93"/>
      <c r="AN571" s="93"/>
      <c r="AO571" s="93"/>
      <c r="AP571" s="93"/>
      <c r="AQ571" s="93"/>
    </row>
    <row r="572" spans="1:43" ht="12.75" customHeight="1">
      <c r="A572" s="93"/>
      <c r="B572" s="93"/>
      <c r="C572" s="117"/>
      <c r="D572" s="93"/>
      <c r="E572" s="93"/>
      <c r="F572" s="93"/>
      <c r="G572" s="93"/>
      <c r="H572" s="93"/>
      <c r="I572" s="128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  <c r="AJ572" s="93"/>
      <c r="AK572" s="93"/>
      <c r="AL572" s="93"/>
      <c r="AM572" s="93"/>
      <c r="AN572" s="93"/>
      <c r="AO572" s="93"/>
      <c r="AP572" s="93"/>
      <c r="AQ572" s="93"/>
    </row>
    <row r="573" spans="1:43" ht="12.75" customHeight="1">
      <c r="A573" s="93"/>
      <c r="B573" s="93"/>
      <c r="C573" s="117"/>
      <c r="D573" s="93"/>
      <c r="E573" s="93"/>
      <c r="F573" s="93"/>
      <c r="G573" s="93"/>
      <c r="H573" s="93"/>
      <c r="I573" s="128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  <c r="AJ573" s="93"/>
      <c r="AK573" s="93"/>
      <c r="AL573" s="93"/>
      <c r="AM573" s="93"/>
      <c r="AN573" s="93"/>
      <c r="AO573" s="93"/>
      <c r="AP573" s="93"/>
      <c r="AQ573" s="93"/>
    </row>
    <row r="574" spans="1:43" ht="12.75" customHeight="1">
      <c r="A574" s="93"/>
      <c r="B574" s="93"/>
      <c r="C574" s="117"/>
      <c r="D574" s="93"/>
      <c r="E574" s="93"/>
      <c r="F574" s="93"/>
      <c r="G574" s="93"/>
      <c r="H574" s="93"/>
      <c r="I574" s="128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  <c r="AJ574" s="93"/>
      <c r="AK574" s="93"/>
      <c r="AL574" s="93"/>
      <c r="AM574" s="93"/>
      <c r="AN574" s="93"/>
      <c r="AO574" s="93"/>
      <c r="AP574" s="93"/>
      <c r="AQ574" s="93"/>
    </row>
    <row r="575" spans="1:43" ht="12.75" customHeight="1">
      <c r="A575" s="93"/>
      <c r="B575" s="93"/>
      <c r="C575" s="117"/>
      <c r="D575" s="93"/>
      <c r="E575" s="93"/>
      <c r="F575" s="93"/>
      <c r="G575" s="93"/>
      <c r="H575" s="93"/>
      <c r="I575" s="128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  <c r="AJ575" s="93"/>
      <c r="AK575" s="93"/>
      <c r="AL575" s="93"/>
      <c r="AM575" s="93"/>
      <c r="AN575" s="93"/>
      <c r="AO575" s="93"/>
      <c r="AP575" s="93"/>
      <c r="AQ575" s="93"/>
    </row>
    <row r="576" spans="1:43" ht="12.75" customHeight="1">
      <c r="A576" s="93"/>
      <c r="B576" s="93"/>
      <c r="C576" s="117"/>
      <c r="D576" s="93"/>
      <c r="E576" s="93"/>
      <c r="F576" s="93"/>
      <c r="G576" s="93"/>
      <c r="H576" s="93"/>
      <c r="I576" s="128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  <c r="AJ576" s="93"/>
      <c r="AK576" s="93"/>
      <c r="AL576" s="93"/>
      <c r="AM576" s="93"/>
      <c r="AN576" s="93"/>
      <c r="AO576" s="93"/>
      <c r="AP576" s="93"/>
      <c r="AQ576" s="93"/>
    </row>
    <row r="577" spans="1:43" ht="12.75" customHeight="1">
      <c r="A577" s="93"/>
      <c r="B577" s="93"/>
      <c r="C577" s="117"/>
      <c r="D577" s="93"/>
      <c r="E577" s="93"/>
      <c r="F577" s="93"/>
      <c r="G577" s="93"/>
      <c r="H577" s="93"/>
      <c r="I577" s="128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  <c r="AJ577" s="93"/>
      <c r="AK577" s="93"/>
      <c r="AL577" s="93"/>
      <c r="AM577" s="93"/>
      <c r="AN577" s="93"/>
      <c r="AO577" s="93"/>
      <c r="AP577" s="93"/>
      <c r="AQ577" s="93"/>
    </row>
    <row r="578" spans="1:43" ht="12.75" customHeight="1">
      <c r="A578" s="93"/>
      <c r="B578" s="93"/>
      <c r="C578" s="117"/>
      <c r="D578" s="93"/>
      <c r="E578" s="93"/>
      <c r="F578" s="93"/>
      <c r="G578" s="93"/>
      <c r="H578" s="93"/>
      <c r="I578" s="128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  <c r="AJ578" s="93"/>
      <c r="AK578" s="93"/>
      <c r="AL578" s="93"/>
      <c r="AM578" s="93"/>
      <c r="AN578" s="93"/>
      <c r="AO578" s="93"/>
      <c r="AP578" s="93"/>
      <c r="AQ578" s="93"/>
    </row>
    <row r="579" spans="1:43" ht="12.75" customHeight="1">
      <c r="A579" s="93"/>
      <c r="B579" s="93"/>
      <c r="C579" s="117"/>
      <c r="D579" s="93"/>
      <c r="E579" s="93"/>
      <c r="F579" s="93"/>
      <c r="G579" s="93"/>
      <c r="H579" s="93"/>
      <c r="I579" s="128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  <c r="AJ579" s="93"/>
      <c r="AK579" s="93"/>
      <c r="AL579" s="93"/>
      <c r="AM579" s="93"/>
      <c r="AN579" s="93"/>
      <c r="AO579" s="93"/>
      <c r="AP579" s="93"/>
      <c r="AQ579" s="93"/>
    </row>
    <row r="580" spans="1:43" ht="12.75" customHeight="1">
      <c r="A580" s="93"/>
      <c r="B580" s="93"/>
      <c r="C580" s="117"/>
      <c r="D580" s="93"/>
      <c r="E580" s="93"/>
      <c r="F580" s="93"/>
      <c r="G580" s="93"/>
      <c r="H580" s="93"/>
      <c r="I580" s="128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  <c r="AJ580" s="93"/>
      <c r="AK580" s="93"/>
      <c r="AL580" s="93"/>
      <c r="AM580" s="93"/>
      <c r="AN580" s="93"/>
      <c r="AO580" s="93"/>
      <c r="AP580" s="93"/>
      <c r="AQ580" s="93"/>
    </row>
    <row r="581" spans="1:43" ht="12.75" customHeight="1">
      <c r="A581" s="93"/>
      <c r="B581" s="93"/>
      <c r="C581" s="117"/>
      <c r="D581" s="93"/>
      <c r="E581" s="93"/>
      <c r="F581" s="93"/>
      <c r="G581" s="93"/>
      <c r="H581" s="93"/>
      <c r="I581" s="128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  <c r="AJ581" s="93"/>
      <c r="AK581" s="93"/>
      <c r="AL581" s="93"/>
      <c r="AM581" s="93"/>
      <c r="AN581" s="93"/>
      <c r="AO581" s="93"/>
      <c r="AP581" s="93"/>
      <c r="AQ581" s="93"/>
    </row>
    <row r="582" spans="1:43" ht="12.75" customHeight="1">
      <c r="A582" s="93"/>
      <c r="B582" s="93"/>
      <c r="C582" s="117"/>
      <c r="D582" s="93"/>
      <c r="E582" s="93"/>
      <c r="F582" s="93"/>
      <c r="G582" s="93"/>
      <c r="H582" s="93"/>
      <c r="I582" s="128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  <c r="AK582" s="93"/>
      <c r="AL582" s="93"/>
      <c r="AM582" s="93"/>
      <c r="AN582" s="93"/>
      <c r="AO582" s="93"/>
      <c r="AP582" s="93"/>
      <c r="AQ582" s="93"/>
    </row>
    <row r="583" spans="1:43" ht="12.75" customHeight="1">
      <c r="A583" s="93"/>
      <c r="B583" s="93"/>
      <c r="C583" s="117"/>
      <c r="D583" s="93"/>
      <c r="E583" s="93"/>
      <c r="F583" s="93"/>
      <c r="G583" s="93"/>
      <c r="H583" s="93"/>
      <c r="I583" s="128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  <c r="AJ583" s="93"/>
      <c r="AK583" s="93"/>
      <c r="AL583" s="93"/>
      <c r="AM583" s="93"/>
      <c r="AN583" s="93"/>
      <c r="AO583" s="93"/>
      <c r="AP583" s="93"/>
      <c r="AQ583" s="93"/>
    </row>
    <row r="584" spans="1:43" ht="12.75" customHeight="1">
      <c r="A584" s="93"/>
      <c r="B584" s="93"/>
      <c r="C584" s="117"/>
      <c r="D584" s="93"/>
      <c r="E584" s="93"/>
      <c r="F584" s="93"/>
      <c r="G584" s="93"/>
      <c r="H584" s="93"/>
      <c r="I584" s="128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  <c r="AJ584" s="93"/>
      <c r="AK584" s="93"/>
      <c r="AL584" s="93"/>
      <c r="AM584" s="93"/>
      <c r="AN584" s="93"/>
      <c r="AO584" s="93"/>
      <c r="AP584" s="93"/>
      <c r="AQ584" s="93"/>
    </row>
    <row r="585" spans="1:43" ht="12.75" customHeight="1">
      <c r="A585" s="93"/>
      <c r="B585" s="93"/>
      <c r="C585" s="117"/>
      <c r="D585" s="93"/>
      <c r="E585" s="93"/>
      <c r="F585" s="93"/>
      <c r="G585" s="93"/>
      <c r="H585" s="93"/>
      <c r="I585" s="128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  <c r="AJ585" s="93"/>
      <c r="AK585" s="93"/>
      <c r="AL585" s="93"/>
      <c r="AM585" s="93"/>
      <c r="AN585" s="93"/>
      <c r="AO585" s="93"/>
      <c r="AP585" s="93"/>
      <c r="AQ585" s="93"/>
    </row>
    <row r="586" spans="1:43" ht="12.75" customHeight="1">
      <c r="A586" s="93"/>
      <c r="B586" s="93"/>
      <c r="C586" s="117"/>
      <c r="D586" s="93"/>
      <c r="E586" s="93"/>
      <c r="F586" s="93"/>
      <c r="G586" s="93"/>
      <c r="H586" s="93"/>
      <c r="I586" s="128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  <c r="AJ586" s="93"/>
      <c r="AK586" s="93"/>
      <c r="AL586" s="93"/>
      <c r="AM586" s="93"/>
      <c r="AN586" s="93"/>
      <c r="AO586" s="93"/>
      <c r="AP586" s="93"/>
      <c r="AQ586" s="93"/>
    </row>
    <row r="587" spans="1:43" ht="12.75" customHeight="1">
      <c r="A587" s="93"/>
      <c r="B587" s="93"/>
      <c r="C587" s="117"/>
      <c r="D587" s="93"/>
      <c r="E587" s="93"/>
      <c r="F587" s="93"/>
      <c r="G587" s="93"/>
      <c r="H587" s="93"/>
      <c r="I587" s="128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  <c r="AJ587" s="93"/>
      <c r="AK587" s="93"/>
      <c r="AL587" s="93"/>
      <c r="AM587" s="93"/>
      <c r="AN587" s="93"/>
      <c r="AO587" s="93"/>
      <c r="AP587" s="93"/>
      <c r="AQ587" s="93"/>
    </row>
    <row r="588" spans="1:43" ht="12.75" customHeight="1">
      <c r="A588" s="93"/>
      <c r="B588" s="93"/>
      <c r="C588" s="117"/>
      <c r="D588" s="93"/>
      <c r="E588" s="93"/>
      <c r="F588" s="93"/>
      <c r="G588" s="93"/>
      <c r="H588" s="93"/>
      <c r="I588" s="128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  <c r="AJ588" s="93"/>
      <c r="AK588" s="93"/>
      <c r="AL588" s="93"/>
      <c r="AM588" s="93"/>
      <c r="AN588" s="93"/>
      <c r="AO588" s="93"/>
      <c r="AP588" s="93"/>
      <c r="AQ588" s="93"/>
    </row>
    <row r="589" spans="1:43" ht="12.75" customHeight="1">
      <c r="A589" s="93"/>
      <c r="B589" s="93"/>
      <c r="C589" s="117"/>
      <c r="D589" s="93"/>
      <c r="E589" s="93"/>
      <c r="F589" s="93"/>
      <c r="G589" s="93"/>
      <c r="H589" s="93"/>
      <c r="I589" s="128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  <c r="AJ589" s="93"/>
      <c r="AK589" s="93"/>
      <c r="AL589" s="93"/>
      <c r="AM589" s="93"/>
      <c r="AN589" s="93"/>
      <c r="AO589" s="93"/>
      <c r="AP589" s="93"/>
      <c r="AQ589" s="93"/>
    </row>
    <row r="590" spans="1:43" ht="12.75" customHeight="1">
      <c r="A590" s="93"/>
      <c r="B590" s="93"/>
      <c r="C590" s="117"/>
      <c r="D590" s="93"/>
      <c r="E590" s="93"/>
      <c r="F590" s="93"/>
      <c r="G590" s="93"/>
      <c r="H590" s="93"/>
      <c r="I590" s="128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  <c r="AJ590" s="93"/>
      <c r="AK590" s="93"/>
      <c r="AL590" s="93"/>
      <c r="AM590" s="93"/>
      <c r="AN590" s="93"/>
      <c r="AO590" s="93"/>
      <c r="AP590" s="93"/>
      <c r="AQ590" s="93"/>
    </row>
    <row r="591" spans="1:43" ht="12.75" customHeight="1">
      <c r="A591" s="93"/>
      <c r="B591" s="93"/>
      <c r="C591" s="117"/>
      <c r="D591" s="93"/>
      <c r="E591" s="93"/>
      <c r="F591" s="93"/>
      <c r="G591" s="93"/>
      <c r="H591" s="93"/>
      <c r="I591" s="128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  <c r="AJ591" s="93"/>
      <c r="AK591" s="93"/>
      <c r="AL591" s="93"/>
      <c r="AM591" s="93"/>
      <c r="AN591" s="93"/>
      <c r="AO591" s="93"/>
      <c r="AP591" s="93"/>
      <c r="AQ591" s="93"/>
    </row>
    <row r="592" spans="1:43" ht="12.75" customHeight="1">
      <c r="A592" s="93"/>
      <c r="B592" s="93"/>
      <c r="C592" s="117"/>
      <c r="D592" s="93"/>
      <c r="E592" s="93"/>
      <c r="F592" s="93"/>
      <c r="G592" s="93"/>
      <c r="H592" s="93"/>
      <c r="I592" s="128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</row>
    <row r="593" spans="1:43" ht="12.75" customHeight="1">
      <c r="A593" s="93"/>
      <c r="B593" s="93"/>
      <c r="C593" s="117"/>
      <c r="D593" s="93"/>
      <c r="E593" s="93"/>
      <c r="F593" s="93"/>
      <c r="G593" s="93"/>
      <c r="H593" s="93"/>
      <c r="I593" s="128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  <c r="AF593" s="93"/>
      <c r="AG593" s="93"/>
      <c r="AH593" s="93"/>
      <c r="AI593" s="93"/>
      <c r="AJ593" s="93"/>
      <c r="AK593" s="93"/>
      <c r="AL593" s="93"/>
      <c r="AM593" s="93"/>
      <c r="AN593" s="93"/>
      <c r="AO593" s="93"/>
      <c r="AP593" s="93"/>
      <c r="AQ593" s="93"/>
    </row>
    <row r="594" spans="1:43" ht="12.75" customHeight="1">
      <c r="A594" s="93"/>
      <c r="B594" s="93"/>
      <c r="C594" s="117"/>
      <c r="D594" s="93"/>
      <c r="E594" s="93"/>
      <c r="F594" s="93"/>
      <c r="G594" s="93"/>
      <c r="H594" s="93"/>
      <c r="I594" s="128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  <c r="AJ594" s="93"/>
      <c r="AK594" s="93"/>
      <c r="AL594" s="93"/>
      <c r="AM594" s="93"/>
      <c r="AN594" s="93"/>
      <c r="AO594" s="93"/>
      <c r="AP594" s="93"/>
      <c r="AQ594" s="93"/>
    </row>
    <row r="595" spans="1:43" ht="12.75" customHeight="1">
      <c r="A595" s="93"/>
      <c r="B595" s="93"/>
      <c r="C595" s="117"/>
      <c r="D595" s="93"/>
      <c r="E595" s="93"/>
      <c r="F595" s="93"/>
      <c r="G595" s="93"/>
      <c r="H595" s="93"/>
      <c r="I595" s="128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G595" s="93"/>
      <c r="AH595" s="93"/>
      <c r="AI595" s="93"/>
      <c r="AJ595" s="93"/>
      <c r="AK595" s="93"/>
      <c r="AL595" s="93"/>
      <c r="AM595" s="93"/>
      <c r="AN595" s="93"/>
      <c r="AO595" s="93"/>
      <c r="AP595" s="93"/>
      <c r="AQ595" s="93"/>
    </row>
    <row r="596" spans="1:43" ht="12.75" customHeight="1">
      <c r="A596" s="93"/>
      <c r="B596" s="93"/>
      <c r="C596" s="117"/>
      <c r="D596" s="93"/>
      <c r="E596" s="93"/>
      <c r="F596" s="93"/>
      <c r="G596" s="93"/>
      <c r="H596" s="93"/>
      <c r="I596" s="128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  <c r="AJ596" s="93"/>
      <c r="AK596" s="93"/>
      <c r="AL596" s="93"/>
      <c r="AM596" s="93"/>
      <c r="AN596" s="93"/>
      <c r="AO596" s="93"/>
      <c r="AP596" s="93"/>
      <c r="AQ596" s="93"/>
    </row>
    <row r="597" spans="1:43" ht="12.75" customHeight="1">
      <c r="A597" s="93"/>
      <c r="B597" s="93"/>
      <c r="C597" s="117"/>
      <c r="D597" s="93"/>
      <c r="E597" s="93"/>
      <c r="F597" s="93"/>
      <c r="G597" s="93"/>
      <c r="H597" s="93"/>
      <c r="I597" s="128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  <c r="AF597" s="93"/>
      <c r="AG597" s="93"/>
      <c r="AH597" s="93"/>
      <c r="AI597" s="93"/>
      <c r="AJ597" s="93"/>
      <c r="AK597" s="93"/>
      <c r="AL597" s="93"/>
      <c r="AM597" s="93"/>
      <c r="AN597" s="93"/>
      <c r="AO597" s="93"/>
      <c r="AP597" s="93"/>
      <c r="AQ597" s="93"/>
    </row>
    <row r="598" spans="1:43" ht="12.75" customHeight="1">
      <c r="A598" s="93"/>
      <c r="B598" s="93"/>
      <c r="C598" s="117"/>
      <c r="D598" s="93"/>
      <c r="E598" s="93"/>
      <c r="F598" s="93"/>
      <c r="G598" s="93"/>
      <c r="H598" s="93"/>
      <c r="I598" s="128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  <c r="AJ598" s="93"/>
      <c r="AK598" s="93"/>
      <c r="AL598" s="93"/>
      <c r="AM598" s="93"/>
      <c r="AN598" s="93"/>
      <c r="AO598" s="93"/>
      <c r="AP598" s="93"/>
      <c r="AQ598" s="93"/>
    </row>
    <row r="599" spans="1:43" ht="12.75" customHeight="1">
      <c r="A599" s="93"/>
      <c r="B599" s="93"/>
      <c r="C599" s="117"/>
      <c r="D599" s="93"/>
      <c r="E599" s="93"/>
      <c r="F599" s="93"/>
      <c r="G599" s="93"/>
      <c r="H599" s="93"/>
      <c r="I599" s="128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  <c r="AF599" s="93"/>
      <c r="AG599" s="93"/>
      <c r="AH599" s="93"/>
      <c r="AI599" s="93"/>
      <c r="AJ599" s="93"/>
      <c r="AK599" s="93"/>
      <c r="AL599" s="93"/>
      <c r="AM599" s="93"/>
      <c r="AN599" s="93"/>
      <c r="AO599" s="93"/>
      <c r="AP599" s="93"/>
      <c r="AQ599" s="93"/>
    </row>
    <row r="600" spans="1:43" ht="12.75" customHeight="1">
      <c r="A600" s="93"/>
      <c r="B600" s="93"/>
      <c r="C600" s="117"/>
      <c r="D600" s="93"/>
      <c r="E600" s="93"/>
      <c r="F600" s="93"/>
      <c r="G600" s="93"/>
      <c r="H600" s="93"/>
      <c r="I600" s="128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  <c r="AJ600" s="93"/>
      <c r="AK600" s="93"/>
      <c r="AL600" s="93"/>
      <c r="AM600" s="93"/>
      <c r="AN600" s="93"/>
      <c r="AO600" s="93"/>
      <c r="AP600" s="93"/>
      <c r="AQ600" s="93"/>
    </row>
    <row r="601" spans="1:43" ht="12.75" customHeight="1">
      <c r="A601" s="93"/>
      <c r="B601" s="93"/>
      <c r="C601" s="117"/>
      <c r="D601" s="93"/>
      <c r="E601" s="93"/>
      <c r="F601" s="93"/>
      <c r="G601" s="93"/>
      <c r="H601" s="93"/>
      <c r="I601" s="128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  <c r="AF601" s="93"/>
      <c r="AG601" s="93"/>
      <c r="AH601" s="93"/>
      <c r="AI601" s="93"/>
      <c r="AJ601" s="93"/>
      <c r="AK601" s="93"/>
      <c r="AL601" s="93"/>
      <c r="AM601" s="93"/>
      <c r="AN601" s="93"/>
      <c r="AO601" s="93"/>
      <c r="AP601" s="93"/>
      <c r="AQ601" s="93"/>
    </row>
    <row r="602" spans="1:43" ht="12.75" customHeight="1">
      <c r="A602" s="93"/>
      <c r="B602" s="93"/>
      <c r="C602" s="117"/>
      <c r="D602" s="93"/>
      <c r="E602" s="93"/>
      <c r="F602" s="93"/>
      <c r="G602" s="93"/>
      <c r="H602" s="93"/>
      <c r="I602" s="128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  <c r="AJ602" s="93"/>
      <c r="AK602" s="93"/>
      <c r="AL602" s="93"/>
      <c r="AM602" s="93"/>
      <c r="AN602" s="93"/>
      <c r="AO602" s="93"/>
      <c r="AP602" s="93"/>
      <c r="AQ602" s="93"/>
    </row>
    <row r="603" spans="1:43" ht="12.75" customHeight="1">
      <c r="A603" s="93"/>
      <c r="B603" s="93"/>
      <c r="C603" s="117"/>
      <c r="D603" s="93"/>
      <c r="E603" s="93"/>
      <c r="F603" s="93"/>
      <c r="G603" s="93"/>
      <c r="H603" s="93"/>
      <c r="I603" s="128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  <c r="AF603" s="93"/>
      <c r="AG603" s="93"/>
      <c r="AH603" s="93"/>
      <c r="AI603" s="93"/>
      <c r="AJ603" s="93"/>
      <c r="AK603" s="93"/>
      <c r="AL603" s="93"/>
      <c r="AM603" s="93"/>
      <c r="AN603" s="93"/>
      <c r="AO603" s="93"/>
      <c r="AP603" s="93"/>
      <c r="AQ603" s="93"/>
    </row>
    <row r="604" spans="1:43" ht="12.75" customHeight="1">
      <c r="A604" s="93"/>
      <c r="B604" s="93"/>
      <c r="C604" s="117"/>
      <c r="D604" s="93"/>
      <c r="E604" s="93"/>
      <c r="F604" s="93"/>
      <c r="G604" s="93"/>
      <c r="H604" s="93"/>
      <c r="I604" s="128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  <c r="AJ604" s="93"/>
      <c r="AK604" s="93"/>
      <c r="AL604" s="93"/>
      <c r="AM604" s="93"/>
      <c r="AN604" s="93"/>
      <c r="AO604" s="93"/>
      <c r="AP604" s="93"/>
      <c r="AQ604" s="93"/>
    </row>
    <row r="605" spans="1:43" ht="12.75" customHeight="1">
      <c r="A605" s="93"/>
      <c r="B605" s="93"/>
      <c r="C605" s="117"/>
      <c r="D605" s="93"/>
      <c r="E605" s="93"/>
      <c r="F605" s="93"/>
      <c r="G605" s="93"/>
      <c r="H605" s="93"/>
      <c r="I605" s="128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G605" s="93"/>
      <c r="AH605" s="93"/>
      <c r="AI605" s="93"/>
      <c r="AJ605" s="93"/>
      <c r="AK605" s="93"/>
      <c r="AL605" s="93"/>
      <c r="AM605" s="93"/>
      <c r="AN605" s="93"/>
      <c r="AO605" s="93"/>
      <c r="AP605" s="93"/>
      <c r="AQ605" s="93"/>
    </row>
    <row r="606" spans="1:43" ht="12.75" customHeight="1">
      <c r="A606" s="93"/>
      <c r="B606" s="93"/>
      <c r="C606" s="117"/>
      <c r="D606" s="93"/>
      <c r="E606" s="93"/>
      <c r="F606" s="93"/>
      <c r="G606" s="93"/>
      <c r="H606" s="93"/>
      <c r="I606" s="128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  <c r="AJ606" s="93"/>
      <c r="AK606" s="93"/>
      <c r="AL606" s="93"/>
      <c r="AM606" s="93"/>
      <c r="AN606" s="93"/>
      <c r="AO606" s="93"/>
      <c r="AP606" s="93"/>
      <c r="AQ606" s="93"/>
    </row>
    <row r="607" spans="1:43" ht="12.75" customHeight="1">
      <c r="A607" s="93"/>
      <c r="B607" s="93"/>
      <c r="C607" s="117"/>
      <c r="D607" s="93"/>
      <c r="E607" s="93"/>
      <c r="F607" s="93"/>
      <c r="G607" s="93"/>
      <c r="H607" s="93"/>
      <c r="I607" s="128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  <c r="AF607" s="93"/>
      <c r="AG607" s="93"/>
      <c r="AH607" s="93"/>
      <c r="AI607" s="93"/>
      <c r="AJ607" s="93"/>
      <c r="AK607" s="93"/>
      <c r="AL607" s="93"/>
      <c r="AM607" s="93"/>
      <c r="AN607" s="93"/>
      <c r="AO607" s="93"/>
      <c r="AP607" s="93"/>
      <c r="AQ607" s="93"/>
    </row>
    <row r="608" spans="1:43" ht="12.75" customHeight="1">
      <c r="A608" s="93"/>
      <c r="B608" s="93"/>
      <c r="C608" s="117"/>
      <c r="D608" s="93"/>
      <c r="E608" s="93"/>
      <c r="F608" s="93"/>
      <c r="G608" s="93"/>
      <c r="H608" s="93"/>
      <c r="I608" s="128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  <c r="AJ608" s="93"/>
      <c r="AK608" s="93"/>
      <c r="AL608" s="93"/>
      <c r="AM608" s="93"/>
      <c r="AN608" s="93"/>
      <c r="AO608" s="93"/>
      <c r="AP608" s="93"/>
      <c r="AQ608" s="93"/>
    </row>
    <row r="609" spans="1:43" ht="12.75" customHeight="1">
      <c r="A609" s="93"/>
      <c r="B609" s="93"/>
      <c r="C609" s="117"/>
      <c r="D609" s="93"/>
      <c r="E609" s="93"/>
      <c r="F609" s="93"/>
      <c r="G609" s="93"/>
      <c r="H609" s="93"/>
      <c r="I609" s="128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  <c r="AF609" s="93"/>
      <c r="AG609" s="93"/>
      <c r="AH609" s="93"/>
      <c r="AI609" s="93"/>
      <c r="AJ609" s="93"/>
      <c r="AK609" s="93"/>
      <c r="AL609" s="93"/>
      <c r="AM609" s="93"/>
      <c r="AN609" s="93"/>
      <c r="AO609" s="93"/>
      <c r="AP609" s="93"/>
      <c r="AQ609" s="93"/>
    </row>
    <row r="610" spans="1:43" ht="12.75" customHeight="1">
      <c r="A610" s="93"/>
      <c r="B610" s="93"/>
      <c r="C610" s="117"/>
      <c r="D610" s="93"/>
      <c r="E610" s="93"/>
      <c r="F610" s="93"/>
      <c r="G610" s="93"/>
      <c r="H610" s="93"/>
      <c r="I610" s="128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  <c r="AF610" s="93"/>
      <c r="AG610" s="93"/>
      <c r="AH610" s="93"/>
      <c r="AI610" s="93"/>
      <c r="AJ610" s="93"/>
      <c r="AK610" s="93"/>
      <c r="AL610" s="93"/>
      <c r="AM610" s="93"/>
      <c r="AN610" s="93"/>
      <c r="AO610" s="93"/>
      <c r="AP610" s="93"/>
      <c r="AQ610" s="93"/>
    </row>
    <row r="611" spans="1:43" ht="12.75" customHeight="1">
      <c r="A611" s="93"/>
      <c r="B611" s="93"/>
      <c r="C611" s="117"/>
      <c r="D611" s="93"/>
      <c r="E611" s="93"/>
      <c r="F611" s="93"/>
      <c r="G611" s="93"/>
      <c r="H611" s="93"/>
      <c r="I611" s="128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  <c r="AF611" s="93"/>
      <c r="AG611" s="93"/>
      <c r="AH611" s="93"/>
      <c r="AI611" s="93"/>
      <c r="AJ611" s="93"/>
      <c r="AK611" s="93"/>
      <c r="AL611" s="93"/>
      <c r="AM611" s="93"/>
      <c r="AN611" s="93"/>
      <c r="AO611" s="93"/>
      <c r="AP611" s="93"/>
      <c r="AQ611" s="93"/>
    </row>
    <row r="612" spans="1:43" ht="12.75" customHeight="1">
      <c r="A612" s="93"/>
      <c r="B612" s="93"/>
      <c r="C612" s="117"/>
      <c r="D612" s="93"/>
      <c r="E612" s="93"/>
      <c r="F612" s="93"/>
      <c r="G612" s="93"/>
      <c r="H612" s="93"/>
      <c r="I612" s="128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93"/>
      <c r="AF612" s="93"/>
      <c r="AG612" s="93"/>
      <c r="AH612" s="93"/>
      <c r="AI612" s="93"/>
      <c r="AJ612" s="93"/>
      <c r="AK612" s="93"/>
      <c r="AL612" s="93"/>
      <c r="AM612" s="93"/>
      <c r="AN612" s="93"/>
      <c r="AO612" s="93"/>
      <c r="AP612" s="93"/>
      <c r="AQ612" s="93"/>
    </row>
    <row r="613" spans="1:43" ht="12.75" customHeight="1">
      <c r="A613" s="93"/>
      <c r="B613" s="93"/>
      <c r="C613" s="117"/>
      <c r="D613" s="93"/>
      <c r="E613" s="93"/>
      <c r="F613" s="93"/>
      <c r="G613" s="93"/>
      <c r="H613" s="93"/>
      <c r="I613" s="128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  <c r="AF613" s="93"/>
      <c r="AG613" s="93"/>
      <c r="AH613" s="93"/>
      <c r="AI613" s="93"/>
      <c r="AJ613" s="93"/>
      <c r="AK613" s="93"/>
      <c r="AL613" s="93"/>
      <c r="AM613" s="93"/>
      <c r="AN613" s="93"/>
      <c r="AO613" s="93"/>
      <c r="AP613" s="93"/>
      <c r="AQ613" s="93"/>
    </row>
    <row r="614" spans="1:43" ht="12.75" customHeight="1">
      <c r="A614" s="93"/>
      <c r="B614" s="93"/>
      <c r="C614" s="117"/>
      <c r="D614" s="93"/>
      <c r="E614" s="93"/>
      <c r="F614" s="93"/>
      <c r="G614" s="93"/>
      <c r="H614" s="93"/>
      <c r="I614" s="128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  <c r="AJ614" s="93"/>
      <c r="AK614" s="93"/>
      <c r="AL614" s="93"/>
      <c r="AM614" s="93"/>
      <c r="AN614" s="93"/>
      <c r="AO614" s="93"/>
      <c r="AP614" s="93"/>
      <c r="AQ614" s="93"/>
    </row>
    <row r="615" spans="1:43" ht="12.75" customHeight="1">
      <c r="A615" s="93"/>
      <c r="B615" s="93"/>
      <c r="C615" s="117"/>
      <c r="D615" s="93"/>
      <c r="E615" s="93"/>
      <c r="F615" s="93"/>
      <c r="G615" s="93"/>
      <c r="H615" s="93"/>
      <c r="I615" s="128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  <c r="AF615" s="93"/>
      <c r="AG615" s="93"/>
      <c r="AH615" s="93"/>
      <c r="AI615" s="93"/>
      <c r="AJ615" s="93"/>
      <c r="AK615" s="93"/>
      <c r="AL615" s="93"/>
      <c r="AM615" s="93"/>
      <c r="AN615" s="93"/>
      <c r="AO615" s="93"/>
      <c r="AP615" s="93"/>
      <c r="AQ615" s="93"/>
    </row>
    <row r="616" spans="1:43" ht="12.75" customHeight="1">
      <c r="A616" s="93"/>
      <c r="B616" s="93"/>
      <c r="C616" s="117"/>
      <c r="D616" s="93"/>
      <c r="E616" s="93"/>
      <c r="F616" s="93"/>
      <c r="G616" s="93"/>
      <c r="H616" s="93"/>
      <c r="I616" s="128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93"/>
      <c r="AF616" s="93"/>
      <c r="AG616" s="93"/>
      <c r="AH616" s="93"/>
      <c r="AI616" s="93"/>
      <c r="AJ616" s="93"/>
      <c r="AK616" s="93"/>
      <c r="AL616" s="93"/>
      <c r="AM616" s="93"/>
      <c r="AN616" s="93"/>
      <c r="AO616" s="93"/>
      <c r="AP616" s="93"/>
      <c r="AQ616" s="93"/>
    </row>
    <row r="617" spans="1:43" ht="12.75" customHeight="1">
      <c r="A617" s="93"/>
      <c r="B617" s="93"/>
      <c r="C617" s="117"/>
      <c r="D617" s="93"/>
      <c r="E617" s="93"/>
      <c r="F617" s="93"/>
      <c r="G617" s="93"/>
      <c r="H617" s="93"/>
      <c r="I617" s="128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  <c r="AF617" s="93"/>
      <c r="AG617" s="93"/>
      <c r="AH617" s="93"/>
      <c r="AI617" s="93"/>
      <c r="AJ617" s="93"/>
      <c r="AK617" s="93"/>
      <c r="AL617" s="93"/>
      <c r="AM617" s="93"/>
      <c r="AN617" s="93"/>
      <c r="AO617" s="93"/>
      <c r="AP617" s="93"/>
      <c r="AQ617" s="93"/>
    </row>
    <row r="618" spans="1:43" ht="12.75" customHeight="1">
      <c r="A618" s="93"/>
      <c r="B618" s="93"/>
      <c r="C618" s="117"/>
      <c r="D618" s="93"/>
      <c r="E618" s="93"/>
      <c r="F618" s="93"/>
      <c r="G618" s="93"/>
      <c r="H618" s="93"/>
      <c r="I618" s="128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93"/>
      <c r="AF618" s="93"/>
      <c r="AG618" s="93"/>
      <c r="AH618" s="93"/>
      <c r="AI618" s="93"/>
      <c r="AJ618" s="93"/>
      <c r="AK618" s="93"/>
      <c r="AL618" s="93"/>
      <c r="AM618" s="93"/>
      <c r="AN618" s="93"/>
      <c r="AO618" s="93"/>
      <c r="AP618" s="93"/>
      <c r="AQ618" s="93"/>
    </row>
    <row r="619" spans="1:43" ht="12.75" customHeight="1">
      <c r="A619" s="93"/>
      <c r="B619" s="93"/>
      <c r="C619" s="117"/>
      <c r="D619" s="93"/>
      <c r="E619" s="93"/>
      <c r="F619" s="93"/>
      <c r="G619" s="93"/>
      <c r="H619" s="93"/>
      <c r="I619" s="128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  <c r="AF619" s="93"/>
      <c r="AG619" s="93"/>
      <c r="AH619" s="93"/>
      <c r="AI619" s="93"/>
      <c r="AJ619" s="93"/>
      <c r="AK619" s="93"/>
      <c r="AL619" s="93"/>
      <c r="AM619" s="93"/>
      <c r="AN619" s="93"/>
      <c r="AO619" s="93"/>
      <c r="AP619" s="93"/>
      <c r="AQ619" s="93"/>
    </row>
    <row r="620" spans="1:43" ht="12.75" customHeight="1">
      <c r="A620" s="93"/>
      <c r="B620" s="93"/>
      <c r="C620" s="117"/>
      <c r="D620" s="93"/>
      <c r="E620" s="93"/>
      <c r="F620" s="93"/>
      <c r="G620" s="93"/>
      <c r="H620" s="93"/>
      <c r="I620" s="128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  <c r="AK620" s="93"/>
      <c r="AL620" s="93"/>
      <c r="AM620" s="93"/>
      <c r="AN620" s="93"/>
      <c r="AO620" s="93"/>
      <c r="AP620" s="93"/>
      <c r="AQ620" s="93"/>
    </row>
    <row r="621" spans="1:43" ht="12.75" customHeight="1">
      <c r="A621" s="93"/>
      <c r="B621" s="93"/>
      <c r="C621" s="117"/>
      <c r="D621" s="93"/>
      <c r="E621" s="93"/>
      <c r="F621" s="93"/>
      <c r="G621" s="93"/>
      <c r="H621" s="93"/>
      <c r="I621" s="128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  <c r="AF621" s="93"/>
      <c r="AG621" s="93"/>
      <c r="AH621" s="93"/>
      <c r="AI621" s="93"/>
      <c r="AJ621" s="93"/>
      <c r="AK621" s="93"/>
      <c r="AL621" s="93"/>
      <c r="AM621" s="93"/>
      <c r="AN621" s="93"/>
      <c r="AO621" s="93"/>
      <c r="AP621" s="93"/>
      <c r="AQ621" s="93"/>
    </row>
    <row r="622" spans="1:43" ht="12.75" customHeight="1">
      <c r="A622" s="93"/>
      <c r="B622" s="93"/>
      <c r="C622" s="117"/>
      <c r="D622" s="93"/>
      <c r="E622" s="93"/>
      <c r="F622" s="93"/>
      <c r="G622" s="93"/>
      <c r="H622" s="93"/>
      <c r="I622" s="128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93"/>
      <c r="AF622" s="93"/>
      <c r="AG622" s="93"/>
      <c r="AH622" s="93"/>
      <c r="AI622" s="93"/>
      <c r="AJ622" s="93"/>
      <c r="AK622" s="93"/>
      <c r="AL622" s="93"/>
      <c r="AM622" s="93"/>
      <c r="AN622" s="93"/>
      <c r="AO622" s="93"/>
      <c r="AP622" s="93"/>
      <c r="AQ622" s="93"/>
    </row>
    <row r="623" spans="1:43" ht="12.75" customHeight="1">
      <c r="A623" s="93"/>
      <c r="B623" s="93"/>
      <c r="C623" s="117"/>
      <c r="D623" s="93"/>
      <c r="E623" s="93"/>
      <c r="F623" s="93"/>
      <c r="G623" s="93"/>
      <c r="H623" s="93"/>
      <c r="I623" s="128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  <c r="AF623" s="93"/>
      <c r="AG623" s="93"/>
      <c r="AH623" s="93"/>
      <c r="AI623" s="93"/>
      <c r="AJ623" s="93"/>
      <c r="AK623" s="93"/>
      <c r="AL623" s="93"/>
      <c r="AM623" s="93"/>
      <c r="AN623" s="93"/>
      <c r="AO623" s="93"/>
      <c r="AP623" s="93"/>
      <c r="AQ623" s="93"/>
    </row>
    <row r="624" spans="1:43" ht="12.75" customHeight="1">
      <c r="A624" s="93"/>
      <c r="B624" s="93"/>
      <c r="C624" s="117"/>
      <c r="D624" s="93"/>
      <c r="E624" s="93"/>
      <c r="F624" s="93"/>
      <c r="G624" s="93"/>
      <c r="H624" s="93"/>
      <c r="I624" s="128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93"/>
      <c r="AF624" s="93"/>
      <c r="AG624" s="93"/>
      <c r="AH624" s="93"/>
      <c r="AI624" s="93"/>
      <c r="AJ624" s="93"/>
      <c r="AK624" s="93"/>
      <c r="AL624" s="93"/>
      <c r="AM624" s="93"/>
      <c r="AN624" s="93"/>
      <c r="AO624" s="93"/>
      <c r="AP624" s="93"/>
      <c r="AQ624" s="93"/>
    </row>
    <row r="625" spans="1:43" ht="12.75" customHeight="1">
      <c r="A625" s="93"/>
      <c r="B625" s="93"/>
      <c r="C625" s="117"/>
      <c r="D625" s="93"/>
      <c r="E625" s="93"/>
      <c r="F625" s="93"/>
      <c r="G625" s="93"/>
      <c r="H625" s="93"/>
      <c r="I625" s="128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  <c r="AF625" s="93"/>
      <c r="AG625" s="93"/>
      <c r="AH625" s="93"/>
      <c r="AI625" s="93"/>
      <c r="AJ625" s="93"/>
      <c r="AK625" s="93"/>
      <c r="AL625" s="93"/>
      <c r="AM625" s="93"/>
      <c r="AN625" s="93"/>
      <c r="AO625" s="93"/>
      <c r="AP625" s="93"/>
      <c r="AQ625" s="93"/>
    </row>
    <row r="626" spans="1:43" ht="12.75" customHeight="1">
      <c r="A626" s="93"/>
      <c r="B626" s="93"/>
      <c r="C626" s="117"/>
      <c r="D626" s="93"/>
      <c r="E626" s="93"/>
      <c r="F626" s="93"/>
      <c r="G626" s="93"/>
      <c r="H626" s="93"/>
      <c r="I626" s="128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93"/>
      <c r="AF626" s="93"/>
      <c r="AG626" s="93"/>
      <c r="AH626" s="93"/>
      <c r="AI626" s="93"/>
      <c r="AJ626" s="93"/>
      <c r="AK626" s="93"/>
      <c r="AL626" s="93"/>
      <c r="AM626" s="93"/>
      <c r="AN626" s="93"/>
      <c r="AO626" s="93"/>
      <c r="AP626" s="93"/>
      <c r="AQ626" s="93"/>
    </row>
    <row r="627" spans="1:43" ht="12.75" customHeight="1">
      <c r="A627" s="93"/>
      <c r="B627" s="93"/>
      <c r="C627" s="117"/>
      <c r="D627" s="93"/>
      <c r="E627" s="93"/>
      <c r="F627" s="93"/>
      <c r="G627" s="93"/>
      <c r="H627" s="93"/>
      <c r="I627" s="128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  <c r="AF627" s="93"/>
      <c r="AG627" s="93"/>
      <c r="AH627" s="93"/>
      <c r="AI627" s="93"/>
      <c r="AJ627" s="93"/>
      <c r="AK627" s="93"/>
      <c r="AL627" s="93"/>
      <c r="AM627" s="93"/>
      <c r="AN627" s="93"/>
      <c r="AO627" s="93"/>
      <c r="AP627" s="93"/>
      <c r="AQ627" s="93"/>
    </row>
    <row r="628" spans="1:43" ht="12.75" customHeight="1">
      <c r="A628" s="93"/>
      <c r="B628" s="93"/>
      <c r="C628" s="117"/>
      <c r="D628" s="93"/>
      <c r="E628" s="93"/>
      <c r="F628" s="93"/>
      <c r="G628" s="93"/>
      <c r="H628" s="93"/>
      <c r="I628" s="128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93"/>
      <c r="AF628" s="93"/>
      <c r="AG628" s="93"/>
      <c r="AH628" s="93"/>
      <c r="AI628" s="93"/>
      <c r="AJ628" s="93"/>
      <c r="AK628" s="93"/>
      <c r="AL628" s="93"/>
      <c r="AM628" s="93"/>
      <c r="AN628" s="93"/>
      <c r="AO628" s="93"/>
      <c r="AP628" s="93"/>
      <c r="AQ628" s="93"/>
    </row>
    <row r="629" spans="1:43" ht="12.75" customHeight="1">
      <c r="A629" s="93"/>
      <c r="B629" s="93"/>
      <c r="C629" s="117"/>
      <c r="D629" s="93"/>
      <c r="E629" s="93"/>
      <c r="F629" s="93"/>
      <c r="G629" s="93"/>
      <c r="H629" s="93"/>
      <c r="I629" s="128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  <c r="AF629" s="93"/>
      <c r="AG629" s="93"/>
      <c r="AH629" s="93"/>
      <c r="AI629" s="93"/>
      <c r="AJ629" s="93"/>
      <c r="AK629" s="93"/>
      <c r="AL629" s="93"/>
      <c r="AM629" s="93"/>
      <c r="AN629" s="93"/>
      <c r="AO629" s="93"/>
      <c r="AP629" s="93"/>
      <c r="AQ629" s="93"/>
    </row>
    <row r="630" spans="1:43" ht="12.75" customHeight="1">
      <c r="A630" s="93"/>
      <c r="B630" s="93"/>
      <c r="C630" s="117"/>
      <c r="D630" s="93"/>
      <c r="E630" s="93"/>
      <c r="F630" s="93"/>
      <c r="G630" s="93"/>
      <c r="H630" s="93"/>
      <c r="I630" s="128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  <c r="AF630" s="93"/>
      <c r="AG630" s="93"/>
      <c r="AH630" s="93"/>
      <c r="AI630" s="93"/>
      <c r="AJ630" s="93"/>
      <c r="AK630" s="93"/>
      <c r="AL630" s="93"/>
      <c r="AM630" s="93"/>
      <c r="AN630" s="93"/>
      <c r="AO630" s="93"/>
      <c r="AP630" s="93"/>
      <c r="AQ630" s="93"/>
    </row>
    <row r="631" spans="1:43" ht="12.75" customHeight="1">
      <c r="A631" s="93"/>
      <c r="B631" s="93"/>
      <c r="C631" s="117"/>
      <c r="D631" s="93"/>
      <c r="E631" s="93"/>
      <c r="F631" s="93"/>
      <c r="G631" s="93"/>
      <c r="H631" s="93"/>
      <c r="I631" s="128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  <c r="AF631" s="93"/>
      <c r="AG631" s="93"/>
      <c r="AH631" s="93"/>
      <c r="AI631" s="93"/>
      <c r="AJ631" s="93"/>
      <c r="AK631" s="93"/>
      <c r="AL631" s="93"/>
      <c r="AM631" s="93"/>
      <c r="AN631" s="93"/>
      <c r="AO631" s="93"/>
      <c r="AP631" s="93"/>
      <c r="AQ631" s="93"/>
    </row>
    <row r="632" spans="1:43" ht="12.75" customHeight="1">
      <c r="A632" s="93"/>
      <c r="B632" s="93"/>
      <c r="C632" s="117"/>
      <c r="D632" s="93"/>
      <c r="E632" s="93"/>
      <c r="F632" s="93"/>
      <c r="G632" s="93"/>
      <c r="H632" s="93"/>
      <c r="I632" s="128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93"/>
      <c r="AF632" s="93"/>
      <c r="AG632" s="93"/>
      <c r="AH632" s="93"/>
      <c r="AI632" s="93"/>
      <c r="AJ632" s="93"/>
      <c r="AK632" s="93"/>
      <c r="AL632" s="93"/>
      <c r="AM632" s="93"/>
      <c r="AN632" s="93"/>
      <c r="AO632" s="93"/>
      <c r="AP632" s="93"/>
      <c r="AQ632" s="93"/>
    </row>
    <row r="633" spans="1:43" ht="12.75" customHeight="1">
      <c r="A633" s="93"/>
      <c r="B633" s="93"/>
      <c r="C633" s="117"/>
      <c r="D633" s="93"/>
      <c r="E633" s="93"/>
      <c r="F633" s="93"/>
      <c r="G633" s="93"/>
      <c r="H633" s="93"/>
      <c r="I633" s="128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  <c r="AF633" s="93"/>
      <c r="AG633" s="93"/>
      <c r="AH633" s="93"/>
      <c r="AI633" s="93"/>
      <c r="AJ633" s="93"/>
      <c r="AK633" s="93"/>
      <c r="AL633" s="93"/>
      <c r="AM633" s="93"/>
      <c r="AN633" s="93"/>
      <c r="AO633" s="93"/>
      <c r="AP633" s="93"/>
      <c r="AQ633" s="93"/>
    </row>
    <row r="634" spans="1:43" ht="12.75" customHeight="1">
      <c r="A634" s="93"/>
      <c r="B634" s="93"/>
      <c r="C634" s="117"/>
      <c r="D634" s="93"/>
      <c r="E634" s="93"/>
      <c r="F634" s="93"/>
      <c r="G634" s="93"/>
      <c r="H634" s="93"/>
      <c r="I634" s="128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93"/>
      <c r="AF634" s="93"/>
      <c r="AG634" s="93"/>
      <c r="AH634" s="93"/>
      <c r="AI634" s="93"/>
      <c r="AJ634" s="93"/>
      <c r="AK634" s="93"/>
      <c r="AL634" s="93"/>
      <c r="AM634" s="93"/>
      <c r="AN634" s="93"/>
      <c r="AO634" s="93"/>
      <c r="AP634" s="93"/>
      <c r="AQ634" s="93"/>
    </row>
    <row r="635" spans="1:43" ht="12.75" customHeight="1">
      <c r="A635" s="93"/>
      <c r="B635" s="93"/>
      <c r="C635" s="117"/>
      <c r="D635" s="93"/>
      <c r="E635" s="93"/>
      <c r="F635" s="93"/>
      <c r="G635" s="93"/>
      <c r="H635" s="93"/>
      <c r="I635" s="128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  <c r="AF635" s="93"/>
      <c r="AG635" s="93"/>
      <c r="AH635" s="93"/>
      <c r="AI635" s="93"/>
      <c r="AJ635" s="93"/>
      <c r="AK635" s="93"/>
      <c r="AL635" s="93"/>
      <c r="AM635" s="93"/>
      <c r="AN635" s="93"/>
      <c r="AO635" s="93"/>
      <c r="AP635" s="93"/>
      <c r="AQ635" s="93"/>
    </row>
    <row r="636" spans="1:43" ht="12.75" customHeight="1">
      <c r="A636" s="93"/>
      <c r="B636" s="93"/>
      <c r="C636" s="117"/>
      <c r="D636" s="93"/>
      <c r="E636" s="93"/>
      <c r="F636" s="93"/>
      <c r="G636" s="93"/>
      <c r="H636" s="93"/>
      <c r="I636" s="128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93"/>
      <c r="AF636" s="93"/>
      <c r="AG636" s="93"/>
      <c r="AH636" s="93"/>
      <c r="AI636" s="93"/>
      <c r="AJ636" s="93"/>
      <c r="AK636" s="93"/>
      <c r="AL636" s="93"/>
      <c r="AM636" s="93"/>
      <c r="AN636" s="93"/>
      <c r="AO636" s="93"/>
      <c r="AP636" s="93"/>
      <c r="AQ636" s="93"/>
    </row>
    <row r="637" spans="1:43" ht="12.75" customHeight="1">
      <c r="A637" s="93"/>
      <c r="B637" s="93"/>
      <c r="C637" s="117"/>
      <c r="D637" s="93"/>
      <c r="E637" s="93"/>
      <c r="F637" s="93"/>
      <c r="G637" s="93"/>
      <c r="H637" s="93"/>
      <c r="I637" s="128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  <c r="AF637" s="93"/>
      <c r="AG637" s="93"/>
      <c r="AH637" s="93"/>
      <c r="AI637" s="93"/>
      <c r="AJ637" s="93"/>
      <c r="AK637" s="93"/>
      <c r="AL637" s="93"/>
      <c r="AM637" s="93"/>
      <c r="AN637" s="93"/>
      <c r="AO637" s="93"/>
      <c r="AP637" s="93"/>
      <c r="AQ637" s="93"/>
    </row>
    <row r="638" spans="1:43" ht="12.75" customHeight="1">
      <c r="A638" s="93"/>
      <c r="B638" s="93"/>
      <c r="C638" s="117"/>
      <c r="D638" s="93"/>
      <c r="E638" s="93"/>
      <c r="F638" s="93"/>
      <c r="G638" s="93"/>
      <c r="H638" s="93"/>
      <c r="I638" s="128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93"/>
      <c r="AF638" s="93"/>
      <c r="AG638" s="93"/>
      <c r="AH638" s="93"/>
      <c r="AI638" s="93"/>
      <c r="AJ638" s="93"/>
      <c r="AK638" s="93"/>
      <c r="AL638" s="93"/>
      <c r="AM638" s="93"/>
      <c r="AN638" s="93"/>
      <c r="AO638" s="93"/>
      <c r="AP638" s="93"/>
      <c r="AQ638" s="93"/>
    </row>
    <row r="639" spans="1:43" ht="12.75" customHeight="1">
      <c r="A639" s="93"/>
      <c r="B639" s="93"/>
      <c r="C639" s="117"/>
      <c r="D639" s="93"/>
      <c r="E639" s="93"/>
      <c r="F639" s="93"/>
      <c r="G639" s="93"/>
      <c r="H639" s="93"/>
      <c r="I639" s="128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  <c r="AF639" s="93"/>
      <c r="AG639" s="93"/>
      <c r="AH639" s="93"/>
      <c r="AI639" s="93"/>
      <c r="AJ639" s="93"/>
      <c r="AK639" s="93"/>
      <c r="AL639" s="93"/>
      <c r="AM639" s="93"/>
      <c r="AN639" s="93"/>
      <c r="AO639" s="93"/>
      <c r="AP639" s="93"/>
      <c r="AQ639" s="93"/>
    </row>
    <row r="640" spans="1:43" ht="12.75" customHeight="1">
      <c r="A640" s="93"/>
      <c r="B640" s="93"/>
      <c r="C640" s="117"/>
      <c r="D640" s="93"/>
      <c r="E640" s="93"/>
      <c r="F640" s="93"/>
      <c r="G640" s="93"/>
      <c r="H640" s="93"/>
      <c r="I640" s="128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  <c r="AF640" s="93"/>
      <c r="AG640" s="93"/>
      <c r="AH640" s="93"/>
      <c r="AI640" s="93"/>
      <c r="AJ640" s="93"/>
      <c r="AK640" s="93"/>
      <c r="AL640" s="93"/>
      <c r="AM640" s="93"/>
      <c r="AN640" s="93"/>
      <c r="AO640" s="93"/>
      <c r="AP640" s="93"/>
      <c r="AQ640" s="93"/>
    </row>
    <row r="641" spans="1:43" ht="12.75" customHeight="1">
      <c r="A641" s="93"/>
      <c r="B641" s="93"/>
      <c r="C641" s="117"/>
      <c r="D641" s="93"/>
      <c r="E641" s="93"/>
      <c r="F641" s="93"/>
      <c r="G641" s="93"/>
      <c r="H641" s="93"/>
      <c r="I641" s="128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  <c r="AF641" s="93"/>
      <c r="AG641" s="93"/>
      <c r="AH641" s="93"/>
      <c r="AI641" s="93"/>
      <c r="AJ641" s="93"/>
      <c r="AK641" s="93"/>
      <c r="AL641" s="93"/>
      <c r="AM641" s="93"/>
      <c r="AN641" s="93"/>
      <c r="AO641" s="93"/>
      <c r="AP641" s="93"/>
      <c r="AQ641" s="93"/>
    </row>
    <row r="642" spans="1:43" ht="12.75" customHeight="1">
      <c r="A642" s="93"/>
      <c r="B642" s="93"/>
      <c r="C642" s="117"/>
      <c r="D642" s="93"/>
      <c r="E642" s="93"/>
      <c r="F642" s="93"/>
      <c r="G642" s="93"/>
      <c r="H642" s="93"/>
      <c r="I642" s="128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93"/>
      <c r="AF642" s="93"/>
      <c r="AG642" s="93"/>
      <c r="AH642" s="93"/>
      <c r="AI642" s="93"/>
      <c r="AJ642" s="93"/>
      <c r="AK642" s="93"/>
      <c r="AL642" s="93"/>
      <c r="AM642" s="93"/>
      <c r="AN642" s="93"/>
      <c r="AO642" s="93"/>
      <c r="AP642" s="93"/>
      <c r="AQ642" s="93"/>
    </row>
    <row r="643" spans="1:43" ht="12.75" customHeight="1">
      <c r="A643" s="93"/>
      <c r="B643" s="93"/>
      <c r="C643" s="117"/>
      <c r="D643" s="93"/>
      <c r="E643" s="93"/>
      <c r="F643" s="93"/>
      <c r="G643" s="93"/>
      <c r="H643" s="93"/>
      <c r="I643" s="128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  <c r="AF643" s="93"/>
      <c r="AG643" s="93"/>
      <c r="AH643" s="93"/>
      <c r="AI643" s="93"/>
      <c r="AJ643" s="93"/>
      <c r="AK643" s="93"/>
      <c r="AL643" s="93"/>
      <c r="AM643" s="93"/>
      <c r="AN643" s="93"/>
      <c r="AO643" s="93"/>
      <c r="AP643" s="93"/>
      <c r="AQ643" s="93"/>
    </row>
    <row r="644" spans="1:43" ht="12.75" customHeight="1">
      <c r="A644" s="93"/>
      <c r="B644" s="93"/>
      <c r="C644" s="117"/>
      <c r="D644" s="93"/>
      <c r="E644" s="93"/>
      <c r="F644" s="93"/>
      <c r="G644" s="93"/>
      <c r="H644" s="93"/>
      <c r="I644" s="128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  <c r="AK644" s="93"/>
      <c r="AL644" s="93"/>
      <c r="AM644" s="93"/>
      <c r="AN644" s="93"/>
      <c r="AO644" s="93"/>
      <c r="AP644" s="93"/>
      <c r="AQ644" s="93"/>
    </row>
    <row r="645" spans="1:43" ht="12.75" customHeight="1">
      <c r="A645" s="93"/>
      <c r="B645" s="93"/>
      <c r="C645" s="117"/>
      <c r="D645" s="93"/>
      <c r="E645" s="93"/>
      <c r="F645" s="93"/>
      <c r="G645" s="93"/>
      <c r="H645" s="93"/>
      <c r="I645" s="128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3"/>
      <c r="AK645" s="93"/>
      <c r="AL645" s="93"/>
      <c r="AM645" s="93"/>
      <c r="AN645" s="93"/>
      <c r="AO645" s="93"/>
      <c r="AP645" s="93"/>
      <c r="AQ645" s="93"/>
    </row>
    <row r="646" spans="1:43" ht="12.75" customHeight="1">
      <c r="A646" s="93"/>
      <c r="B646" s="93"/>
      <c r="C646" s="117"/>
      <c r="D646" s="93"/>
      <c r="E646" s="93"/>
      <c r="F646" s="93"/>
      <c r="G646" s="93"/>
      <c r="H646" s="93"/>
      <c r="I646" s="128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  <c r="AK646" s="93"/>
      <c r="AL646" s="93"/>
      <c r="AM646" s="93"/>
      <c r="AN646" s="93"/>
      <c r="AO646" s="93"/>
      <c r="AP646" s="93"/>
      <c r="AQ646" s="93"/>
    </row>
    <row r="647" spans="1:43" ht="12.75" customHeight="1">
      <c r="A647" s="93"/>
      <c r="B647" s="93"/>
      <c r="C647" s="117"/>
      <c r="D647" s="93"/>
      <c r="E647" s="93"/>
      <c r="F647" s="93"/>
      <c r="G647" s="93"/>
      <c r="H647" s="93"/>
      <c r="I647" s="128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  <c r="AF647" s="93"/>
      <c r="AG647" s="93"/>
      <c r="AH647" s="93"/>
      <c r="AI647" s="93"/>
      <c r="AJ647" s="93"/>
      <c r="AK647" s="93"/>
      <c r="AL647" s="93"/>
      <c r="AM647" s="93"/>
      <c r="AN647" s="93"/>
      <c r="AO647" s="93"/>
      <c r="AP647" s="93"/>
      <c r="AQ647" s="93"/>
    </row>
    <row r="648" spans="1:43" ht="12.75" customHeight="1">
      <c r="A648" s="93"/>
      <c r="B648" s="93"/>
      <c r="C648" s="117"/>
      <c r="D648" s="93"/>
      <c r="E648" s="93"/>
      <c r="F648" s="93"/>
      <c r="G648" s="93"/>
      <c r="H648" s="93"/>
      <c r="I648" s="128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93"/>
      <c r="AF648" s="93"/>
      <c r="AG648" s="93"/>
      <c r="AH648" s="93"/>
      <c r="AI648" s="93"/>
      <c r="AJ648" s="93"/>
      <c r="AK648" s="93"/>
      <c r="AL648" s="93"/>
      <c r="AM648" s="93"/>
      <c r="AN648" s="93"/>
      <c r="AO648" s="93"/>
      <c r="AP648" s="93"/>
      <c r="AQ648" s="93"/>
    </row>
    <row r="649" spans="1:43" ht="12.75" customHeight="1">
      <c r="A649" s="93"/>
      <c r="B649" s="93"/>
      <c r="C649" s="117"/>
      <c r="D649" s="93"/>
      <c r="E649" s="93"/>
      <c r="F649" s="93"/>
      <c r="G649" s="93"/>
      <c r="H649" s="93"/>
      <c r="I649" s="128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  <c r="AF649" s="93"/>
      <c r="AG649" s="93"/>
      <c r="AH649" s="93"/>
      <c r="AI649" s="93"/>
      <c r="AJ649" s="93"/>
      <c r="AK649" s="93"/>
      <c r="AL649" s="93"/>
      <c r="AM649" s="93"/>
      <c r="AN649" s="93"/>
      <c r="AO649" s="93"/>
      <c r="AP649" s="93"/>
      <c r="AQ649" s="93"/>
    </row>
    <row r="650" spans="1:43" ht="12.75" customHeight="1">
      <c r="A650" s="93"/>
      <c r="B650" s="93"/>
      <c r="C650" s="117"/>
      <c r="D650" s="93"/>
      <c r="E650" s="93"/>
      <c r="F650" s="93"/>
      <c r="G650" s="93"/>
      <c r="H650" s="93"/>
      <c r="I650" s="128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  <c r="AF650" s="93"/>
      <c r="AG650" s="93"/>
      <c r="AH650" s="93"/>
      <c r="AI650" s="93"/>
      <c r="AJ650" s="93"/>
      <c r="AK650" s="93"/>
      <c r="AL650" s="93"/>
      <c r="AM650" s="93"/>
      <c r="AN650" s="93"/>
      <c r="AO650" s="93"/>
      <c r="AP650" s="93"/>
      <c r="AQ650" s="93"/>
    </row>
    <row r="651" spans="1:43" ht="12.75" customHeight="1">
      <c r="A651" s="93"/>
      <c r="B651" s="93"/>
      <c r="C651" s="117"/>
      <c r="D651" s="93"/>
      <c r="E651" s="93"/>
      <c r="F651" s="93"/>
      <c r="G651" s="93"/>
      <c r="H651" s="93"/>
      <c r="I651" s="128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  <c r="AF651" s="93"/>
      <c r="AG651" s="93"/>
      <c r="AH651" s="93"/>
      <c r="AI651" s="93"/>
      <c r="AJ651" s="93"/>
      <c r="AK651" s="93"/>
      <c r="AL651" s="93"/>
      <c r="AM651" s="93"/>
      <c r="AN651" s="93"/>
      <c r="AO651" s="93"/>
      <c r="AP651" s="93"/>
      <c r="AQ651" s="93"/>
    </row>
    <row r="652" spans="1:43" ht="12.75" customHeight="1">
      <c r="A652" s="93"/>
      <c r="B652" s="93"/>
      <c r="C652" s="117"/>
      <c r="D652" s="93"/>
      <c r="E652" s="93"/>
      <c r="F652" s="93"/>
      <c r="G652" s="93"/>
      <c r="H652" s="93"/>
      <c r="I652" s="128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93"/>
      <c r="AF652" s="93"/>
      <c r="AG652" s="93"/>
      <c r="AH652" s="93"/>
      <c r="AI652" s="93"/>
      <c r="AJ652" s="93"/>
      <c r="AK652" s="93"/>
      <c r="AL652" s="93"/>
      <c r="AM652" s="93"/>
      <c r="AN652" s="93"/>
      <c r="AO652" s="93"/>
      <c r="AP652" s="93"/>
      <c r="AQ652" s="93"/>
    </row>
    <row r="653" spans="1:43" ht="12.75" customHeight="1">
      <c r="A653" s="93"/>
      <c r="B653" s="93"/>
      <c r="C653" s="117"/>
      <c r="D653" s="93"/>
      <c r="E653" s="93"/>
      <c r="F653" s="93"/>
      <c r="G653" s="93"/>
      <c r="H653" s="93"/>
      <c r="I653" s="128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  <c r="AF653" s="93"/>
      <c r="AG653" s="93"/>
      <c r="AH653" s="93"/>
      <c r="AI653" s="93"/>
      <c r="AJ653" s="93"/>
      <c r="AK653" s="93"/>
      <c r="AL653" s="93"/>
      <c r="AM653" s="93"/>
      <c r="AN653" s="93"/>
      <c r="AO653" s="93"/>
      <c r="AP653" s="93"/>
      <c r="AQ653" s="93"/>
    </row>
    <row r="654" spans="1:43" ht="12.75" customHeight="1">
      <c r="A654" s="93"/>
      <c r="B654" s="93"/>
      <c r="C654" s="117"/>
      <c r="D654" s="93"/>
      <c r="E654" s="93"/>
      <c r="F654" s="93"/>
      <c r="G654" s="93"/>
      <c r="H654" s="93"/>
      <c r="I654" s="128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93"/>
      <c r="AF654" s="93"/>
      <c r="AG654" s="93"/>
      <c r="AH654" s="93"/>
      <c r="AI654" s="93"/>
      <c r="AJ654" s="93"/>
      <c r="AK654" s="93"/>
      <c r="AL654" s="93"/>
      <c r="AM654" s="93"/>
      <c r="AN654" s="93"/>
      <c r="AO654" s="93"/>
      <c r="AP654" s="93"/>
      <c r="AQ654" s="93"/>
    </row>
    <row r="655" spans="1:43" ht="12.75" customHeight="1">
      <c r="A655" s="93"/>
      <c r="B655" s="93"/>
      <c r="C655" s="117"/>
      <c r="D655" s="93"/>
      <c r="E655" s="93"/>
      <c r="F655" s="93"/>
      <c r="G655" s="93"/>
      <c r="H655" s="93"/>
      <c r="I655" s="128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  <c r="AF655" s="93"/>
      <c r="AG655" s="93"/>
      <c r="AH655" s="93"/>
      <c r="AI655" s="93"/>
      <c r="AJ655" s="93"/>
      <c r="AK655" s="93"/>
      <c r="AL655" s="93"/>
      <c r="AM655" s="93"/>
      <c r="AN655" s="93"/>
      <c r="AO655" s="93"/>
      <c r="AP655" s="93"/>
      <c r="AQ655" s="93"/>
    </row>
    <row r="656" spans="1:43" ht="12.75" customHeight="1">
      <c r="A656" s="93"/>
      <c r="B656" s="93"/>
      <c r="C656" s="117"/>
      <c r="D656" s="93"/>
      <c r="E656" s="93"/>
      <c r="F656" s="93"/>
      <c r="G656" s="93"/>
      <c r="H656" s="93"/>
      <c r="I656" s="128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93"/>
      <c r="AF656" s="93"/>
      <c r="AG656" s="93"/>
      <c r="AH656" s="93"/>
      <c r="AI656" s="93"/>
      <c r="AJ656" s="93"/>
      <c r="AK656" s="93"/>
      <c r="AL656" s="93"/>
      <c r="AM656" s="93"/>
      <c r="AN656" s="93"/>
      <c r="AO656" s="93"/>
      <c r="AP656" s="93"/>
      <c r="AQ656" s="93"/>
    </row>
    <row r="657" spans="1:43" ht="12.75" customHeight="1">
      <c r="A657" s="93"/>
      <c r="B657" s="93"/>
      <c r="C657" s="117"/>
      <c r="D657" s="93"/>
      <c r="E657" s="93"/>
      <c r="F657" s="93"/>
      <c r="G657" s="93"/>
      <c r="H657" s="93"/>
      <c r="I657" s="128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  <c r="AF657" s="93"/>
      <c r="AG657" s="93"/>
      <c r="AH657" s="93"/>
      <c r="AI657" s="93"/>
      <c r="AJ657" s="93"/>
      <c r="AK657" s="93"/>
      <c r="AL657" s="93"/>
      <c r="AM657" s="93"/>
      <c r="AN657" s="93"/>
      <c r="AO657" s="93"/>
      <c r="AP657" s="93"/>
      <c r="AQ657" s="93"/>
    </row>
    <row r="658" spans="1:43" ht="12.75" customHeight="1">
      <c r="A658" s="93"/>
      <c r="B658" s="93"/>
      <c r="C658" s="117"/>
      <c r="D658" s="93"/>
      <c r="E658" s="93"/>
      <c r="F658" s="93"/>
      <c r="G658" s="93"/>
      <c r="H658" s="93"/>
      <c r="I658" s="128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93"/>
      <c r="AF658" s="93"/>
      <c r="AG658" s="93"/>
      <c r="AH658" s="93"/>
      <c r="AI658" s="93"/>
      <c r="AJ658" s="93"/>
      <c r="AK658" s="93"/>
      <c r="AL658" s="93"/>
      <c r="AM658" s="93"/>
      <c r="AN658" s="93"/>
      <c r="AO658" s="93"/>
      <c r="AP658" s="93"/>
      <c r="AQ658" s="93"/>
    </row>
    <row r="659" spans="1:43" ht="12.75" customHeight="1">
      <c r="A659" s="93"/>
      <c r="B659" s="93"/>
      <c r="C659" s="117"/>
      <c r="D659" s="93"/>
      <c r="E659" s="93"/>
      <c r="F659" s="93"/>
      <c r="G659" s="93"/>
      <c r="H659" s="93"/>
      <c r="I659" s="128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  <c r="AF659" s="93"/>
      <c r="AG659" s="93"/>
      <c r="AH659" s="93"/>
      <c r="AI659" s="93"/>
      <c r="AJ659" s="93"/>
      <c r="AK659" s="93"/>
      <c r="AL659" s="93"/>
      <c r="AM659" s="93"/>
      <c r="AN659" s="93"/>
      <c r="AO659" s="93"/>
      <c r="AP659" s="93"/>
      <c r="AQ659" s="93"/>
    </row>
    <row r="660" spans="1:43" ht="12.75" customHeight="1">
      <c r="A660" s="93"/>
      <c r="B660" s="93"/>
      <c r="C660" s="117"/>
      <c r="D660" s="93"/>
      <c r="E660" s="93"/>
      <c r="F660" s="93"/>
      <c r="G660" s="93"/>
      <c r="H660" s="93"/>
      <c r="I660" s="128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  <c r="AF660" s="93"/>
      <c r="AG660" s="93"/>
      <c r="AH660" s="93"/>
      <c r="AI660" s="93"/>
      <c r="AJ660" s="93"/>
      <c r="AK660" s="93"/>
      <c r="AL660" s="93"/>
      <c r="AM660" s="93"/>
      <c r="AN660" s="93"/>
      <c r="AO660" s="93"/>
      <c r="AP660" s="93"/>
      <c r="AQ660" s="93"/>
    </row>
    <row r="661" spans="1:43" ht="12.75" customHeight="1">
      <c r="A661" s="93"/>
      <c r="B661" s="93"/>
      <c r="C661" s="117"/>
      <c r="D661" s="93"/>
      <c r="E661" s="93"/>
      <c r="F661" s="93"/>
      <c r="G661" s="93"/>
      <c r="H661" s="93"/>
      <c r="I661" s="128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  <c r="AF661" s="93"/>
      <c r="AG661" s="93"/>
      <c r="AH661" s="93"/>
      <c r="AI661" s="93"/>
      <c r="AJ661" s="93"/>
      <c r="AK661" s="93"/>
      <c r="AL661" s="93"/>
      <c r="AM661" s="93"/>
      <c r="AN661" s="93"/>
      <c r="AO661" s="93"/>
      <c r="AP661" s="93"/>
      <c r="AQ661" s="93"/>
    </row>
    <row r="662" spans="1:43" ht="12.75" customHeight="1">
      <c r="A662" s="93"/>
      <c r="B662" s="93"/>
      <c r="C662" s="117"/>
      <c r="D662" s="93"/>
      <c r="E662" s="93"/>
      <c r="F662" s="93"/>
      <c r="G662" s="93"/>
      <c r="H662" s="93"/>
      <c r="I662" s="128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93"/>
      <c r="AF662" s="93"/>
      <c r="AG662" s="93"/>
      <c r="AH662" s="93"/>
      <c r="AI662" s="93"/>
      <c r="AJ662" s="93"/>
      <c r="AK662" s="93"/>
      <c r="AL662" s="93"/>
      <c r="AM662" s="93"/>
      <c r="AN662" s="93"/>
      <c r="AO662" s="93"/>
      <c r="AP662" s="93"/>
      <c r="AQ662" s="93"/>
    </row>
    <row r="663" spans="1:43" ht="12.75" customHeight="1">
      <c r="A663" s="93"/>
      <c r="B663" s="93"/>
      <c r="C663" s="117"/>
      <c r="D663" s="93"/>
      <c r="E663" s="93"/>
      <c r="F663" s="93"/>
      <c r="G663" s="93"/>
      <c r="H663" s="93"/>
      <c r="I663" s="128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  <c r="AF663" s="93"/>
      <c r="AG663" s="93"/>
      <c r="AH663" s="93"/>
      <c r="AI663" s="93"/>
      <c r="AJ663" s="93"/>
      <c r="AK663" s="93"/>
      <c r="AL663" s="93"/>
      <c r="AM663" s="93"/>
      <c r="AN663" s="93"/>
      <c r="AO663" s="93"/>
      <c r="AP663" s="93"/>
      <c r="AQ663" s="93"/>
    </row>
    <row r="664" spans="1:43" ht="12.75" customHeight="1">
      <c r="A664" s="93"/>
      <c r="B664" s="93"/>
      <c r="C664" s="117"/>
      <c r="D664" s="93"/>
      <c r="E664" s="93"/>
      <c r="F664" s="93"/>
      <c r="G664" s="93"/>
      <c r="H664" s="93"/>
      <c r="I664" s="128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93"/>
      <c r="AF664" s="93"/>
      <c r="AG664" s="93"/>
      <c r="AH664" s="93"/>
      <c r="AI664" s="93"/>
      <c r="AJ664" s="93"/>
      <c r="AK664" s="93"/>
      <c r="AL664" s="93"/>
      <c r="AM664" s="93"/>
      <c r="AN664" s="93"/>
      <c r="AO664" s="93"/>
      <c r="AP664" s="93"/>
      <c r="AQ664" s="93"/>
    </row>
    <row r="665" spans="1:43" ht="12.75" customHeight="1">
      <c r="A665" s="93"/>
      <c r="B665" s="93"/>
      <c r="C665" s="117"/>
      <c r="D665" s="93"/>
      <c r="E665" s="93"/>
      <c r="F665" s="93"/>
      <c r="G665" s="93"/>
      <c r="H665" s="93"/>
      <c r="I665" s="128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G665" s="93"/>
      <c r="AH665" s="93"/>
      <c r="AI665" s="93"/>
      <c r="AJ665" s="93"/>
      <c r="AK665" s="93"/>
      <c r="AL665" s="93"/>
      <c r="AM665" s="93"/>
      <c r="AN665" s="93"/>
      <c r="AO665" s="93"/>
      <c r="AP665" s="93"/>
      <c r="AQ665" s="93"/>
    </row>
    <row r="666" spans="1:43" ht="12.75" customHeight="1">
      <c r="A666" s="93"/>
      <c r="B666" s="93"/>
      <c r="C666" s="117"/>
      <c r="D666" s="93"/>
      <c r="E666" s="93"/>
      <c r="F666" s="93"/>
      <c r="G666" s="93"/>
      <c r="H666" s="93"/>
      <c r="I666" s="128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93"/>
      <c r="AF666" s="93"/>
      <c r="AG666" s="93"/>
      <c r="AH666" s="93"/>
      <c r="AI666" s="93"/>
      <c r="AJ666" s="93"/>
      <c r="AK666" s="93"/>
      <c r="AL666" s="93"/>
      <c r="AM666" s="93"/>
      <c r="AN666" s="93"/>
      <c r="AO666" s="93"/>
      <c r="AP666" s="93"/>
      <c r="AQ666" s="93"/>
    </row>
    <row r="667" spans="1:43" ht="12.75" customHeight="1">
      <c r="A667" s="93"/>
      <c r="B667" s="93"/>
      <c r="C667" s="117"/>
      <c r="D667" s="93"/>
      <c r="E667" s="93"/>
      <c r="F667" s="93"/>
      <c r="G667" s="93"/>
      <c r="H667" s="93"/>
      <c r="I667" s="128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  <c r="AF667" s="93"/>
      <c r="AG667" s="93"/>
      <c r="AH667" s="93"/>
      <c r="AI667" s="93"/>
      <c r="AJ667" s="93"/>
      <c r="AK667" s="93"/>
      <c r="AL667" s="93"/>
      <c r="AM667" s="93"/>
      <c r="AN667" s="93"/>
      <c r="AO667" s="93"/>
      <c r="AP667" s="93"/>
      <c r="AQ667" s="93"/>
    </row>
    <row r="668" spans="1:43" ht="12.75" customHeight="1">
      <c r="A668" s="93"/>
      <c r="B668" s="93"/>
      <c r="C668" s="117"/>
      <c r="D668" s="93"/>
      <c r="E668" s="93"/>
      <c r="F668" s="93"/>
      <c r="G668" s="93"/>
      <c r="H668" s="93"/>
      <c r="I668" s="128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93"/>
      <c r="AF668" s="93"/>
      <c r="AG668" s="93"/>
      <c r="AH668" s="93"/>
      <c r="AI668" s="93"/>
      <c r="AJ668" s="93"/>
      <c r="AK668" s="93"/>
      <c r="AL668" s="93"/>
      <c r="AM668" s="93"/>
      <c r="AN668" s="93"/>
      <c r="AO668" s="93"/>
      <c r="AP668" s="93"/>
      <c r="AQ668" s="93"/>
    </row>
    <row r="669" spans="1:43" ht="12.75" customHeight="1">
      <c r="A669" s="93"/>
      <c r="B669" s="93"/>
      <c r="C669" s="117"/>
      <c r="D669" s="93"/>
      <c r="E669" s="93"/>
      <c r="F669" s="93"/>
      <c r="G669" s="93"/>
      <c r="H669" s="93"/>
      <c r="I669" s="128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  <c r="AF669" s="93"/>
      <c r="AG669" s="93"/>
      <c r="AH669" s="93"/>
      <c r="AI669" s="93"/>
      <c r="AJ669" s="93"/>
      <c r="AK669" s="93"/>
      <c r="AL669" s="93"/>
      <c r="AM669" s="93"/>
      <c r="AN669" s="93"/>
      <c r="AO669" s="93"/>
      <c r="AP669" s="93"/>
      <c r="AQ669" s="93"/>
    </row>
    <row r="670" spans="1:43" ht="12.75" customHeight="1">
      <c r="A670" s="93"/>
      <c r="B670" s="93"/>
      <c r="C670" s="117"/>
      <c r="D670" s="93"/>
      <c r="E670" s="93"/>
      <c r="F670" s="93"/>
      <c r="G670" s="93"/>
      <c r="H670" s="93"/>
      <c r="I670" s="128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  <c r="AF670" s="93"/>
      <c r="AG670" s="93"/>
      <c r="AH670" s="93"/>
      <c r="AI670" s="93"/>
      <c r="AJ670" s="93"/>
      <c r="AK670" s="93"/>
      <c r="AL670" s="93"/>
      <c r="AM670" s="93"/>
      <c r="AN670" s="93"/>
      <c r="AO670" s="93"/>
      <c r="AP670" s="93"/>
      <c r="AQ670" s="93"/>
    </row>
    <row r="671" spans="1:43" ht="12.75" customHeight="1">
      <c r="A671" s="93"/>
      <c r="B671" s="93"/>
      <c r="C671" s="117"/>
      <c r="D671" s="93"/>
      <c r="E671" s="93"/>
      <c r="F671" s="93"/>
      <c r="G671" s="93"/>
      <c r="H671" s="93"/>
      <c r="I671" s="128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  <c r="AF671" s="93"/>
      <c r="AG671" s="93"/>
      <c r="AH671" s="93"/>
      <c r="AI671" s="93"/>
      <c r="AJ671" s="93"/>
      <c r="AK671" s="93"/>
      <c r="AL671" s="93"/>
      <c r="AM671" s="93"/>
      <c r="AN671" s="93"/>
      <c r="AO671" s="93"/>
      <c r="AP671" s="93"/>
      <c r="AQ671" s="93"/>
    </row>
    <row r="672" spans="1:43" ht="12.75" customHeight="1">
      <c r="A672" s="93"/>
      <c r="B672" s="93"/>
      <c r="C672" s="117"/>
      <c r="D672" s="93"/>
      <c r="E672" s="93"/>
      <c r="F672" s="93"/>
      <c r="G672" s="93"/>
      <c r="H672" s="93"/>
      <c r="I672" s="128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93"/>
      <c r="AF672" s="93"/>
      <c r="AG672" s="93"/>
      <c r="AH672" s="93"/>
      <c r="AI672" s="93"/>
      <c r="AJ672" s="93"/>
      <c r="AK672" s="93"/>
      <c r="AL672" s="93"/>
      <c r="AM672" s="93"/>
      <c r="AN672" s="93"/>
      <c r="AO672" s="93"/>
      <c r="AP672" s="93"/>
      <c r="AQ672" s="93"/>
    </row>
    <row r="673" spans="1:43" ht="12.75" customHeight="1">
      <c r="A673" s="93"/>
      <c r="B673" s="93"/>
      <c r="C673" s="117"/>
      <c r="D673" s="93"/>
      <c r="E673" s="93"/>
      <c r="F673" s="93"/>
      <c r="G673" s="93"/>
      <c r="H673" s="93"/>
      <c r="I673" s="128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  <c r="AF673" s="93"/>
      <c r="AG673" s="93"/>
      <c r="AH673" s="93"/>
      <c r="AI673" s="93"/>
      <c r="AJ673" s="93"/>
      <c r="AK673" s="93"/>
      <c r="AL673" s="93"/>
      <c r="AM673" s="93"/>
      <c r="AN673" s="93"/>
      <c r="AO673" s="93"/>
      <c r="AP673" s="93"/>
      <c r="AQ673" s="93"/>
    </row>
    <row r="674" spans="1:43" ht="12.75" customHeight="1">
      <c r="A674" s="93"/>
      <c r="B674" s="93"/>
      <c r="C674" s="117"/>
      <c r="D674" s="93"/>
      <c r="E674" s="93"/>
      <c r="F674" s="93"/>
      <c r="G674" s="93"/>
      <c r="H674" s="93"/>
      <c r="I674" s="128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93"/>
      <c r="AF674" s="93"/>
      <c r="AG674" s="93"/>
      <c r="AH674" s="93"/>
      <c r="AI674" s="93"/>
      <c r="AJ674" s="93"/>
      <c r="AK674" s="93"/>
      <c r="AL674" s="93"/>
      <c r="AM674" s="93"/>
      <c r="AN674" s="93"/>
      <c r="AO674" s="93"/>
      <c r="AP674" s="93"/>
      <c r="AQ674" s="93"/>
    </row>
    <row r="675" spans="1:43" ht="12.75" customHeight="1">
      <c r="A675" s="93"/>
      <c r="B675" s="93"/>
      <c r="C675" s="117"/>
      <c r="D675" s="93"/>
      <c r="E675" s="93"/>
      <c r="F675" s="93"/>
      <c r="G675" s="93"/>
      <c r="H675" s="93"/>
      <c r="I675" s="128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  <c r="AF675" s="93"/>
      <c r="AG675" s="93"/>
      <c r="AH675" s="93"/>
      <c r="AI675" s="93"/>
      <c r="AJ675" s="93"/>
      <c r="AK675" s="93"/>
      <c r="AL675" s="93"/>
      <c r="AM675" s="93"/>
      <c r="AN675" s="93"/>
      <c r="AO675" s="93"/>
      <c r="AP675" s="93"/>
      <c r="AQ675" s="93"/>
    </row>
    <row r="676" spans="1:43" ht="12.75" customHeight="1">
      <c r="A676" s="93"/>
      <c r="B676" s="93"/>
      <c r="C676" s="117"/>
      <c r="D676" s="93"/>
      <c r="E676" s="93"/>
      <c r="F676" s="93"/>
      <c r="G676" s="93"/>
      <c r="H676" s="93"/>
      <c r="I676" s="128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93"/>
      <c r="AF676" s="93"/>
      <c r="AG676" s="93"/>
      <c r="AH676" s="93"/>
      <c r="AI676" s="93"/>
      <c r="AJ676" s="93"/>
      <c r="AK676" s="93"/>
      <c r="AL676" s="93"/>
      <c r="AM676" s="93"/>
      <c r="AN676" s="93"/>
      <c r="AO676" s="93"/>
      <c r="AP676" s="93"/>
      <c r="AQ676" s="93"/>
    </row>
    <row r="677" spans="1:43" ht="12.75" customHeight="1">
      <c r="A677" s="93"/>
      <c r="B677" s="93"/>
      <c r="C677" s="117"/>
      <c r="D677" s="93"/>
      <c r="E677" s="93"/>
      <c r="F677" s="93"/>
      <c r="G677" s="93"/>
      <c r="H677" s="93"/>
      <c r="I677" s="128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  <c r="AF677" s="93"/>
      <c r="AG677" s="93"/>
      <c r="AH677" s="93"/>
      <c r="AI677" s="93"/>
      <c r="AJ677" s="93"/>
      <c r="AK677" s="93"/>
      <c r="AL677" s="93"/>
      <c r="AM677" s="93"/>
      <c r="AN677" s="93"/>
      <c r="AO677" s="93"/>
      <c r="AP677" s="93"/>
      <c r="AQ677" s="93"/>
    </row>
    <row r="678" spans="1:43" ht="12.75" customHeight="1">
      <c r="A678" s="93"/>
      <c r="B678" s="93"/>
      <c r="C678" s="117"/>
      <c r="D678" s="93"/>
      <c r="E678" s="93"/>
      <c r="F678" s="93"/>
      <c r="G678" s="93"/>
      <c r="H678" s="93"/>
      <c r="I678" s="128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93"/>
      <c r="AF678" s="93"/>
      <c r="AG678" s="93"/>
      <c r="AH678" s="93"/>
      <c r="AI678" s="93"/>
      <c r="AJ678" s="93"/>
      <c r="AK678" s="93"/>
      <c r="AL678" s="93"/>
      <c r="AM678" s="93"/>
      <c r="AN678" s="93"/>
      <c r="AO678" s="93"/>
      <c r="AP678" s="93"/>
      <c r="AQ678" s="93"/>
    </row>
    <row r="679" spans="1:43" ht="12.75" customHeight="1">
      <c r="A679" s="93"/>
      <c r="B679" s="93"/>
      <c r="C679" s="117"/>
      <c r="D679" s="93"/>
      <c r="E679" s="93"/>
      <c r="F679" s="93"/>
      <c r="G679" s="93"/>
      <c r="H679" s="93"/>
      <c r="I679" s="128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  <c r="AF679" s="93"/>
      <c r="AG679" s="93"/>
      <c r="AH679" s="93"/>
      <c r="AI679" s="93"/>
      <c r="AJ679" s="93"/>
      <c r="AK679" s="93"/>
      <c r="AL679" s="93"/>
      <c r="AM679" s="93"/>
      <c r="AN679" s="93"/>
      <c r="AO679" s="93"/>
      <c r="AP679" s="93"/>
      <c r="AQ679" s="93"/>
    </row>
    <row r="680" spans="1:43" ht="12.75" customHeight="1">
      <c r="A680" s="93"/>
      <c r="B680" s="93"/>
      <c r="C680" s="117"/>
      <c r="D680" s="93"/>
      <c r="E680" s="93"/>
      <c r="F680" s="93"/>
      <c r="G680" s="93"/>
      <c r="H680" s="93"/>
      <c r="I680" s="128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  <c r="AF680" s="93"/>
      <c r="AG680" s="93"/>
      <c r="AH680" s="93"/>
      <c r="AI680" s="93"/>
      <c r="AJ680" s="93"/>
      <c r="AK680" s="93"/>
      <c r="AL680" s="93"/>
      <c r="AM680" s="93"/>
      <c r="AN680" s="93"/>
      <c r="AO680" s="93"/>
      <c r="AP680" s="93"/>
      <c r="AQ680" s="93"/>
    </row>
    <row r="681" spans="1:43" ht="12.75" customHeight="1">
      <c r="A681" s="93"/>
      <c r="B681" s="93"/>
      <c r="C681" s="117"/>
      <c r="D681" s="93"/>
      <c r="E681" s="93"/>
      <c r="F681" s="93"/>
      <c r="G681" s="93"/>
      <c r="H681" s="93"/>
      <c r="I681" s="128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  <c r="AF681" s="93"/>
      <c r="AG681" s="93"/>
      <c r="AH681" s="93"/>
      <c r="AI681" s="93"/>
      <c r="AJ681" s="93"/>
      <c r="AK681" s="93"/>
      <c r="AL681" s="93"/>
      <c r="AM681" s="93"/>
      <c r="AN681" s="93"/>
      <c r="AO681" s="93"/>
      <c r="AP681" s="93"/>
      <c r="AQ681" s="93"/>
    </row>
    <row r="682" spans="1:43" ht="12.75" customHeight="1">
      <c r="A682" s="93"/>
      <c r="B682" s="93"/>
      <c r="C682" s="117"/>
      <c r="D682" s="93"/>
      <c r="E682" s="93"/>
      <c r="F682" s="93"/>
      <c r="G682" s="93"/>
      <c r="H682" s="93"/>
      <c r="I682" s="128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93"/>
      <c r="AF682" s="93"/>
      <c r="AG682" s="93"/>
      <c r="AH682" s="93"/>
      <c r="AI682" s="93"/>
      <c r="AJ682" s="93"/>
      <c r="AK682" s="93"/>
      <c r="AL682" s="93"/>
      <c r="AM682" s="93"/>
      <c r="AN682" s="93"/>
      <c r="AO682" s="93"/>
      <c r="AP682" s="93"/>
      <c r="AQ682" s="93"/>
    </row>
    <row r="683" spans="1:43" ht="12.75" customHeight="1">
      <c r="A683" s="93"/>
      <c r="B683" s="93"/>
      <c r="C683" s="117"/>
      <c r="D683" s="93"/>
      <c r="E683" s="93"/>
      <c r="F683" s="93"/>
      <c r="G683" s="93"/>
      <c r="H683" s="93"/>
      <c r="I683" s="128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  <c r="AF683" s="93"/>
      <c r="AG683" s="93"/>
      <c r="AH683" s="93"/>
      <c r="AI683" s="93"/>
      <c r="AJ683" s="93"/>
      <c r="AK683" s="93"/>
      <c r="AL683" s="93"/>
      <c r="AM683" s="93"/>
      <c r="AN683" s="93"/>
      <c r="AO683" s="93"/>
      <c r="AP683" s="93"/>
      <c r="AQ683" s="93"/>
    </row>
    <row r="684" spans="1:43" ht="12.75" customHeight="1">
      <c r="A684" s="93"/>
      <c r="B684" s="93"/>
      <c r="C684" s="117"/>
      <c r="D684" s="93"/>
      <c r="E684" s="93"/>
      <c r="F684" s="93"/>
      <c r="G684" s="93"/>
      <c r="H684" s="93"/>
      <c r="I684" s="128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93"/>
      <c r="AF684" s="93"/>
      <c r="AG684" s="93"/>
      <c r="AH684" s="93"/>
      <c r="AI684" s="93"/>
      <c r="AJ684" s="93"/>
      <c r="AK684" s="93"/>
      <c r="AL684" s="93"/>
      <c r="AM684" s="93"/>
      <c r="AN684" s="93"/>
      <c r="AO684" s="93"/>
      <c r="AP684" s="93"/>
      <c r="AQ684" s="93"/>
    </row>
    <row r="685" spans="1:43" ht="12.75" customHeight="1">
      <c r="A685" s="93"/>
      <c r="B685" s="93"/>
      <c r="C685" s="117"/>
      <c r="D685" s="93"/>
      <c r="E685" s="93"/>
      <c r="F685" s="93"/>
      <c r="G685" s="93"/>
      <c r="H685" s="93"/>
      <c r="I685" s="128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  <c r="AF685" s="93"/>
      <c r="AG685" s="93"/>
      <c r="AH685" s="93"/>
      <c r="AI685" s="93"/>
      <c r="AJ685" s="93"/>
      <c r="AK685" s="93"/>
      <c r="AL685" s="93"/>
      <c r="AM685" s="93"/>
      <c r="AN685" s="93"/>
      <c r="AO685" s="93"/>
      <c r="AP685" s="93"/>
      <c r="AQ685" s="93"/>
    </row>
    <row r="686" spans="1:43" ht="12.75" customHeight="1">
      <c r="A686" s="93"/>
      <c r="B686" s="93"/>
      <c r="C686" s="117"/>
      <c r="D686" s="93"/>
      <c r="E686" s="93"/>
      <c r="F686" s="93"/>
      <c r="G686" s="93"/>
      <c r="H686" s="93"/>
      <c r="I686" s="128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93"/>
      <c r="AF686" s="93"/>
      <c r="AG686" s="93"/>
      <c r="AH686" s="93"/>
      <c r="AI686" s="93"/>
      <c r="AJ686" s="93"/>
      <c r="AK686" s="93"/>
      <c r="AL686" s="93"/>
      <c r="AM686" s="93"/>
      <c r="AN686" s="93"/>
      <c r="AO686" s="93"/>
      <c r="AP686" s="93"/>
      <c r="AQ686" s="93"/>
    </row>
    <row r="687" spans="1:43" ht="12.75" customHeight="1">
      <c r="A687" s="93"/>
      <c r="B687" s="93"/>
      <c r="C687" s="117"/>
      <c r="D687" s="93"/>
      <c r="E687" s="93"/>
      <c r="F687" s="93"/>
      <c r="G687" s="93"/>
      <c r="H687" s="93"/>
      <c r="I687" s="128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  <c r="AF687" s="93"/>
      <c r="AG687" s="93"/>
      <c r="AH687" s="93"/>
      <c r="AI687" s="93"/>
      <c r="AJ687" s="93"/>
      <c r="AK687" s="93"/>
      <c r="AL687" s="93"/>
      <c r="AM687" s="93"/>
      <c r="AN687" s="93"/>
      <c r="AO687" s="93"/>
      <c r="AP687" s="93"/>
      <c r="AQ687" s="93"/>
    </row>
    <row r="688" spans="1:43" ht="12.75" customHeight="1">
      <c r="A688" s="93"/>
      <c r="B688" s="93"/>
      <c r="C688" s="117"/>
      <c r="D688" s="93"/>
      <c r="E688" s="93"/>
      <c r="F688" s="93"/>
      <c r="G688" s="93"/>
      <c r="H688" s="93"/>
      <c r="I688" s="128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93"/>
      <c r="AF688" s="93"/>
      <c r="AG688" s="93"/>
      <c r="AH688" s="93"/>
      <c r="AI688" s="93"/>
      <c r="AJ688" s="93"/>
      <c r="AK688" s="93"/>
      <c r="AL688" s="93"/>
      <c r="AM688" s="93"/>
      <c r="AN688" s="93"/>
      <c r="AO688" s="93"/>
      <c r="AP688" s="93"/>
      <c r="AQ688" s="93"/>
    </row>
    <row r="689" spans="1:43" ht="12.75" customHeight="1">
      <c r="A689" s="93"/>
      <c r="B689" s="93"/>
      <c r="C689" s="117"/>
      <c r="D689" s="93"/>
      <c r="E689" s="93"/>
      <c r="F689" s="93"/>
      <c r="G689" s="93"/>
      <c r="H689" s="93"/>
      <c r="I689" s="128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  <c r="AF689" s="93"/>
      <c r="AG689" s="93"/>
      <c r="AH689" s="93"/>
      <c r="AI689" s="93"/>
      <c r="AJ689" s="93"/>
      <c r="AK689" s="93"/>
      <c r="AL689" s="93"/>
      <c r="AM689" s="93"/>
      <c r="AN689" s="93"/>
      <c r="AO689" s="93"/>
      <c r="AP689" s="93"/>
      <c r="AQ689" s="93"/>
    </row>
    <row r="690" spans="1:43" ht="12.75" customHeight="1">
      <c r="A690" s="93"/>
      <c r="B690" s="93"/>
      <c r="C690" s="117"/>
      <c r="D690" s="93"/>
      <c r="E690" s="93"/>
      <c r="F690" s="93"/>
      <c r="G690" s="93"/>
      <c r="H690" s="93"/>
      <c r="I690" s="128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  <c r="AF690" s="93"/>
      <c r="AG690" s="93"/>
      <c r="AH690" s="93"/>
      <c r="AI690" s="93"/>
      <c r="AJ690" s="93"/>
      <c r="AK690" s="93"/>
      <c r="AL690" s="93"/>
      <c r="AM690" s="93"/>
      <c r="AN690" s="93"/>
      <c r="AO690" s="93"/>
      <c r="AP690" s="93"/>
      <c r="AQ690" s="93"/>
    </row>
    <row r="691" spans="1:43" ht="12.75" customHeight="1">
      <c r="A691" s="93"/>
      <c r="B691" s="93"/>
      <c r="C691" s="117"/>
      <c r="D691" s="93"/>
      <c r="E691" s="93"/>
      <c r="F691" s="93"/>
      <c r="G691" s="93"/>
      <c r="H691" s="93"/>
      <c r="I691" s="128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  <c r="AF691" s="93"/>
      <c r="AG691" s="93"/>
      <c r="AH691" s="93"/>
      <c r="AI691" s="93"/>
      <c r="AJ691" s="93"/>
      <c r="AK691" s="93"/>
      <c r="AL691" s="93"/>
      <c r="AM691" s="93"/>
      <c r="AN691" s="93"/>
      <c r="AO691" s="93"/>
      <c r="AP691" s="93"/>
      <c r="AQ691" s="93"/>
    </row>
    <row r="692" spans="1:43" ht="12.75" customHeight="1">
      <c r="A692" s="93"/>
      <c r="B692" s="93"/>
      <c r="C692" s="117"/>
      <c r="D692" s="93"/>
      <c r="E692" s="93"/>
      <c r="F692" s="93"/>
      <c r="G692" s="93"/>
      <c r="H692" s="93"/>
      <c r="I692" s="128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93"/>
      <c r="AF692" s="93"/>
      <c r="AG692" s="93"/>
      <c r="AH692" s="93"/>
      <c r="AI692" s="93"/>
      <c r="AJ692" s="93"/>
      <c r="AK692" s="93"/>
      <c r="AL692" s="93"/>
      <c r="AM692" s="93"/>
      <c r="AN692" s="93"/>
      <c r="AO692" s="93"/>
      <c r="AP692" s="93"/>
      <c r="AQ692" s="93"/>
    </row>
    <row r="693" spans="1:43" ht="12.75" customHeight="1">
      <c r="A693" s="93"/>
      <c r="B693" s="93"/>
      <c r="C693" s="117"/>
      <c r="D693" s="93"/>
      <c r="E693" s="93"/>
      <c r="F693" s="93"/>
      <c r="G693" s="93"/>
      <c r="H693" s="93"/>
      <c r="I693" s="128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  <c r="AF693" s="93"/>
      <c r="AG693" s="93"/>
      <c r="AH693" s="93"/>
      <c r="AI693" s="93"/>
      <c r="AJ693" s="93"/>
      <c r="AK693" s="93"/>
      <c r="AL693" s="93"/>
      <c r="AM693" s="93"/>
      <c r="AN693" s="93"/>
      <c r="AO693" s="93"/>
      <c r="AP693" s="93"/>
      <c r="AQ693" s="93"/>
    </row>
    <row r="694" spans="1:43" ht="12.75" customHeight="1">
      <c r="A694" s="93"/>
      <c r="B694" s="93"/>
      <c r="C694" s="117"/>
      <c r="D694" s="93"/>
      <c r="E694" s="93"/>
      <c r="F694" s="93"/>
      <c r="G694" s="93"/>
      <c r="H694" s="93"/>
      <c r="I694" s="128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93"/>
      <c r="AF694" s="93"/>
      <c r="AG694" s="93"/>
      <c r="AH694" s="93"/>
      <c r="AI694" s="93"/>
      <c r="AJ694" s="93"/>
      <c r="AK694" s="93"/>
      <c r="AL694" s="93"/>
      <c r="AM694" s="93"/>
      <c r="AN694" s="93"/>
      <c r="AO694" s="93"/>
      <c r="AP694" s="93"/>
      <c r="AQ694" s="93"/>
    </row>
    <row r="695" spans="1:43" ht="12.75" customHeight="1">
      <c r="A695" s="93"/>
      <c r="B695" s="93"/>
      <c r="C695" s="117"/>
      <c r="D695" s="93"/>
      <c r="E695" s="93"/>
      <c r="F695" s="93"/>
      <c r="G695" s="93"/>
      <c r="H695" s="93"/>
      <c r="I695" s="128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  <c r="AF695" s="93"/>
      <c r="AG695" s="93"/>
      <c r="AH695" s="93"/>
      <c r="AI695" s="93"/>
      <c r="AJ695" s="93"/>
      <c r="AK695" s="93"/>
      <c r="AL695" s="93"/>
      <c r="AM695" s="93"/>
      <c r="AN695" s="93"/>
      <c r="AO695" s="93"/>
      <c r="AP695" s="93"/>
      <c r="AQ695" s="93"/>
    </row>
    <row r="696" spans="1:43" ht="12.75" customHeight="1">
      <c r="A696" s="93"/>
      <c r="B696" s="93"/>
      <c r="C696" s="117"/>
      <c r="D696" s="93"/>
      <c r="E696" s="93"/>
      <c r="F696" s="93"/>
      <c r="G696" s="93"/>
      <c r="H696" s="93"/>
      <c r="I696" s="128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93"/>
      <c r="AF696" s="93"/>
      <c r="AG696" s="93"/>
      <c r="AH696" s="93"/>
      <c r="AI696" s="93"/>
      <c r="AJ696" s="93"/>
      <c r="AK696" s="93"/>
      <c r="AL696" s="93"/>
      <c r="AM696" s="93"/>
      <c r="AN696" s="93"/>
      <c r="AO696" s="93"/>
      <c r="AP696" s="93"/>
      <c r="AQ696" s="93"/>
    </row>
    <row r="697" spans="1:43" ht="12.75" customHeight="1">
      <c r="A697" s="93"/>
      <c r="B697" s="93"/>
      <c r="C697" s="117"/>
      <c r="D697" s="93"/>
      <c r="E697" s="93"/>
      <c r="F697" s="93"/>
      <c r="G697" s="93"/>
      <c r="H697" s="93"/>
      <c r="I697" s="128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  <c r="AF697" s="93"/>
      <c r="AG697" s="93"/>
      <c r="AH697" s="93"/>
      <c r="AI697" s="93"/>
      <c r="AJ697" s="93"/>
      <c r="AK697" s="93"/>
      <c r="AL697" s="93"/>
      <c r="AM697" s="93"/>
      <c r="AN697" s="93"/>
      <c r="AO697" s="93"/>
      <c r="AP697" s="93"/>
      <c r="AQ697" s="93"/>
    </row>
    <row r="698" spans="1:43" ht="12.75" customHeight="1">
      <c r="A698" s="93"/>
      <c r="B698" s="93"/>
      <c r="C698" s="117"/>
      <c r="D698" s="93"/>
      <c r="E698" s="93"/>
      <c r="F698" s="93"/>
      <c r="G698" s="93"/>
      <c r="H698" s="93"/>
      <c r="I698" s="128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93"/>
      <c r="AF698" s="93"/>
      <c r="AG698" s="93"/>
      <c r="AH698" s="93"/>
      <c r="AI698" s="93"/>
      <c r="AJ698" s="93"/>
      <c r="AK698" s="93"/>
      <c r="AL698" s="93"/>
      <c r="AM698" s="93"/>
      <c r="AN698" s="93"/>
      <c r="AO698" s="93"/>
      <c r="AP698" s="93"/>
      <c r="AQ698" s="93"/>
    </row>
    <row r="699" spans="1:43" ht="12.75" customHeight="1">
      <c r="A699" s="93"/>
      <c r="B699" s="93"/>
      <c r="C699" s="117"/>
      <c r="D699" s="93"/>
      <c r="E699" s="93"/>
      <c r="F699" s="93"/>
      <c r="G699" s="93"/>
      <c r="H699" s="93"/>
      <c r="I699" s="128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  <c r="AF699" s="93"/>
      <c r="AG699" s="93"/>
      <c r="AH699" s="93"/>
      <c r="AI699" s="93"/>
      <c r="AJ699" s="93"/>
      <c r="AK699" s="93"/>
      <c r="AL699" s="93"/>
      <c r="AM699" s="93"/>
      <c r="AN699" s="93"/>
      <c r="AO699" s="93"/>
      <c r="AP699" s="93"/>
      <c r="AQ699" s="93"/>
    </row>
    <row r="700" spans="1:43" ht="12.75" customHeight="1">
      <c r="A700" s="93"/>
      <c r="B700" s="93"/>
      <c r="C700" s="117"/>
      <c r="D700" s="93"/>
      <c r="E700" s="93"/>
      <c r="F700" s="93"/>
      <c r="G700" s="93"/>
      <c r="H700" s="93"/>
      <c r="I700" s="128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  <c r="AF700" s="93"/>
      <c r="AG700" s="93"/>
      <c r="AH700" s="93"/>
      <c r="AI700" s="93"/>
      <c r="AJ700" s="93"/>
      <c r="AK700" s="93"/>
      <c r="AL700" s="93"/>
      <c r="AM700" s="93"/>
      <c r="AN700" s="93"/>
      <c r="AO700" s="93"/>
      <c r="AP700" s="93"/>
      <c r="AQ700" s="93"/>
    </row>
    <row r="701" spans="1:43" ht="12.75" customHeight="1">
      <c r="A701" s="93"/>
      <c r="B701" s="93"/>
      <c r="C701" s="117"/>
      <c r="D701" s="93"/>
      <c r="E701" s="93"/>
      <c r="F701" s="93"/>
      <c r="G701" s="93"/>
      <c r="H701" s="93"/>
      <c r="I701" s="128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  <c r="AF701" s="93"/>
      <c r="AG701" s="93"/>
      <c r="AH701" s="93"/>
      <c r="AI701" s="93"/>
      <c r="AJ701" s="93"/>
      <c r="AK701" s="93"/>
      <c r="AL701" s="93"/>
      <c r="AM701" s="93"/>
      <c r="AN701" s="93"/>
      <c r="AO701" s="93"/>
      <c r="AP701" s="93"/>
      <c r="AQ701" s="93"/>
    </row>
    <row r="702" spans="1:43" ht="12.75" customHeight="1">
      <c r="A702" s="93"/>
      <c r="B702" s="93"/>
      <c r="C702" s="117"/>
      <c r="D702" s="93"/>
      <c r="E702" s="93"/>
      <c r="F702" s="93"/>
      <c r="G702" s="93"/>
      <c r="H702" s="93"/>
      <c r="I702" s="128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93"/>
      <c r="AF702" s="93"/>
      <c r="AG702" s="93"/>
      <c r="AH702" s="93"/>
      <c r="AI702" s="93"/>
      <c r="AJ702" s="93"/>
      <c r="AK702" s="93"/>
      <c r="AL702" s="93"/>
      <c r="AM702" s="93"/>
      <c r="AN702" s="93"/>
      <c r="AO702" s="93"/>
      <c r="AP702" s="93"/>
      <c r="AQ702" s="93"/>
    </row>
    <row r="703" spans="1:43" ht="12.75" customHeight="1">
      <c r="A703" s="93"/>
      <c r="B703" s="93"/>
      <c r="C703" s="117"/>
      <c r="D703" s="93"/>
      <c r="E703" s="93"/>
      <c r="F703" s="93"/>
      <c r="G703" s="93"/>
      <c r="H703" s="93"/>
      <c r="I703" s="128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  <c r="AF703" s="93"/>
      <c r="AG703" s="93"/>
      <c r="AH703" s="93"/>
      <c r="AI703" s="93"/>
      <c r="AJ703" s="93"/>
      <c r="AK703" s="93"/>
      <c r="AL703" s="93"/>
      <c r="AM703" s="93"/>
      <c r="AN703" s="93"/>
      <c r="AO703" s="93"/>
      <c r="AP703" s="93"/>
      <c r="AQ703" s="93"/>
    </row>
    <row r="704" spans="1:43" ht="12.75" customHeight="1">
      <c r="A704" s="93"/>
      <c r="B704" s="93"/>
      <c r="C704" s="117"/>
      <c r="D704" s="93"/>
      <c r="E704" s="93"/>
      <c r="F704" s="93"/>
      <c r="G704" s="93"/>
      <c r="H704" s="93"/>
      <c r="I704" s="128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93"/>
      <c r="AF704" s="93"/>
      <c r="AG704" s="93"/>
      <c r="AH704" s="93"/>
      <c r="AI704" s="93"/>
      <c r="AJ704" s="93"/>
      <c r="AK704" s="93"/>
      <c r="AL704" s="93"/>
      <c r="AM704" s="93"/>
      <c r="AN704" s="93"/>
      <c r="AO704" s="93"/>
      <c r="AP704" s="93"/>
      <c r="AQ704" s="93"/>
    </row>
    <row r="705" spans="1:43" ht="12.75" customHeight="1">
      <c r="A705" s="93"/>
      <c r="B705" s="93"/>
      <c r="C705" s="117"/>
      <c r="D705" s="93"/>
      <c r="E705" s="93"/>
      <c r="F705" s="93"/>
      <c r="G705" s="93"/>
      <c r="H705" s="93"/>
      <c r="I705" s="128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  <c r="AF705" s="93"/>
      <c r="AG705" s="93"/>
      <c r="AH705" s="93"/>
      <c r="AI705" s="93"/>
      <c r="AJ705" s="93"/>
      <c r="AK705" s="93"/>
      <c r="AL705" s="93"/>
      <c r="AM705" s="93"/>
      <c r="AN705" s="93"/>
      <c r="AO705" s="93"/>
      <c r="AP705" s="93"/>
      <c r="AQ705" s="93"/>
    </row>
    <row r="706" spans="1:43" ht="12.75" customHeight="1">
      <c r="A706" s="93"/>
      <c r="B706" s="93"/>
      <c r="C706" s="117"/>
      <c r="D706" s="93"/>
      <c r="E706" s="93"/>
      <c r="F706" s="93"/>
      <c r="G706" s="93"/>
      <c r="H706" s="93"/>
      <c r="I706" s="128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93"/>
      <c r="AF706" s="93"/>
      <c r="AG706" s="93"/>
      <c r="AH706" s="93"/>
      <c r="AI706" s="93"/>
      <c r="AJ706" s="93"/>
      <c r="AK706" s="93"/>
      <c r="AL706" s="93"/>
      <c r="AM706" s="93"/>
      <c r="AN706" s="93"/>
      <c r="AO706" s="93"/>
      <c r="AP706" s="93"/>
      <c r="AQ706" s="93"/>
    </row>
    <row r="707" spans="1:43" ht="12.75" customHeight="1">
      <c r="A707" s="93"/>
      <c r="B707" s="93"/>
      <c r="C707" s="117"/>
      <c r="D707" s="93"/>
      <c r="E707" s="93"/>
      <c r="F707" s="93"/>
      <c r="G707" s="93"/>
      <c r="H707" s="93"/>
      <c r="I707" s="128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  <c r="AF707" s="93"/>
      <c r="AG707" s="93"/>
      <c r="AH707" s="93"/>
      <c r="AI707" s="93"/>
      <c r="AJ707" s="93"/>
      <c r="AK707" s="93"/>
      <c r="AL707" s="93"/>
      <c r="AM707" s="93"/>
      <c r="AN707" s="93"/>
      <c r="AO707" s="93"/>
      <c r="AP707" s="93"/>
      <c r="AQ707" s="93"/>
    </row>
    <row r="708" spans="1:43" ht="12.75" customHeight="1">
      <c r="A708" s="93"/>
      <c r="B708" s="93"/>
      <c r="C708" s="117"/>
      <c r="D708" s="93"/>
      <c r="E708" s="93"/>
      <c r="F708" s="93"/>
      <c r="G708" s="93"/>
      <c r="H708" s="93"/>
      <c r="I708" s="128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93"/>
      <c r="AF708" s="93"/>
      <c r="AG708" s="93"/>
      <c r="AH708" s="93"/>
      <c r="AI708" s="93"/>
      <c r="AJ708" s="93"/>
      <c r="AK708" s="93"/>
      <c r="AL708" s="93"/>
      <c r="AM708" s="93"/>
      <c r="AN708" s="93"/>
      <c r="AO708" s="93"/>
      <c r="AP708" s="93"/>
      <c r="AQ708" s="93"/>
    </row>
    <row r="709" spans="1:43" ht="12.75" customHeight="1">
      <c r="A709" s="93"/>
      <c r="B709" s="93"/>
      <c r="C709" s="117"/>
      <c r="D709" s="93"/>
      <c r="E709" s="93"/>
      <c r="F709" s="93"/>
      <c r="G709" s="93"/>
      <c r="H709" s="93"/>
      <c r="I709" s="128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  <c r="AF709" s="93"/>
      <c r="AG709" s="93"/>
      <c r="AH709" s="93"/>
      <c r="AI709" s="93"/>
      <c r="AJ709" s="93"/>
      <c r="AK709" s="93"/>
      <c r="AL709" s="93"/>
      <c r="AM709" s="93"/>
      <c r="AN709" s="93"/>
      <c r="AO709" s="93"/>
      <c r="AP709" s="93"/>
      <c r="AQ709" s="93"/>
    </row>
    <row r="710" spans="1:43" ht="12.75" customHeight="1">
      <c r="A710" s="93"/>
      <c r="B710" s="93"/>
      <c r="C710" s="117"/>
      <c r="D710" s="93"/>
      <c r="E710" s="93"/>
      <c r="F710" s="93"/>
      <c r="G710" s="93"/>
      <c r="H710" s="93"/>
      <c r="I710" s="128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  <c r="AF710" s="93"/>
      <c r="AG710" s="93"/>
      <c r="AH710" s="93"/>
      <c r="AI710" s="93"/>
      <c r="AJ710" s="93"/>
      <c r="AK710" s="93"/>
      <c r="AL710" s="93"/>
      <c r="AM710" s="93"/>
      <c r="AN710" s="93"/>
      <c r="AO710" s="93"/>
      <c r="AP710" s="93"/>
      <c r="AQ710" s="93"/>
    </row>
    <row r="711" spans="1:43" ht="12.75" customHeight="1">
      <c r="A711" s="93"/>
      <c r="B711" s="93"/>
      <c r="C711" s="117"/>
      <c r="D711" s="93"/>
      <c r="E711" s="93"/>
      <c r="F711" s="93"/>
      <c r="G711" s="93"/>
      <c r="H711" s="93"/>
      <c r="I711" s="128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  <c r="AF711" s="93"/>
      <c r="AG711" s="93"/>
      <c r="AH711" s="93"/>
      <c r="AI711" s="93"/>
      <c r="AJ711" s="93"/>
      <c r="AK711" s="93"/>
      <c r="AL711" s="93"/>
      <c r="AM711" s="93"/>
      <c r="AN711" s="93"/>
      <c r="AO711" s="93"/>
      <c r="AP711" s="93"/>
      <c r="AQ711" s="93"/>
    </row>
    <row r="712" spans="1:43" ht="12.75" customHeight="1">
      <c r="A712" s="93"/>
      <c r="B712" s="93"/>
      <c r="C712" s="117"/>
      <c r="D712" s="93"/>
      <c r="E712" s="93"/>
      <c r="F712" s="93"/>
      <c r="G712" s="93"/>
      <c r="H712" s="93"/>
      <c r="I712" s="128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93"/>
      <c r="AF712" s="93"/>
      <c r="AG712" s="93"/>
      <c r="AH712" s="93"/>
      <c r="AI712" s="93"/>
      <c r="AJ712" s="93"/>
      <c r="AK712" s="93"/>
      <c r="AL712" s="93"/>
      <c r="AM712" s="93"/>
      <c r="AN712" s="93"/>
      <c r="AO712" s="93"/>
      <c r="AP712" s="93"/>
      <c r="AQ712" s="93"/>
    </row>
    <row r="713" spans="1:43" ht="12.75" customHeight="1">
      <c r="A713" s="93"/>
      <c r="B713" s="93"/>
      <c r="C713" s="117"/>
      <c r="D713" s="93"/>
      <c r="E713" s="93"/>
      <c r="F713" s="93"/>
      <c r="G713" s="93"/>
      <c r="H713" s="93"/>
      <c r="I713" s="128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  <c r="AF713" s="93"/>
      <c r="AG713" s="93"/>
      <c r="AH713" s="93"/>
      <c r="AI713" s="93"/>
      <c r="AJ713" s="93"/>
      <c r="AK713" s="93"/>
      <c r="AL713" s="93"/>
      <c r="AM713" s="93"/>
      <c r="AN713" s="93"/>
      <c r="AO713" s="93"/>
      <c r="AP713" s="93"/>
      <c r="AQ713" s="93"/>
    </row>
    <row r="714" spans="1:43" ht="12.75" customHeight="1">
      <c r="A714" s="93"/>
      <c r="B714" s="93"/>
      <c r="C714" s="117"/>
      <c r="D714" s="93"/>
      <c r="E714" s="93"/>
      <c r="F714" s="93"/>
      <c r="G714" s="93"/>
      <c r="H714" s="93"/>
      <c r="I714" s="128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93"/>
      <c r="AF714" s="93"/>
      <c r="AG714" s="93"/>
      <c r="AH714" s="93"/>
      <c r="AI714" s="93"/>
      <c r="AJ714" s="93"/>
      <c r="AK714" s="93"/>
      <c r="AL714" s="93"/>
      <c r="AM714" s="93"/>
      <c r="AN714" s="93"/>
      <c r="AO714" s="93"/>
      <c r="AP714" s="93"/>
      <c r="AQ714" s="93"/>
    </row>
    <row r="715" spans="1:43" ht="12.75" customHeight="1">
      <c r="A715" s="93"/>
      <c r="B715" s="93"/>
      <c r="C715" s="117"/>
      <c r="D715" s="93"/>
      <c r="E715" s="93"/>
      <c r="F715" s="93"/>
      <c r="G715" s="93"/>
      <c r="H715" s="93"/>
      <c r="I715" s="128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  <c r="AF715" s="93"/>
      <c r="AG715" s="93"/>
      <c r="AH715" s="93"/>
      <c r="AI715" s="93"/>
      <c r="AJ715" s="93"/>
      <c r="AK715" s="93"/>
      <c r="AL715" s="93"/>
      <c r="AM715" s="93"/>
      <c r="AN715" s="93"/>
      <c r="AO715" s="93"/>
      <c r="AP715" s="93"/>
      <c r="AQ715" s="93"/>
    </row>
    <row r="716" spans="1:43" ht="12.75" customHeight="1">
      <c r="A716" s="93"/>
      <c r="B716" s="93"/>
      <c r="C716" s="117"/>
      <c r="D716" s="93"/>
      <c r="E716" s="93"/>
      <c r="F716" s="93"/>
      <c r="G716" s="93"/>
      <c r="H716" s="93"/>
      <c r="I716" s="128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  <c r="AF716" s="93"/>
      <c r="AG716" s="93"/>
      <c r="AH716" s="93"/>
      <c r="AI716" s="93"/>
      <c r="AJ716" s="93"/>
      <c r="AK716" s="93"/>
      <c r="AL716" s="93"/>
      <c r="AM716" s="93"/>
      <c r="AN716" s="93"/>
      <c r="AO716" s="93"/>
      <c r="AP716" s="93"/>
      <c r="AQ716" s="93"/>
    </row>
    <row r="717" spans="1:43" ht="12.75" customHeight="1">
      <c r="A717" s="93"/>
      <c r="B717" s="93"/>
      <c r="C717" s="117"/>
      <c r="D717" s="93"/>
      <c r="E717" s="93"/>
      <c r="F717" s="93"/>
      <c r="G717" s="93"/>
      <c r="H717" s="93"/>
      <c r="I717" s="128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  <c r="AF717" s="93"/>
      <c r="AG717" s="93"/>
      <c r="AH717" s="93"/>
      <c r="AI717" s="93"/>
      <c r="AJ717" s="93"/>
      <c r="AK717" s="93"/>
      <c r="AL717" s="93"/>
      <c r="AM717" s="93"/>
      <c r="AN717" s="93"/>
      <c r="AO717" s="93"/>
      <c r="AP717" s="93"/>
      <c r="AQ717" s="93"/>
    </row>
    <row r="718" spans="1:43" ht="12.75" customHeight="1">
      <c r="A718" s="93"/>
      <c r="B718" s="93"/>
      <c r="C718" s="117"/>
      <c r="D718" s="93"/>
      <c r="E718" s="93"/>
      <c r="F718" s="93"/>
      <c r="G718" s="93"/>
      <c r="H718" s="93"/>
      <c r="I718" s="128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93"/>
      <c r="AF718" s="93"/>
      <c r="AG718" s="93"/>
      <c r="AH718" s="93"/>
      <c r="AI718" s="93"/>
      <c r="AJ718" s="93"/>
      <c r="AK718" s="93"/>
      <c r="AL718" s="93"/>
      <c r="AM718" s="93"/>
      <c r="AN718" s="93"/>
      <c r="AO718" s="93"/>
      <c r="AP718" s="93"/>
      <c r="AQ718" s="93"/>
    </row>
    <row r="719" spans="1:43" ht="12.75" customHeight="1">
      <c r="A719" s="93"/>
      <c r="B719" s="93"/>
      <c r="C719" s="117"/>
      <c r="D719" s="93"/>
      <c r="E719" s="93"/>
      <c r="F719" s="93"/>
      <c r="G719" s="93"/>
      <c r="H719" s="93"/>
      <c r="I719" s="128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  <c r="AF719" s="93"/>
      <c r="AG719" s="93"/>
      <c r="AH719" s="93"/>
      <c r="AI719" s="93"/>
      <c r="AJ719" s="93"/>
      <c r="AK719" s="93"/>
      <c r="AL719" s="93"/>
      <c r="AM719" s="93"/>
      <c r="AN719" s="93"/>
      <c r="AO719" s="93"/>
      <c r="AP719" s="93"/>
      <c r="AQ719" s="93"/>
    </row>
    <row r="720" spans="1:43" ht="12.75" customHeight="1">
      <c r="A720" s="93"/>
      <c r="B720" s="93"/>
      <c r="C720" s="117"/>
      <c r="D720" s="93"/>
      <c r="E720" s="93"/>
      <c r="F720" s="93"/>
      <c r="G720" s="93"/>
      <c r="H720" s="93"/>
      <c r="I720" s="128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  <c r="AF720" s="93"/>
      <c r="AG720" s="93"/>
      <c r="AH720" s="93"/>
      <c r="AI720" s="93"/>
      <c r="AJ720" s="93"/>
      <c r="AK720" s="93"/>
      <c r="AL720" s="93"/>
      <c r="AM720" s="93"/>
      <c r="AN720" s="93"/>
      <c r="AO720" s="93"/>
      <c r="AP720" s="93"/>
      <c r="AQ720" s="93"/>
    </row>
    <row r="721" spans="1:43" ht="12.75" customHeight="1">
      <c r="A721" s="93"/>
      <c r="B721" s="93"/>
      <c r="C721" s="117"/>
      <c r="D721" s="93"/>
      <c r="E721" s="93"/>
      <c r="F721" s="93"/>
      <c r="G721" s="93"/>
      <c r="H721" s="93"/>
      <c r="I721" s="128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  <c r="AF721" s="93"/>
      <c r="AG721" s="93"/>
      <c r="AH721" s="93"/>
      <c r="AI721" s="93"/>
      <c r="AJ721" s="93"/>
      <c r="AK721" s="93"/>
      <c r="AL721" s="93"/>
      <c r="AM721" s="93"/>
      <c r="AN721" s="93"/>
      <c r="AO721" s="93"/>
      <c r="AP721" s="93"/>
      <c r="AQ721" s="93"/>
    </row>
    <row r="722" spans="1:43" ht="12.75" customHeight="1">
      <c r="A722" s="93"/>
      <c r="B722" s="93"/>
      <c r="C722" s="117"/>
      <c r="D722" s="93"/>
      <c r="E722" s="93"/>
      <c r="F722" s="93"/>
      <c r="G722" s="93"/>
      <c r="H722" s="93"/>
      <c r="I722" s="128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93"/>
      <c r="AF722" s="93"/>
      <c r="AG722" s="93"/>
      <c r="AH722" s="93"/>
      <c r="AI722" s="93"/>
      <c r="AJ722" s="93"/>
      <c r="AK722" s="93"/>
      <c r="AL722" s="93"/>
      <c r="AM722" s="93"/>
      <c r="AN722" s="93"/>
      <c r="AO722" s="93"/>
      <c r="AP722" s="93"/>
      <c r="AQ722" s="93"/>
    </row>
    <row r="723" spans="1:43" ht="12.75" customHeight="1">
      <c r="A723" s="93"/>
      <c r="B723" s="93"/>
      <c r="C723" s="117"/>
      <c r="D723" s="93"/>
      <c r="E723" s="93"/>
      <c r="F723" s="93"/>
      <c r="G723" s="93"/>
      <c r="H723" s="93"/>
      <c r="I723" s="128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  <c r="AF723" s="93"/>
      <c r="AG723" s="93"/>
      <c r="AH723" s="93"/>
      <c r="AI723" s="93"/>
      <c r="AJ723" s="93"/>
      <c r="AK723" s="93"/>
      <c r="AL723" s="93"/>
      <c r="AM723" s="93"/>
      <c r="AN723" s="93"/>
      <c r="AO723" s="93"/>
      <c r="AP723" s="93"/>
      <c r="AQ723" s="93"/>
    </row>
    <row r="724" spans="1:43" ht="12.75" customHeight="1">
      <c r="A724" s="93"/>
      <c r="B724" s="93"/>
      <c r="C724" s="117"/>
      <c r="D724" s="93"/>
      <c r="E724" s="93"/>
      <c r="F724" s="93"/>
      <c r="G724" s="93"/>
      <c r="H724" s="93"/>
      <c r="I724" s="128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93"/>
      <c r="AF724" s="93"/>
      <c r="AG724" s="93"/>
      <c r="AH724" s="93"/>
      <c r="AI724" s="93"/>
      <c r="AJ724" s="93"/>
      <c r="AK724" s="93"/>
      <c r="AL724" s="93"/>
      <c r="AM724" s="93"/>
      <c r="AN724" s="93"/>
      <c r="AO724" s="93"/>
      <c r="AP724" s="93"/>
      <c r="AQ724" s="93"/>
    </row>
    <row r="725" spans="1:43" ht="12.75" customHeight="1">
      <c r="A725" s="93"/>
      <c r="B725" s="93"/>
      <c r="C725" s="117"/>
      <c r="D725" s="93"/>
      <c r="E725" s="93"/>
      <c r="F725" s="93"/>
      <c r="G725" s="93"/>
      <c r="H725" s="93"/>
      <c r="I725" s="128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  <c r="AF725" s="93"/>
      <c r="AG725" s="93"/>
      <c r="AH725" s="93"/>
      <c r="AI725" s="93"/>
      <c r="AJ725" s="93"/>
      <c r="AK725" s="93"/>
      <c r="AL725" s="93"/>
      <c r="AM725" s="93"/>
      <c r="AN725" s="93"/>
      <c r="AO725" s="93"/>
      <c r="AP725" s="93"/>
      <c r="AQ725" s="93"/>
    </row>
    <row r="726" spans="1:43" ht="12.75" customHeight="1">
      <c r="A726" s="93"/>
      <c r="B726" s="93"/>
      <c r="C726" s="117"/>
      <c r="D726" s="93"/>
      <c r="E726" s="93"/>
      <c r="F726" s="93"/>
      <c r="G726" s="93"/>
      <c r="H726" s="93"/>
      <c r="I726" s="128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93"/>
      <c r="AF726" s="93"/>
      <c r="AG726" s="93"/>
      <c r="AH726" s="93"/>
      <c r="AI726" s="93"/>
      <c r="AJ726" s="93"/>
      <c r="AK726" s="93"/>
      <c r="AL726" s="93"/>
      <c r="AM726" s="93"/>
      <c r="AN726" s="93"/>
      <c r="AO726" s="93"/>
      <c r="AP726" s="93"/>
      <c r="AQ726" s="93"/>
    </row>
    <row r="727" spans="1:43" ht="12.75" customHeight="1">
      <c r="A727" s="93"/>
      <c r="B727" s="93"/>
      <c r="C727" s="117"/>
      <c r="D727" s="93"/>
      <c r="E727" s="93"/>
      <c r="F727" s="93"/>
      <c r="G727" s="93"/>
      <c r="H727" s="93"/>
      <c r="I727" s="128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  <c r="AF727" s="93"/>
      <c r="AG727" s="93"/>
      <c r="AH727" s="93"/>
      <c r="AI727" s="93"/>
      <c r="AJ727" s="93"/>
      <c r="AK727" s="93"/>
      <c r="AL727" s="93"/>
      <c r="AM727" s="93"/>
      <c r="AN727" s="93"/>
      <c r="AO727" s="93"/>
      <c r="AP727" s="93"/>
      <c r="AQ727" s="93"/>
    </row>
    <row r="728" spans="1:43" ht="12.75" customHeight="1">
      <c r="A728" s="93"/>
      <c r="B728" s="93"/>
      <c r="C728" s="117"/>
      <c r="D728" s="93"/>
      <c r="E728" s="93"/>
      <c r="F728" s="93"/>
      <c r="G728" s="93"/>
      <c r="H728" s="93"/>
      <c r="I728" s="128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93"/>
      <c r="AF728" s="93"/>
      <c r="AG728" s="93"/>
      <c r="AH728" s="93"/>
      <c r="AI728" s="93"/>
      <c r="AJ728" s="93"/>
      <c r="AK728" s="93"/>
      <c r="AL728" s="93"/>
      <c r="AM728" s="93"/>
      <c r="AN728" s="93"/>
      <c r="AO728" s="93"/>
      <c r="AP728" s="93"/>
      <c r="AQ728" s="93"/>
    </row>
    <row r="729" spans="1:43" ht="12.75" customHeight="1">
      <c r="A729" s="93"/>
      <c r="B729" s="93"/>
      <c r="C729" s="117"/>
      <c r="D729" s="93"/>
      <c r="E729" s="93"/>
      <c r="F729" s="93"/>
      <c r="G729" s="93"/>
      <c r="H729" s="93"/>
      <c r="I729" s="128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  <c r="AF729" s="93"/>
      <c r="AG729" s="93"/>
      <c r="AH729" s="93"/>
      <c r="AI729" s="93"/>
      <c r="AJ729" s="93"/>
      <c r="AK729" s="93"/>
      <c r="AL729" s="93"/>
      <c r="AM729" s="93"/>
      <c r="AN729" s="93"/>
      <c r="AO729" s="93"/>
      <c r="AP729" s="93"/>
      <c r="AQ729" s="93"/>
    </row>
    <row r="730" spans="1:43" ht="12.75" customHeight="1">
      <c r="A730" s="93"/>
      <c r="B730" s="93"/>
      <c r="C730" s="117"/>
      <c r="D730" s="93"/>
      <c r="E730" s="93"/>
      <c r="F730" s="93"/>
      <c r="G730" s="93"/>
      <c r="H730" s="93"/>
      <c r="I730" s="128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  <c r="AF730" s="93"/>
      <c r="AG730" s="93"/>
      <c r="AH730" s="93"/>
      <c r="AI730" s="93"/>
      <c r="AJ730" s="93"/>
      <c r="AK730" s="93"/>
      <c r="AL730" s="93"/>
      <c r="AM730" s="93"/>
      <c r="AN730" s="93"/>
      <c r="AO730" s="93"/>
      <c r="AP730" s="93"/>
      <c r="AQ730" s="93"/>
    </row>
    <row r="731" spans="1:43" ht="12.75" customHeight="1">
      <c r="A731" s="93"/>
      <c r="B731" s="93"/>
      <c r="C731" s="117"/>
      <c r="D731" s="93"/>
      <c r="E731" s="93"/>
      <c r="F731" s="93"/>
      <c r="G731" s="93"/>
      <c r="H731" s="93"/>
      <c r="I731" s="128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  <c r="AF731" s="93"/>
      <c r="AG731" s="93"/>
      <c r="AH731" s="93"/>
      <c r="AI731" s="93"/>
      <c r="AJ731" s="93"/>
      <c r="AK731" s="93"/>
      <c r="AL731" s="93"/>
      <c r="AM731" s="93"/>
      <c r="AN731" s="93"/>
      <c r="AO731" s="93"/>
      <c r="AP731" s="93"/>
      <c r="AQ731" s="93"/>
    </row>
    <row r="732" spans="1:43" ht="12.75" customHeight="1">
      <c r="A732" s="93"/>
      <c r="B732" s="93"/>
      <c r="C732" s="117"/>
      <c r="D732" s="93"/>
      <c r="E732" s="93"/>
      <c r="F732" s="93"/>
      <c r="G732" s="93"/>
      <c r="H732" s="93"/>
      <c r="I732" s="128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93"/>
      <c r="AF732" s="93"/>
      <c r="AG732" s="93"/>
      <c r="AH732" s="93"/>
      <c r="AI732" s="93"/>
      <c r="AJ732" s="93"/>
      <c r="AK732" s="93"/>
      <c r="AL732" s="93"/>
      <c r="AM732" s="93"/>
      <c r="AN732" s="93"/>
      <c r="AO732" s="93"/>
      <c r="AP732" s="93"/>
      <c r="AQ732" s="93"/>
    </row>
    <row r="733" spans="1:43" ht="12.75" customHeight="1">
      <c r="A733" s="93"/>
      <c r="B733" s="93"/>
      <c r="C733" s="117"/>
      <c r="D733" s="93"/>
      <c r="E733" s="93"/>
      <c r="F733" s="93"/>
      <c r="G733" s="93"/>
      <c r="H733" s="93"/>
      <c r="I733" s="128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  <c r="AF733" s="93"/>
      <c r="AG733" s="93"/>
      <c r="AH733" s="93"/>
      <c r="AI733" s="93"/>
      <c r="AJ733" s="93"/>
      <c r="AK733" s="93"/>
      <c r="AL733" s="93"/>
      <c r="AM733" s="93"/>
      <c r="AN733" s="93"/>
      <c r="AO733" s="93"/>
      <c r="AP733" s="93"/>
      <c r="AQ733" s="93"/>
    </row>
    <row r="734" spans="1:43" ht="12.75" customHeight="1">
      <c r="A734" s="93"/>
      <c r="B734" s="93"/>
      <c r="C734" s="117"/>
      <c r="D734" s="93"/>
      <c r="E734" s="93"/>
      <c r="F734" s="93"/>
      <c r="G734" s="93"/>
      <c r="H734" s="93"/>
      <c r="I734" s="128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93"/>
      <c r="AF734" s="93"/>
      <c r="AG734" s="93"/>
      <c r="AH734" s="93"/>
      <c r="AI734" s="93"/>
      <c r="AJ734" s="93"/>
      <c r="AK734" s="93"/>
      <c r="AL734" s="93"/>
      <c r="AM734" s="93"/>
      <c r="AN734" s="93"/>
      <c r="AO734" s="93"/>
      <c r="AP734" s="93"/>
      <c r="AQ734" s="93"/>
    </row>
    <row r="735" spans="1:43" ht="12.75" customHeight="1">
      <c r="A735" s="93"/>
      <c r="B735" s="93"/>
      <c r="C735" s="117"/>
      <c r="D735" s="93"/>
      <c r="E735" s="93"/>
      <c r="F735" s="93"/>
      <c r="G735" s="93"/>
      <c r="H735" s="93"/>
      <c r="I735" s="128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  <c r="AF735" s="93"/>
      <c r="AG735" s="93"/>
      <c r="AH735" s="93"/>
      <c r="AI735" s="93"/>
      <c r="AJ735" s="93"/>
      <c r="AK735" s="93"/>
      <c r="AL735" s="93"/>
      <c r="AM735" s="93"/>
      <c r="AN735" s="93"/>
      <c r="AO735" s="93"/>
      <c r="AP735" s="93"/>
      <c r="AQ735" s="93"/>
    </row>
    <row r="736" spans="1:43" ht="12.75" customHeight="1">
      <c r="A736" s="93"/>
      <c r="B736" s="93"/>
      <c r="C736" s="117"/>
      <c r="D736" s="93"/>
      <c r="E736" s="93"/>
      <c r="F736" s="93"/>
      <c r="G736" s="93"/>
      <c r="H736" s="93"/>
      <c r="I736" s="128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93"/>
      <c r="AF736" s="93"/>
      <c r="AG736" s="93"/>
      <c r="AH736" s="93"/>
      <c r="AI736" s="93"/>
      <c r="AJ736" s="93"/>
      <c r="AK736" s="93"/>
      <c r="AL736" s="93"/>
      <c r="AM736" s="93"/>
      <c r="AN736" s="93"/>
      <c r="AO736" s="93"/>
      <c r="AP736" s="93"/>
      <c r="AQ736" s="93"/>
    </row>
    <row r="737" spans="1:43" ht="12.75" customHeight="1">
      <c r="A737" s="93"/>
      <c r="B737" s="93"/>
      <c r="C737" s="117"/>
      <c r="D737" s="93"/>
      <c r="E737" s="93"/>
      <c r="F737" s="93"/>
      <c r="G737" s="93"/>
      <c r="H737" s="93"/>
      <c r="I737" s="128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  <c r="AF737" s="93"/>
      <c r="AG737" s="93"/>
      <c r="AH737" s="93"/>
      <c r="AI737" s="93"/>
      <c r="AJ737" s="93"/>
      <c r="AK737" s="93"/>
      <c r="AL737" s="93"/>
      <c r="AM737" s="93"/>
      <c r="AN737" s="93"/>
      <c r="AO737" s="93"/>
      <c r="AP737" s="93"/>
      <c r="AQ737" s="93"/>
    </row>
    <row r="738" spans="1:43" ht="12.75" customHeight="1">
      <c r="A738" s="93"/>
      <c r="B738" s="93"/>
      <c r="C738" s="117"/>
      <c r="D738" s="93"/>
      <c r="E738" s="93"/>
      <c r="F738" s="93"/>
      <c r="G738" s="93"/>
      <c r="H738" s="93"/>
      <c r="I738" s="128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93"/>
      <c r="AF738" s="93"/>
      <c r="AG738" s="93"/>
      <c r="AH738" s="93"/>
      <c r="AI738" s="93"/>
      <c r="AJ738" s="93"/>
      <c r="AK738" s="93"/>
      <c r="AL738" s="93"/>
      <c r="AM738" s="93"/>
      <c r="AN738" s="93"/>
      <c r="AO738" s="93"/>
      <c r="AP738" s="93"/>
      <c r="AQ738" s="93"/>
    </row>
    <row r="739" spans="1:43" ht="12.75" customHeight="1">
      <c r="A739" s="93"/>
      <c r="B739" s="93"/>
      <c r="C739" s="117"/>
      <c r="D739" s="93"/>
      <c r="E739" s="93"/>
      <c r="F739" s="93"/>
      <c r="G739" s="93"/>
      <c r="H739" s="93"/>
      <c r="I739" s="128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  <c r="AF739" s="93"/>
      <c r="AG739" s="93"/>
      <c r="AH739" s="93"/>
      <c r="AI739" s="93"/>
      <c r="AJ739" s="93"/>
      <c r="AK739" s="93"/>
      <c r="AL739" s="93"/>
      <c r="AM739" s="93"/>
      <c r="AN739" s="93"/>
      <c r="AO739" s="93"/>
      <c r="AP739" s="93"/>
      <c r="AQ739" s="93"/>
    </row>
    <row r="740" spans="1:43" ht="12.75" customHeight="1">
      <c r="A740" s="93"/>
      <c r="B740" s="93"/>
      <c r="C740" s="117"/>
      <c r="D740" s="93"/>
      <c r="E740" s="93"/>
      <c r="F740" s="93"/>
      <c r="G740" s="93"/>
      <c r="H740" s="93"/>
      <c r="I740" s="128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  <c r="AF740" s="93"/>
      <c r="AG740" s="93"/>
      <c r="AH740" s="93"/>
      <c r="AI740" s="93"/>
      <c r="AJ740" s="93"/>
      <c r="AK740" s="93"/>
      <c r="AL740" s="93"/>
      <c r="AM740" s="93"/>
      <c r="AN740" s="93"/>
      <c r="AO740" s="93"/>
      <c r="AP740" s="93"/>
      <c r="AQ740" s="93"/>
    </row>
    <row r="741" spans="1:43" ht="12.75" customHeight="1">
      <c r="A741" s="93"/>
      <c r="B741" s="93"/>
      <c r="C741" s="117"/>
      <c r="D741" s="93"/>
      <c r="E741" s="93"/>
      <c r="F741" s="93"/>
      <c r="G741" s="93"/>
      <c r="H741" s="93"/>
      <c r="I741" s="128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  <c r="AF741" s="93"/>
      <c r="AG741" s="93"/>
      <c r="AH741" s="93"/>
      <c r="AI741" s="93"/>
      <c r="AJ741" s="93"/>
      <c r="AK741" s="93"/>
      <c r="AL741" s="93"/>
      <c r="AM741" s="93"/>
      <c r="AN741" s="93"/>
      <c r="AO741" s="93"/>
      <c r="AP741" s="93"/>
      <c r="AQ741" s="93"/>
    </row>
    <row r="742" spans="1:43" ht="12.75" customHeight="1">
      <c r="A742" s="93"/>
      <c r="B742" s="93"/>
      <c r="C742" s="117"/>
      <c r="D742" s="93"/>
      <c r="E742" s="93"/>
      <c r="F742" s="93"/>
      <c r="G742" s="93"/>
      <c r="H742" s="93"/>
      <c r="I742" s="128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93"/>
      <c r="AF742" s="93"/>
      <c r="AG742" s="93"/>
      <c r="AH742" s="93"/>
      <c r="AI742" s="93"/>
      <c r="AJ742" s="93"/>
      <c r="AK742" s="93"/>
      <c r="AL742" s="93"/>
      <c r="AM742" s="93"/>
      <c r="AN742" s="93"/>
      <c r="AO742" s="93"/>
      <c r="AP742" s="93"/>
      <c r="AQ742" s="93"/>
    </row>
    <row r="743" spans="1:43" ht="12.75" customHeight="1">
      <c r="A743" s="93"/>
      <c r="B743" s="93"/>
      <c r="C743" s="117"/>
      <c r="D743" s="93"/>
      <c r="E743" s="93"/>
      <c r="F743" s="93"/>
      <c r="G743" s="93"/>
      <c r="H743" s="93"/>
      <c r="I743" s="128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  <c r="AF743" s="93"/>
      <c r="AG743" s="93"/>
      <c r="AH743" s="93"/>
      <c r="AI743" s="93"/>
      <c r="AJ743" s="93"/>
      <c r="AK743" s="93"/>
      <c r="AL743" s="93"/>
      <c r="AM743" s="93"/>
      <c r="AN743" s="93"/>
      <c r="AO743" s="93"/>
      <c r="AP743" s="93"/>
      <c r="AQ743" s="93"/>
    </row>
    <row r="744" spans="1:43" ht="12.75" customHeight="1">
      <c r="A744" s="93"/>
      <c r="B744" s="93"/>
      <c r="C744" s="117"/>
      <c r="D744" s="93"/>
      <c r="E744" s="93"/>
      <c r="F744" s="93"/>
      <c r="G744" s="93"/>
      <c r="H744" s="93"/>
      <c r="I744" s="128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93"/>
      <c r="AF744" s="93"/>
      <c r="AG744" s="93"/>
      <c r="AH744" s="93"/>
      <c r="AI744" s="93"/>
      <c r="AJ744" s="93"/>
      <c r="AK744" s="93"/>
      <c r="AL744" s="93"/>
      <c r="AM744" s="93"/>
      <c r="AN744" s="93"/>
      <c r="AO744" s="93"/>
      <c r="AP744" s="93"/>
      <c r="AQ744" s="93"/>
    </row>
    <row r="745" spans="1:43" ht="12.75" customHeight="1">
      <c r="A745" s="93"/>
      <c r="B745" s="93"/>
      <c r="C745" s="117"/>
      <c r="D745" s="93"/>
      <c r="E745" s="93"/>
      <c r="F745" s="93"/>
      <c r="G745" s="93"/>
      <c r="H745" s="93"/>
      <c r="I745" s="128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  <c r="AF745" s="93"/>
      <c r="AG745" s="93"/>
      <c r="AH745" s="93"/>
      <c r="AI745" s="93"/>
      <c r="AJ745" s="93"/>
      <c r="AK745" s="93"/>
      <c r="AL745" s="93"/>
      <c r="AM745" s="93"/>
      <c r="AN745" s="93"/>
      <c r="AO745" s="93"/>
      <c r="AP745" s="93"/>
      <c r="AQ745" s="93"/>
    </row>
    <row r="746" spans="1:43" ht="12.75" customHeight="1">
      <c r="A746" s="93"/>
      <c r="B746" s="93"/>
      <c r="C746" s="117"/>
      <c r="D746" s="93"/>
      <c r="E746" s="93"/>
      <c r="F746" s="93"/>
      <c r="G746" s="93"/>
      <c r="H746" s="93"/>
      <c r="I746" s="128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93"/>
      <c r="AF746" s="93"/>
      <c r="AG746" s="93"/>
      <c r="AH746" s="93"/>
      <c r="AI746" s="93"/>
      <c r="AJ746" s="93"/>
      <c r="AK746" s="93"/>
      <c r="AL746" s="93"/>
      <c r="AM746" s="93"/>
      <c r="AN746" s="93"/>
      <c r="AO746" s="93"/>
      <c r="AP746" s="93"/>
      <c r="AQ746" s="93"/>
    </row>
    <row r="747" spans="1:43" ht="12.75" customHeight="1">
      <c r="A747" s="93"/>
      <c r="B747" s="93"/>
      <c r="C747" s="117"/>
      <c r="D747" s="93"/>
      <c r="E747" s="93"/>
      <c r="F747" s="93"/>
      <c r="G747" s="93"/>
      <c r="H747" s="93"/>
      <c r="I747" s="128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  <c r="AJ747" s="93"/>
      <c r="AK747" s="93"/>
      <c r="AL747" s="93"/>
      <c r="AM747" s="93"/>
      <c r="AN747" s="93"/>
      <c r="AO747" s="93"/>
      <c r="AP747" s="93"/>
      <c r="AQ747" s="93"/>
    </row>
    <row r="748" spans="1:43" ht="12.75" customHeight="1">
      <c r="A748" s="93"/>
      <c r="B748" s="93"/>
      <c r="C748" s="117"/>
      <c r="D748" s="93"/>
      <c r="E748" s="93"/>
      <c r="F748" s="93"/>
      <c r="G748" s="93"/>
      <c r="H748" s="93"/>
      <c r="I748" s="128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93"/>
      <c r="AF748" s="93"/>
      <c r="AG748" s="93"/>
      <c r="AH748" s="93"/>
      <c r="AI748" s="93"/>
      <c r="AJ748" s="93"/>
      <c r="AK748" s="93"/>
      <c r="AL748" s="93"/>
      <c r="AM748" s="93"/>
      <c r="AN748" s="93"/>
      <c r="AO748" s="93"/>
      <c r="AP748" s="93"/>
      <c r="AQ748" s="93"/>
    </row>
    <row r="749" spans="1:43" ht="12.75" customHeight="1">
      <c r="A749" s="93"/>
      <c r="B749" s="93"/>
      <c r="C749" s="117"/>
      <c r="D749" s="93"/>
      <c r="E749" s="93"/>
      <c r="F749" s="93"/>
      <c r="G749" s="93"/>
      <c r="H749" s="93"/>
      <c r="I749" s="128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  <c r="AF749" s="93"/>
      <c r="AG749" s="93"/>
      <c r="AH749" s="93"/>
      <c r="AI749" s="93"/>
      <c r="AJ749" s="93"/>
      <c r="AK749" s="93"/>
      <c r="AL749" s="93"/>
      <c r="AM749" s="93"/>
      <c r="AN749" s="93"/>
      <c r="AO749" s="93"/>
      <c r="AP749" s="93"/>
      <c r="AQ749" s="93"/>
    </row>
    <row r="750" spans="1:43" ht="12.75" customHeight="1">
      <c r="A750" s="93"/>
      <c r="B750" s="93"/>
      <c r="C750" s="117"/>
      <c r="D750" s="93"/>
      <c r="E750" s="93"/>
      <c r="F750" s="93"/>
      <c r="G750" s="93"/>
      <c r="H750" s="93"/>
      <c r="I750" s="128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  <c r="AF750" s="93"/>
      <c r="AG750" s="93"/>
      <c r="AH750" s="93"/>
      <c r="AI750" s="93"/>
      <c r="AJ750" s="93"/>
      <c r="AK750" s="93"/>
      <c r="AL750" s="93"/>
      <c r="AM750" s="93"/>
      <c r="AN750" s="93"/>
      <c r="AO750" s="93"/>
      <c r="AP750" s="93"/>
      <c r="AQ750" s="93"/>
    </row>
    <row r="751" spans="1:43" ht="12.75" customHeight="1">
      <c r="A751" s="93"/>
      <c r="B751" s="93"/>
      <c r="C751" s="117"/>
      <c r="D751" s="93"/>
      <c r="E751" s="93"/>
      <c r="F751" s="93"/>
      <c r="G751" s="93"/>
      <c r="H751" s="93"/>
      <c r="I751" s="128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  <c r="AF751" s="93"/>
      <c r="AG751" s="93"/>
      <c r="AH751" s="93"/>
      <c r="AI751" s="93"/>
      <c r="AJ751" s="93"/>
      <c r="AK751" s="93"/>
      <c r="AL751" s="93"/>
      <c r="AM751" s="93"/>
      <c r="AN751" s="93"/>
      <c r="AO751" s="93"/>
      <c r="AP751" s="93"/>
      <c r="AQ751" s="93"/>
    </row>
    <row r="752" spans="1:43" ht="12.75" customHeight="1">
      <c r="A752" s="93"/>
      <c r="B752" s="93"/>
      <c r="C752" s="117"/>
      <c r="D752" s="93"/>
      <c r="E752" s="93"/>
      <c r="F752" s="93"/>
      <c r="G752" s="93"/>
      <c r="H752" s="93"/>
      <c r="I752" s="128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93"/>
      <c r="AF752" s="93"/>
      <c r="AG752" s="93"/>
      <c r="AH752" s="93"/>
      <c r="AI752" s="93"/>
      <c r="AJ752" s="93"/>
      <c r="AK752" s="93"/>
      <c r="AL752" s="93"/>
      <c r="AM752" s="93"/>
      <c r="AN752" s="93"/>
      <c r="AO752" s="93"/>
      <c r="AP752" s="93"/>
      <c r="AQ752" s="93"/>
    </row>
    <row r="753" spans="1:43" ht="12.75" customHeight="1">
      <c r="A753" s="93"/>
      <c r="B753" s="93"/>
      <c r="C753" s="117"/>
      <c r="D753" s="93"/>
      <c r="E753" s="93"/>
      <c r="F753" s="93"/>
      <c r="G753" s="93"/>
      <c r="H753" s="93"/>
      <c r="I753" s="128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  <c r="AF753" s="93"/>
      <c r="AG753" s="93"/>
      <c r="AH753" s="93"/>
      <c r="AI753" s="93"/>
      <c r="AJ753" s="93"/>
      <c r="AK753" s="93"/>
      <c r="AL753" s="93"/>
      <c r="AM753" s="93"/>
      <c r="AN753" s="93"/>
      <c r="AO753" s="93"/>
      <c r="AP753" s="93"/>
      <c r="AQ753" s="93"/>
    </row>
    <row r="754" spans="1:43" ht="12.75" customHeight="1">
      <c r="A754" s="93"/>
      <c r="B754" s="93"/>
      <c r="C754" s="117"/>
      <c r="D754" s="93"/>
      <c r="E754" s="93"/>
      <c r="F754" s="93"/>
      <c r="G754" s="93"/>
      <c r="H754" s="93"/>
      <c r="I754" s="128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93"/>
      <c r="AF754" s="93"/>
      <c r="AG754" s="93"/>
      <c r="AH754" s="93"/>
      <c r="AI754" s="93"/>
      <c r="AJ754" s="93"/>
      <c r="AK754" s="93"/>
      <c r="AL754" s="93"/>
      <c r="AM754" s="93"/>
      <c r="AN754" s="93"/>
      <c r="AO754" s="93"/>
      <c r="AP754" s="93"/>
      <c r="AQ754" s="93"/>
    </row>
    <row r="755" spans="1:43" ht="12.75" customHeight="1">
      <c r="A755" s="93"/>
      <c r="B755" s="93"/>
      <c r="C755" s="117"/>
      <c r="D755" s="93"/>
      <c r="E755" s="93"/>
      <c r="F755" s="93"/>
      <c r="G755" s="93"/>
      <c r="H755" s="93"/>
      <c r="I755" s="128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  <c r="AF755" s="93"/>
      <c r="AG755" s="93"/>
      <c r="AH755" s="93"/>
      <c r="AI755" s="93"/>
      <c r="AJ755" s="93"/>
      <c r="AK755" s="93"/>
      <c r="AL755" s="93"/>
      <c r="AM755" s="93"/>
      <c r="AN755" s="93"/>
      <c r="AO755" s="93"/>
      <c r="AP755" s="93"/>
      <c r="AQ755" s="93"/>
    </row>
    <row r="756" spans="1:43" ht="12.75" customHeight="1">
      <c r="A756" s="93"/>
      <c r="B756" s="93"/>
      <c r="C756" s="117"/>
      <c r="D756" s="93"/>
      <c r="E756" s="93"/>
      <c r="F756" s="93"/>
      <c r="G756" s="93"/>
      <c r="H756" s="93"/>
      <c r="I756" s="128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93"/>
      <c r="AF756" s="93"/>
      <c r="AG756" s="93"/>
      <c r="AH756" s="93"/>
      <c r="AI756" s="93"/>
      <c r="AJ756" s="93"/>
      <c r="AK756" s="93"/>
      <c r="AL756" s="93"/>
      <c r="AM756" s="93"/>
      <c r="AN756" s="93"/>
      <c r="AO756" s="93"/>
      <c r="AP756" s="93"/>
      <c r="AQ756" s="93"/>
    </row>
    <row r="757" spans="1:43" ht="12.75" customHeight="1">
      <c r="A757" s="93"/>
      <c r="B757" s="93"/>
      <c r="C757" s="117"/>
      <c r="D757" s="93"/>
      <c r="E757" s="93"/>
      <c r="F757" s="93"/>
      <c r="G757" s="93"/>
      <c r="H757" s="93"/>
      <c r="I757" s="128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  <c r="AF757" s="93"/>
      <c r="AG757" s="93"/>
      <c r="AH757" s="93"/>
      <c r="AI757" s="93"/>
      <c r="AJ757" s="93"/>
      <c r="AK757" s="93"/>
      <c r="AL757" s="93"/>
      <c r="AM757" s="93"/>
      <c r="AN757" s="93"/>
      <c r="AO757" s="93"/>
      <c r="AP757" s="93"/>
      <c r="AQ757" s="93"/>
    </row>
    <row r="758" spans="1:43" ht="12.75" customHeight="1">
      <c r="A758" s="93"/>
      <c r="B758" s="93"/>
      <c r="C758" s="117"/>
      <c r="D758" s="93"/>
      <c r="E758" s="93"/>
      <c r="F758" s="93"/>
      <c r="G758" s="93"/>
      <c r="H758" s="93"/>
      <c r="I758" s="128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93"/>
      <c r="AF758" s="93"/>
      <c r="AG758" s="93"/>
      <c r="AH758" s="93"/>
      <c r="AI758" s="93"/>
      <c r="AJ758" s="93"/>
      <c r="AK758" s="93"/>
      <c r="AL758" s="93"/>
      <c r="AM758" s="93"/>
      <c r="AN758" s="93"/>
      <c r="AO758" s="93"/>
      <c r="AP758" s="93"/>
      <c r="AQ758" s="93"/>
    </row>
    <row r="759" spans="1:43" ht="12.75" customHeight="1">
      <c r="A759" s="93"/>
      <c r="B759" s="93"/>
      <c r="C759" s="117"/>
      <c r="D759" s="93"/>
      <c r="E759" s="93"/>
      <c r="F759" s="93"/>
      <c r="G759" s="93"/>
      <c r="H759" s="93"/>
      <c r="I759" s="128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  <c r="AF759" s="93"/>
      <c r="AG759" s="93"/>
      <c r="AH759" s="93"/>
      <c r="AI759" s="93"/>
      <c r="AJ759" s="93"/>
      <c r="AK759" s="93"/>
      <c r="AL759" s="93"/>
      <c r="AM759" s="93"/>
      <c r="AN759" s="93"/>
      <c r="AO759" s="93"/>
      <c r="AP759" s="93"/>
      <c r="AQ759" s="93"/>
    </row>
    <row r="760" spans="1:43" ht="12.75" customHeight="1">
      <c r="A760" s="93"/>
      <c r="B760" s="93"/>
      <c r="C760" s="117"/>
      <c r="D760" s="93"/>
      <c r="E760" s="93"/>
      <c r="F760" s="93"/>
      <c r="G760" s="93"/>
      <c r="H760" s="93"/>
      <c r="I760" s="128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  <c r="AF760" s="93"/>
      <c r="AG760" s="93"/>
      <c r="AH760" s="93"/>
      <c r="AI760" s="93"/>
      <c r="AJ760" s="93"/>
      <c r="AK760" s="93"/>
      <c r="AL760" s="93"/>
      <c r="AM760" s="93"/>
      <c r="AN760" s="93"/>
      <c r="AO760" s="93"/>
      <c r="AP760" s="93"/>
      <c r="AQ760" s="93"/>
    </row>
    <row r="761" spans="1:43" ht="12.75" customHeight="1">
      <c r="A761" s="93"/>
      <c r="B761" s="93"/>
      <c r="C761" s="117"/>
      <c r="D761" s="93"/>
      <c r="E761" s="93"/>
      <c r="F761" s="93"/>
      <c r="G761" s="93"/>
      <c r="H761" s="93"/>
      <c r="I761" s="128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  <c r="AF761" s="93"/>
      <c r="AG761" s="93"/>
      <c r="AH761" s="93"/>
      <c r="AI761" s="93"/>
      <c r="AJ761" s="93"/>
      <c r="AK761" s="93"/>
      <c r="AL761" s="93"/>
      <c r="AM761" s="93"/>
      <c r="AN761" s="93"/>
      <c r="AO761" s="93"/>
      <c r="AP761" s="93"/>
      <c r="AQ761" s="93"/>
    </row>
    <row r="762" spans="1:43" ht="12.75" customHeight="1">
      <c r="A762" s="93"/>
      <c r="B762" s="93"/>
      <c r="C762" s="117"/>
      <c r="D762" s="93"/>
      <c r="E762" s="93"/>
      <c r="F762" s="93"/>
      <c r="G762" s="93"/>
      <c r="H762" s="93"/>
      <c r="I762" s="128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  <c r="AF762" s="93"/>
      <c r="AG762" s="93"/>
      <c r="AH762" s="93"/>
      <c r="AI762" s="93"/>
      <c r="AJ762" s="93"/>
      <c r="AK762" s="93"/>
      <c r="AL762" s="93"/>
      <c r="AM762" s="93"/>
      <c r="AN762" s="93"/>
      <c r="AO762" s="93"/>
      <c r="AP762" s="93"/>
      <c r="AQ762" s="93"/>
    </row>
    <row r="763" spans="1:43" ht="12.75" customHeight="1">
      <c r="A763" s="93"/>
      <c r="B763" s="93"/>
      <c r="C763" s="117"/>
      <c r="D763" s="93"/>
      <c r="E763" s="93"/>
      <c r="F763" s="93"/>
      <c r="G763" s="93"/>
      <c r="H763" s="93"/>
      <c r="I763" s="128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  <c r="AF763" s="93"/>
      <c r="AG763" s="93"/>
      <c r="AH763" s="93"/>
      <c r="AI763" s="93"/>
      <c r="AJ763" s="93"/>
      <c r="AK763" s="93"/>
      <c r="AL763" s="93"/>
      <c r="AM763" s="93"/>
      <c r="AN763" s="93"/>
      <c r="AO763" s="93"/>
      <c r="AP763" s="93"/>
      <c r="AQ763" s="93"/>
    </row>
    <row r="764" spans="1:43" ht="12.75" customHeight="1">
      <c r="A764" s="93"/>
      <c r="B764" s="93"/>
      <c r="C764" s="117"/>
      <c r="D764" s="93"/>
      <c r="E764" s="93"/>
      <c r="F764" s="93"/>
      <c r="G764" s="93"/>
      <c r="H764" s="93"/>
      <c r="I764" s="128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  <c r="AF764" s="93"/>
      <c r="AG764" s="93"/>
      <c r="AH764" s="93"/>
      <c r="AI764" s="93"/>
      <c r="AJ764" s="93"/>
      <c r="AK764" s="93"/>
      <c r="AL764" s="93"/>
      <c r="AM764" s="93"/>
      <c r="AN764" s="93"/>
      <c r="AO764" s="93"/>
      <c r="AP764" s="93"/>
      <c r="AQ764" s="93"/>
    </row>
    <row r="765" spans="1:43" ht="12.75" customHeight="1">
      <c r="A765" s="93"/>
      <c r="B765" s="93"/>
      <c r="C765" s="117"/>
      <c r="D765" s="93"/>
      <c r="E765" s="93"/>
      <c r="F765" s="93"/>
      <c r="G765" s="93"/>
      <c r="H765" s="93"/>
      <c r="I765" s="128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G765" s="93"/>
      <c r="AH765" s="93"/>
      <c r="AI765" s="93"/>
      <c r="AJ765" s="93"/>
      <c r="AK765" s="93"/>
      <c r="AL765" s="93"/>
      <c r="AM765" s="93"/>
      <c r="AN765" s="93"/>
      <c r="AO765" s="93"/>
      <c r="AP765" s="93"/>
      <c r="AQ765" s="93"/>
    </row>
    <row r="766" spans="1:43" ht="12.75" customHeight="1">
      <c r="A766" s="93"/>
      <c r="B766" s="93"/>
      <c r="C766" s="117"/>
      <c r="D766" s="93"/>
      <c r="E766" s="93"/>
      <c r="F766" s="93"/>
      <c r="G766" s="93"/>
      <c r="H766" s="93"/>
      <c r="I766" s="128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  <c r="AF766" s="93"/>
      <c r="AG766" s="93"/>
      <c r="AH766" s="93"/>
      <c r="AI766" s="93"/>
      <c r="AJ766" s="93"/>
      <c r="AK766" s="93"/>
      <c r="AL766" s="93"/>
      <c r="AM766" s="93"/>
      <c r="AN766" s="93"/>
      <c r="AO766" s="93"/>
      <c r="AP766" s="93"/>
      <c r="AQ766" s="93"/>
    </row>
    <row r="767" spans="1:43" ht="12.75" customHeight="1">
      <c r="A767" s="93"/>
      <c r="B767" s="93"/>
      <c r="C767" s="117"/>
      <c r="D767" s="93"/>
      <c r="E767" s="93"/>
      <c r="F767" s="93"/>
      <c r="G767" s="93"/>
      <c r="H767" s="93"/>
      <c r="I767" s="128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  <c r="AJ767" s="93"/>
      <c r="AK767" s="93"/>
      <c r="AL767" s="93"/>
      <c r="AM767" s="93"/>
      <c r="AN767" s="93"/>
      <c r="AO767" s="93"/>
      <c r="AP767" s="93"/>
      <c r="AQ767" s="93"/>
    </row>
    <row r="768" spans="1:43" ht="12.75" customHeight="1">
      <c r="A768" s="93"/>
      <c r="B768" s="93"/>
      <c r="C768" s="117"/>
      <c r="D768" s="93"/>
      <c r="E768" s="93"/>
      <c r="F768" s="93"/>
      <c r="G768" s="93"/>
      <c r="H768" s="93"/>
      <c r="I768" s="128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  <c r="AF768" s="93"/>
      <c r="AG768" s="93"/>
      <c r="AH768" s="93"/>
      <c r="AI768" s="93"/>
      <c r="AJ768" s="93"/>
      <c r="AK768" s="93"/>
      <c r="AL768" s="93"/>
      <c r="AM768" s="93"/>
      <c r="AN768" s="93"/>
      <c r="AO768" s="93"/>
      <c r="AP768" s="93"/>
      <c r="AQ768" s="93"/>
    </row>
    <row r="769" spans="1:43" ht="12.75" customHeight="1">
      <c r="A769" s="93"/>
      <c r="B769" s="93"/>
      <c r="C769" s="117"/>
      <c r="D769" s="93"/>
      <c r="E769" s="93"/>
      <c r="F769" s="93"/>
      <c r="G769" s="93"/>
      <c r="H769" s="93"/>
      <c r="I769" s="128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  <c r="AF769" s="93"/>
      <c r="AG769" s="93"/>
      <c r="AH769" s="93"/>
      <c r="AI769" s="93"/>
      <c r="AJ769" s="93"/>
      <c r="AK769" s="93"/>
      <c r="AL769" s="93"/>
      <c r="AM769" s="93"/>
      <c r="AN769" s="93"/>
      <c r="AO769" s="93"/>
      <c r="AP769" s="93"/>
      <c r="AQ769" s="93"/>
    </row>
    <row r="770" spans="1:43" ht="12.75" customHeight="1">
      <c r="A770" s="93"/>
      <c r="B770" s="93"/>
      <c r="C770" s="117"/>
      <c r="D770" s="93"/>
      <c r="E770" s="93"/>
      <c r="F770" s="93"/>
      <c r="G770" s="93"/>
      <c r="H770" s="93"/>
      <c r="I770" s="128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  <c r="AF770" s="93"/>
      <c r="AG770" s="93"/>
      <c r="AH770" s="93"/>
      <c r="AI770" s="93"/>
      <c r="AJ770" s="93"/>
      <c r="AK770" s="93"/>
      <c r="AL770" s="93"/>
      <c r="AM770" s="93"/>
      <c r="AN770" s="93"/>
      <c r="AO770" s="93"/>
      <c r="AP770" s="93"/>
      <c r="AQ770" s="93"/>
    </row>
    <row r="771" spans="1:43" ht="12.75" customHeight="1">
      <c r="A771" s="93"/>
      <c r="B771" s="93"/>
      <c r="C771" s="117"/>
      <c r="D771" s="93"/>
      <c r="E771" s="93"/>
      <c r="F771" s="93"/>
      <c r="G771" s="93"/>
      <c r="H771" s="93"/>
      <c r="I771" s="128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  <c r="AF771" s="93"/>
      <c r="AG771" s="93"/>
      <c r="AH771" s="93"/>
      <c r="AI771" s="93"/>
      <c r="AJ771" s="93"/>
      <c r="AK771" s="93"/>
      <c r="AL771" s="93"/>
      <c r="AM771" s="93"/>
      <c r="AN771" s="93"/>
      <c r="AO771" s="93"/>
      <c r="AP771" s="93"/>
      <c r="AQ771" s="93"/>
    </row>
    <row r="772" spans="1:43" ht="12.75" customHeight="1">
      <c r="A772" s="93"/>
      <c r="B772" s="93"/>
      <c r="C772" s="117"/>
      <c r="D772" s="93"/>
      <c r="E772" s="93"/>
      <c r="F772" s="93"/>
      <c r="G772" s="93"/>
      <c r="H772" s="93"/>
      <c r="I772" s="128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  <c r="AF772" s="93"/>
      <c r="AG772" s="93"/>
      <c r="AH772" s="93"/>
      <c r="AI772" s="93"/>
      <c r="AJ772" s="93"/>
      <c r="AK772" s="93"/>
      <c r="AL772" s="93"/>
      <c r="AM772" s="93"/>
      <c r="AN772" s="93"/>
      <c r="AO772" s="93"/>
      <c r="AP772" s="93"/>
      <c r="AQ772" s="93"/>
    </row>
    <row r="773" spans="1:43" ht="12.75" customHeight="1">
      <c r="A773" s="93"/>
      <c r="B773" s="93"/>
      <c r="C773" s="117"/>
      <c r="D773" s="93"/>
      <c r="E773" s="93"/>
      <c r="F773" s="93"/>
      <c r="G773" s="93"/>
      <c r="H773" s="93"/>
      <c r="I773" s="128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  <c r="AF773" s="93"/>
      <c r="AG773" s="93"/>
      <c r="AH773" s="93"/>
      <c r="AI773" s="93"/>
      <c r="AJ773" s="93"/>
      <c r="AK773" s="93"/>
      <c r="AL773" s="93"/>
      <c r="AM773" s="93"/>
      <c r="AN773" s="93"/>
      <c r="AO773" s="93"/>
      <c r="AP773" s="93"/>
      <c r="AQ773" s="93"/>
    </row>
    <row r="774" spans="1:43" ht="12.75" customHeight="1">
      <c r="A774" s="93"/>
      <c r="B774" s="93"/>
      <c r="C774" s="117"/>
      <c r="D774" s="93"/>
      <c r="E774" s="93"/>
      <c r="F774" s="93"/>
      <c r="G774" s="93"/>
      <c r="H774" s="93"/>
      <c r="I774" s="128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  <c r="AF774" s="93"/>
      <c r="AG774" s="93"/>
      <c r="AH774" s="93"/>
      <c r="AI774" s="93"/>
      <c r="AJ774" s="93"/>
      <c r="AK774" s="93"/>
      <c r="AL774" s="93"/>
      <c r="AM774" s="93"/>
      <c r="AN774" s="93"/>
      <c r="AO774" s="93"/>
      <c r="AP774" s="93"/>
      <c r="AQ774" s="93"/>
    </row>
    <row r="775" spans="1:43" ht="12.75" customHeight="1">
      <c r="A775" s="93"/>
      <c r="B775" s="93"/>
      <c r="C775" s="117"/>
      <c r="D775" s="93"/>
      <c r="E775" s="93"/>
      <c r="F775" s="93"/>
      <c r="G775" s="93"/>
      <c r="H775" s="93"/>
      <c r="I775" s="128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G775" s="93"/>
      <c r="AH775" s="93"/>
      <c r="AI775" s="93"/>
      <c r="AJ775" s="93"/>
      <c r="AK775" s="93"/>
      <c r="AL775" s="93"/>
      <c r="AM775" s="93"/>
      <c r="AN775" s="93"/>
      <c r="AO775" s="93"/>
      <c r="AP775" s="93"/>
      <c r="AQ775" s="93"/>
    </row>
    <row r="776" spans="1:43" ht="12.75" customHeight="1">
      <c r="A776" s="93"/>
      <c r="B776" s="93"/>
      <c r="C776" s="117"/>
      <c r="D776" s="93"/>
      <c r="E776" s="93"/>
      <c r="F776" s="93"/>
      <c r="G776" s="93"/>
      <c r="H776" s="93"/>
      <c r="I776" s="128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  <c r="AF776" s="93"/>
      <c r="AG776" s="93"/>
      <c r="AH776" s="93"/>
      <c r="AI776" s="93"/>
      <c r="AJ776" s="93"/>
      <c r="AK776" s="93"/>
      <c r="AL776" s="93"/>
      <c r="AM776" s="93"/>
      <c r="AN776" s="93"/>
      <c r="AO776" s="93"/>
      <c r="AP776" s="93"/>
      <c r="AQ776" s="93"/>
    </row>
    <row r="777" spans="1:43" ht="12.75" customHeight="1">
      <c r="A777" s="93"/>
      <c r="B777" s="93"/>
      <c r="C777" s="117"/>
      <c r="D777" s="93"/>
      <c r="E777" s="93"/>
      <c r="F777" s="93"/>
      <c r="G777" s="93"/>
      <c r="H777" s="93"/>
      <c r="I777" s="128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  <c r="AF777" s="93"/>
      <c r="AG777" s="93"/>
      <c r="AH777" s="93"/>
      <c r="AI777" s="93"/>
      <c r="AJ777" s="93"/>
      <c r="AK777" s="93"/>
      <c r="AL777" s="93"/>
      <c r="AM777" s="93"/>
      <c r="AN777" s="93"/>
      <c r="AO777" s="93"/>
      <c r="AP777" s="93"/>
      <c r="AQ777" s="93"/>
    </row>
    <row r="778" spans="1:43" ht="12.75" customHeight="1">
      <c r="A778" s="93"/>
      <c r="B778" s="93"/>
      <c r="C778" s="117"/>
      <c r="D778" s="93"/>
      <c r="E778" s="93"/>
      <c r="F778" s="93"/>
      <c r="G778" s="93"/>
      <c r="H778" s="93"/>
      <c r="I778" s="128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  <c r="AF778" s="93"/>
      <c r="AG778" s="93"/>
      <c r="AH778" s="93"/>
      <c r="AI778" s="93"/>
      <c r="AJ778" s="93"/>
      <c r="AK778" s="93"/>
      <c r="AL778" s="93"/>
      <c r="AM778" s="93"/>
      <c r="AN778" s="93"/>
      <c r="AO778" s="93"/>
      <c r="AP778" s="93"/>
      <c r="AQ778" s="93"/>
    </row>
    <row r="779" spans="1:43" ht="12.75" customHeight="1">
      <c r="A779" s="93"/>
      <c r="B779" s="93"/>
      <c r="C779" s="117"/>
      <c r="D779" s="93"/>
      <c r="E779" s="93"/>
      <c r="F779" s="93"/>
      <c r="G779" s="93"/>
      <c r="H779" s="93"/>
      <c r="I779" s="128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  <c r="AF779" s="93"/>
      <c r="AG779" s="93"/>
      <c r="AH779" s="93"/>
      <c r="AI779" s="93"/>
      <c r="AJ779" s="93"/>
      <c r="AK779" s="93"/>
      <c r="AL779" s="93"/>
      <c r="AM779" s="93"/>
      <c r="AN779" s="93"/>
      <c r="AO779" s="93"/>
      <c r="AP779" s="93"/>
      <c r="AQ779" s="93"/>
    </row>
    <row r="780" spans="1:43" ht="12.75" customHeight="1">
      <c r="A780" s="93"/>
      <c r="B780" s="93"/>
      <c r="C780" s="117"/>
      <c r="D780" s="93"/>
      <c r="E780" s="93"/>
      <c r="F780" s="93"/>
      <c r="G780" s="93"/>
      <c r="H780" s="93"/>
      <c r="I780" s="128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  <c r="AF780" s="93"/>
      <c r="AG780" s="93"/>
      <c r="AH780" s="93"/>
      <c r="AI780" s="93"/>
      <c r="AJ780" s="93"/>
      <c r="AK780" s="93"/>
      <c r="AL780" s="93"/>
      <c r="AM780" s="93"/>
      <c r="AN780" s="93"/>
      <c r="AO780" s="93"/>
      <c r="AP780" s="93"/>
      <c r="AQ780" s="93"/>
    </row>
    <row r="781" spans="1:43" ht="12.75" customHeight="1">
      <c r="A781" s="93"/>
      <c r="B781" s="93"/>
      <c r="C781" s="117"/>
      <c r="D781" s="93"/>
      <c r="E781" s="93"/>
      <c r="F781" s="93"/>
      <c r="G781" s="93"/>
      <c r="H781" s="93"/>
      <c r="I781" s="128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  <c r="AF781" s="93"/>
      <c r="AG781" s="93"/>
      <c r="AH781" s="93"/>
      <c r="AI781" s="93"/>
      <c r="AJ781" s="93"/>
      <c r="AK781" s="93"/>
      <c r="AL781" s="93"/>
      <c r="AM781" s="93"/>
      <c r="AN781" s="93"/>
      <c r="AO781" s="93"/>
      <c r="AP781" s="93"/>
      <c r="AQ781" s="93"/>
    </row>
    <row r="782" spans="1:43" ht="12.75" customHeight="1">
      <c r="A782" s="93"/>
      <c r="B782" s="93"/>
      <c r="C782" s="117"/>
      <c r="D782" s="93"/>
      <c r="E782" s="93"/>
      <c r="F782" s="93"/>
      <c r="G782" s="93"/>
      <c r="H782" s="93"/>
      <c r="I782" s="128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  <c r="AF782" s="93"/>
      <c r="AG782" s="93"/>
      <c r="AH782" s="93"/>
      <c r="AI782" s="93"/>
      <c r="AJ782" s="93"/>
      <c r="AK782" s="93"/>
      <c r="AL782" s="93"/>
      <c r="AM782" s="93"/>
      <c r="AN782" s="93"/>
      <c r="AO782" s="93"/>
      <c r="AP782" s="93"/>
      <c r="AQ782" s="93"/>
    </row>
    <row r="783" spans="1:43" ht="12.75" customHeight="1">
      <c r="A783" s="93"/>
      <c r="B783" s="93"/>
      <c r="C783" s="117"/>
      <c r="D783" s="93"/>
      <c r="E783" s="93"/>
      <c r="F783" s="93"/>
      <c r="G783" s="93"/>
      <c r="H783" s="93"/>
      <c r="I783" s="128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  <c r="AF783" s="93"/>
      <c r="AG783" s="93"/>
      <c r="AH783" s="93"/>
      <c r="AI783" s="93"/>
      <c r="AJ783" s="93"/>
      <c r="AK783" s="93"/>
      <c r="AL783" s="93"/>
      <c r="AM783" s="93"/>
      <c r="AN783" s="93"/>
      <c r="AO783" s="93"/>
      <c r="AP783" s="93"/>
      <c r="AQ783" s="93"/>
    </row>
    <row r="784" spans="1:43" ht="12.75" customHeight="1">
      <c r="A784" s="93"/>
      <c r="B784" s="93"/>
      <c r="C784" s="117"/>
      <c r="D784" s="93"/>
      <c r="E784" s="93"/>
      <c r="F784" s="93"/>
      <c r="G784" s="93"/>
      <c r="H784" s="93"/>
      <c r="I784" s="128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  <c r="AF784" s="93"/>
      <c r="AG784" s="93"/>
      <c r="AH784" s="93"/>
      <c r="AI784" s="93"/>
      <c r="AJ784" s="93"/>
      <c r="AK784" s="93"/>
      <c r="AL784" s="93"/>
      <c r="AM784" s="93"/>
      <c r="AN784" s="93"/>
      <c r="AO784" s="93"/>
      <c r="AP784" s="93"/>
      <c r="AQ784" s="93"/>
    </row>
    <row r="785" spans="1:43" ht="12.75" customHeight="1">
      <c r="A785" s="93"/>
      <c r="B785" s="93"/>
      <c r="C785" s="117"/>
      <c r="D785" s="93"/>
      <c r="E785" s="93"/>
      <c r="F785" s="93"/>
      <c r="G785" s="93"/>
      <c r="H785" s="93"/>
      <c r="I785" s="128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G785" s="93"/>
      <c r="AH785" s="93"/>
      <c r="AI785" s="93"/>
      <c r="AJ785" s="93"/>
      <c r="AK785" s="93"/>
      <c r="AL785" s="93"/>
      <c r="AM785" s="93"/>
      <c r="AN785" s="93"/>
      <c r="AO785" s="93"/>
      <c r="AP785" s="93"/>
      <c r="AQ785" s="93"/>
    </row>
    <row r="786" spans="1:43" ht="12.75" customHeight="1">
      <c r="A786" s="93"/>
      <c r="B786" s="93"/>
      <c r="C786" s="117"/>
      <c r="D786" s="93"/>
      <c r="E786" s="93"/>
      <c r="F786" s="93"/>
      <c r="G786" s="93"/>
      <c r="H786" s="93"/>
      <c r="I786" s="128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  <c r="AF786" s="93"/>
      <c r="AG786" s="93"/>
      <c r="AH786" s="93"/>
      <c r="AI786" s="93"/>
      <c r="AJ786" s="93"/>
      <c r="AK786" s="93"/>
      <c r="AL786" s="93"/>
      <c r="AM786" s="93"/>
      <c r="AN786" s="93"/>
      <c r="AO786" s="93"/>
      <c r="AP786" s="93"/>
      <c r="AQ786" s="93"/>
    </row>
    <row r="787" spans="1:43" ht="12.75" customHeight="1">
      <c r="A787" s="93"/>
      <c r="B787" s="93"/>
      <c r="C787" s="117"/>
      <c r="D787" s="93"/>
      <c r="E787" s="93"/>
      <c r="F787" s="93"/>
      <c r="G787" s="93"/>
      <c r="H787" s="93"/>
      <c r="I787" s="128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  <c r="AF787" s="93"/>
      <c r="AG787" s="93"/>
      <c r="AH787" s="93"/>
      <c r="AI787" s="93"/>
      <c r="AJ787" s="93"/>
      <c r="AK787" s="93"/>
      <c r="AL787" s="93"/>
      <c r="AM787" s="93"/>
      <c r="AN787" s="93"/>
      <c r="AO787" s="93"/>
      <c r="AP787" s="93"/>
      <c r="AQ787" s="93"/>
    </row>
    <row r="788" spans="1:43" ht="12.75" customHeight="1">
      <c r="A788" s="93"/>
      <c r="B788" s="93"/>
      <c r="C788" s="117"/>
      <c r="D788" s="93"/>
      <c r="E788" s="93"/>
      <c r="F788" s="93"/>
      <c r="G788" s="93"/>
      <c r="H788" s="93"/>
      <c r="I788" s="128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93"/>
      <c r="AN788" s="93"/>
      <c r="AO788" s="93"/>
      <c r="AP788" s="93"/>
      <c r="AQ788" s="93"/>
    </row>
    <row r="789" spans="1:43" ht="12.75" customHeight="1">
      <c r="A789" s="93"/>
      <c r="B789" s="93"/>
      <c r="C789" s="117"/>
      <c r="D789" s="93"/>
      <c r="E789" s="93"/>
      <c r="F789" s="93"/>
      <c r="G789" s="93"/>
      <c r="H789" s="93"/>
      <c r="I789" s="128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93"/>
      <c r="AO789" s="93"/>
      <c r="AP789" s="93"/>
      <c r="AQ789" s="93"/>
    </row>
    <row r="790" spans="1:43" ht="12.75" customHeight="1">
      <c r="A790" s="93"/>
      <c r="B790" s="93"/>
      <c r="C790" s="117"/>
      <c r="D790" s="93"/>
      <c r="E790" s="93"/>
      <c r="F790" s="93"/>
      <c r="G790" s="93"/>
      <c r="H790" s="93"/>
      <c r="I790" s="128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93"/>
      <c r="AN790" s="93"/>
      <c r="AO790" s="93"/>
      <c r="AP790" s="93"/>
      <c r="AQ790" s="93"/>
    </row>
    <row r="791" spans="1:43" ht="12.75" customHeight="1">
      <c r="A791" s="93"/>
      <c r="B791" s="93"/>
      <c r="C791" s="117"/>
      <c r="D791" s="93"/>
      <c r="E791" s="93"/>
      <c r="F791" s="93"/>
      <c r="G791" s="93"/>
      <c r="H791" s="93"/>
      <c r="I791" s="128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93"/>
      <c r="AO791" s="93"/>
      <c r="AP791" s="93"/>
      <c r="AQ791" s="93"/>
    </row>
    <row r="792" spans="1:43" ht="12.75" customHeight="1">
      <c r="A792" s="93"/>
      <c r="B792" s="93"/>
      <c r="C792" s="117"/>
      <c r="D792" s="93"/>
      <c r="E792" s="93"/>
      <c r="F792" s="93"/>
      <c r="G792" s="93"/>
      <c r="H792" s="93"/>
      <c r="I792" s="128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93"/>
      <c r="AO792" s="93"/>
      <c r="AP792" s="93"/>
      <c r="AQ792" s="93"/>
    </row>
    <row r="793" spans="1:43" ht="12.75" customHeight="1">
      <c r="A793" s="93"/>
      <c r="B793" s="93"/>
      <c r="C793" s="117"/>
      <c r="D793" s="93"/>
      <c r="E793" s="93"/>
      <c r="F793" s="93"/>
      <c r="G793" s="93"/>
      <c r="H793" s="93"/>
      <c r="I793" s="128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93"/>
      <c r="AN793" s="93"/>
      <c r="AO793" s="93"/>
      <c r="AP793" s="93"/>
      <c r="AQ793" s="93"/>
    </row>
    <row r="794" spans="1:43" ht="12.75" customHeight="1">
      <c r="A794" s="93"/>
      <c r="B794" s="93"/>
      <c r="C794" s="117"/>
      <c r="D794" s="93"/>
      <c r="E794" s="93"/>
      <c r="F794" s="93"/>
      <c r="G794" s="93"/>
      <c r="H794" s="93"/>
      <c r="I794" s="128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93"/>
      <c r="AN794" s="93"/>
      <c r="AO794" s="93"/>
      <c r="AP794" s="93"/>
      <c r="AQ794" s="93"/>
    </row>
    <row r="795" spans="1:43" ht="12.75" customHeight="1">
      <c r="A795" s="93"/>
      <c r="B795" s="93"/>
      <c r="C795" s="117"/>
      <c r="D795" s="93"/>
      <c r="E795" s="93"/>
      <c r="F795" s="93"/>
      <c r="G795" s="93"/>
      <c r="H795" s="93"/>
      <c r="I795" s="128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93"/>
      <c r="AN795" s="93"/>
      <c r="AO795" s="93"/>
      <c r="AP795" s="93"/>
      <c r="AQ795" s="93"/>
    </row>
    <row r="796" spans="1:43" ht="12.75" customHeight="1">
      <c r="A796" s="93"/>
      <c r="B796" s="93"/>
      <c r="C796" s="117"/>
      <c r="D796" s="93"/>
      <c r="E796" s="93"/>
      <c r="F796" s="93"/>
      <c r="G796" s="93"/>
      <c r="H796" s="93"/>
      <c r="I796" s="128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93"/>
      <c r="AN796" s="93"/>
      <c r="AO796" s="93"/>
      <c r="AP796" s="93"/>
      <c r="AQ796" s="93"/>
    </row>
    <row r="797" spans="1:43" ht="12.75" customHeight="1">
      <c r="A797" s="93"/>
      <c r="B797" s="93"/>
      <c r="C797" s="117"/>
      <c r="D797" s="93"/>
      <c r="E797" s="93"/>
      <c r="F797" s="93"/>
      <c r="G797" s="93"/>
      <c r="H797" s="93"/>
      <c r="I797" s="128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93"/>
      <c r="AN797" s="93"/>
      <c r="AO797" s="93"/>
      <c r="AP797" s="93"/>
      <c r="AQ797" s="93"/>
    </row>
    <row r="798" spans="1:43" ht="12.75" customHeight="1">
      <c r="A798" s="93"/>
      <c r="B798" s="93"/>
      <c r="C798" s="117"/>
      <c r="D798" s="93"/>
      <c r="E798" s="93"/>
      <c r="F798" s="93"/>
      <c r="G798" s="93"/>
      <c r="H798" s="93"/>
      <c r="I798" s="128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93"/>
      <c r="AO798" s="93"/>
      <c r="AP798" s="93"/>
      <c r="AQ798" s="93"/>
    </row>
    <row r="799" spans="1:43" ht="12.75" customHeight="1">
      <c r="A799" s="93"/>
      <c r="B799" s="93"/>
      <c r="C799" s="117"/>
      <c r="D799" s="93"/>
      <c r="E799" s="93"/>
      <c r="F799" s="93"/>
      <c r="G799" s="93"/>
      <c r="H799" s="93"/>
      <c r="I799" s="128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93"/>
      <c r="AN799" s="93"/>
      <c r="AO799" s="93"/>
      <c r="AP799" s="93"/>
      <c r="AQ799" s="93"/>
    </row>
    <row r="800" spans="1:43" ht="12.75" customHeight="1">
      <c r="A800" s="93"/>
      <c r="B800" s="93"/>
      <c r="C800" s="117"/>
      <c r="D800" s="93"/>
      <c r="E800" s="93"/>
      <c r="F800" s="93"/>
      <c r="G800" s="93"/>
      <c r="H800" s="93"/>
      <c r="I800" s="128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93"/>
      <c r="AO800" s="93"/>
      <c r="AP800" s="93"/>
      <c r="AQ800" s="93"/>
    </row>
    <row r="801" spans="1:43" ht="12.75" customHeight="1">
      <c r="A801" s="93"/>
      <c r="B801" s="93"/>
      <c r="C801" s="117"/>
      <c r="D801" s="93"/>
      <c r="E801" s="93"/>
      <c r="F801" s="93"/>
      <c r="G801" s="93"/>
      <c r="H801" s="93"/>
      <c r="I801" s="128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93"/>
      <c r="AO801" s="93"/>
      <c r="AP801" s="93"/>
      <c r="AQ801" s="93"/>
    </row>
    <row r="802" spans="1:43" ht="12.75" customHeight="1">
      <c r="A802" s="93"/>
      <c r="B802" s="93"/>
      <c r="C802" s="117"/>
      <c r="D802" s="93"/>
      <c r="E802" s="93"/>
      <c r="F802" s="93"/>
      <c r="G802" s="93"/>
      <c r="H802" s="93"/>
      <c r="I802" s="128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93"/>
      <c r="AO802" s="93"/>
      <c r="AP802" s="93"/>
      <c r="AQ802" s="93"/>
    </row>
    <row r="803" spans="1:43" ht="12.75" customHeight="1">
      <c r="A803" s="93"/>
      <c r="B803" s="93"/>
      <c r="C803" s="117"/>
      <c r="D803" s="93"/>
      <c r="E803" s="93"/>
      <c r="F803" s="93"/>
      <c r="G803" s="93"/>
      <c r="H803" s="93"/>
      <c r="I803" s="128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93"/>
      <c r="AN803" s="93"/>
      <c r="AO803" s="93"/>
      <c r="AP803" s="93"/>
      <c r="AQ803" s="93"/>
    </row>
    <row r="804" spans="1:43" ht="12.75" customHeight="1">
      <c r="A804" s="93"/>
      <c r="B804" s="93"/>
      <c r="C804" s="117"/>
      <c r="D804" s="93"/>
      <c r="E804" s="93"/>
      <c r="F804" s="93"/>
      <c r="G804" s="93"/>
      <c r="H804" s="93"/>
      <c r="I804" s="128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93"/>
      <c r="AO804" s="93"/>
      <c r="AP804" s="93"/>
      <c r="AQ804" s="93"/>
    </row>
    <row r="805" spans="1:43" ht="12.75" customHeight="1">
      <c r="A805" s="93"/>
      <c r="B805" s="93"/>
      <c r="C805" s="117"/>
      <c r="D805" s="93"/>
      <c r="E805" s="93"/>
      <c r="F805" s="93"/>
      <c r="G805" s="93"/>
      <c r="H805" s="93"/>
      <c r="I805" s="128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93"/>
      <c r="AN805" s="93"/>
      <c r="AO805" s="93"/>
      <c r="AP805" s="93"/>
      <c r="AQ805" s="93"/>
    </row>
    <row r="806" spans="1:43" ht="12.75" customHeight="1">
      <c r="A806" s="93"/>
      <c r="B806" s="93"/>
      <c r="C806" s="117"/>
      <c r="D806" s="93"/>
      <c r="E806" s="93"/>
      <c r="F806" s="93"/>
      <c r="G806" s="93"/>
      <c r="H806" s="93"/>
      <c r="I806" s="128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93"/>
      <c r="AN806" s="93"/>
      <c r="AO806" s="93"/>
      <c r="AP806" s="93"/>
      <c r="AQ806" s="93"/>
    </row>
    <row r="807" spans="1:43" ht="12.75" customHeight="1">
      <c r="A807" s="93"/>
      <c r="B807" s="93"/>
      <c r="C807" s="117"/>
      <c r="D807" s="93"/>
      <c r="E807" s="93"/>
      <c r="F807" s="93"/>
      <c r="G807" s="93"/>
      <c r="H807" s="93"/>
      <c r="I807" s="128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93"/>
      <c r="AO807" s="93"/>
      <c r="AP807" s="93"/>
      <c r="AQ807" s="93"/>
    </row>
    <row r="808" spans="1:43" ht="12.75" customHeight="1">
      <c r="A808" s="93"/>
      <c r="B808" s="93"/>
      <c r="C808" s="117"/>
      <c r="D808" s="93"/>
      <c r="E808" s="93"/>
      <c r="F808" s="93"/>
      <c r="G808" s="93"/>
      <c r="H808" s="93"/>
      <c r="I808" s="128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93"/>
      <c r="AO808" s="93"/>
      <c r="AP808" s="93"/>
      <c r="AQ808" s="93"/>
    </row>
    <row r="809" spans="1:43" ht="12.75" customHeight="1">
      <c r="A809" s="93"/>
      <c r="B809" s="93"/>
      <c r="C809" s="117"/>
      <c r="D809" s="93"/>
      <c r="E809" s="93"/>
      <c r="F809" s="93"/>
      <c r="G809" s="93"/>
      <c r="H809" s="93"/>
      <c r="I809" s="128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93"/>
      <c r="AO809" s="93"/>
      <c r="AP809" s="93"/>
      <c r="AQ809" s="93"/>
    </row>
    <row r="810" spans="1:43" ht="12.75" customHeight="1">
      <c r="A810" s="93"/>
      <c r="B810" s="93"/>
      <c r="C810" s="117"/>
      <c r="D810" s="93"/>
      <c r="E810" s="93"/>
      <c r="F810" s="93"/>
      <c r="G810" s="93"/>
      <c r="H810" s="93"/>
      <c r="I810" s="128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93"/>
      <c r="AO810" s="93"/>
      <c r="AP810" s="93"/>
      <c r="AQ810" s="93"/>
    </row>
    <row r="811" spans="1:43" ht="12.75" customHeight="1">
      <c r="A811" s="93"/>
      <c r="B811" s="93"/>
      <c r="C811" s="117"/>
      <c r="D811" s="93"/>
      <c r="E811" s="93"/>
      <c r="F811" s="93"/>
      <c r="G811" s="93"/>
      <c r="H811" s="93"/>
      <c r="I811" s="128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  <c r="AJ811" s="93"/>
      <c r="AK811" s="93"/>
      <c r="AL811" s="93"/>
      <c r="AM811" s="93"/>
      <c r="AN811" s="93"/>
      <c r="AO811" s="93"/>
      <c r="AP811" s="93"/>
      <c r="AQ811" s="93"/>
    </row>
    <row r="812" spans="1:43" ht="12.75" customHeight="1">
      <c r="A812" s="93"/>
      <c r="B812" s="93"/>
      <c r="C812" s="117"/>
      <c r="D812" s="93"/>
      <c r="E812" s="93"/>
      <c r="F812" s="93"/>
      <c r="G812" s="93"/>
      <c r="H812" s="93"/>
      <c r="I812" s="128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93"/>
      <c r="AF812" s="93"/>
      <c r="AG812" s="93"/>
      <c r="AH812" s="93"/>
      <c r="AI812" s="93"/>
      <c r="AJ812" s="93"/>
      <c r="AK812" s="93"/>
      <c r="AL812" s="93"/>
      <c r="AM812" s="93"/>
      <c r="AN812" s="93"/>
      <c r="AO812" s="93"/>
      <c r="AP812" s="93"/>
      <c r="AQ812" s="93"/>
    </row>
    <row r="813" spans="1:43" ht="12.75" customHeight="1">
      <c r="A813" s="93"/>
      <c r="B813" s="93"/>
      <c r="C813" s="117"/>
      <c r="D813" s="93"/>
      <c r="E813" s="93"/>
      <c r="F813" s="93"/>
      <c r="G813" s="93"/>
      <c r="H813" s="93"/>
      <c r="I813" s="128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93"/>
      <c r="AF813" s="93"/>
      <c r="AG813" s="93"/>
      <c r="AH813" s="93"/>
      <c r="AI813" s="93"/>
      <c r="AJ813" s="93"/>
      <c r="AK813" s="93"/>
      <c r="AL813" s="93"/>
      <c r="AM813" s="93"/>
      <c r="AN813" s="93"/>
      <c r="AO813" s="93"/>
      <c r="AP813" s="93"/>
      <c r="AQ813" s="93"/>
    </row>
    <row r="814" spans="1:43" ht="12.75" customHeight="1">
      <c r="A814" s="93"/>
      <c r="B814" s="93"/>
      <c r="C814" s="117"/>
      <c r="D814" s="93"/>
      <c r="E814" s="93"/>
      <c r="F814" s="93"/>
      <c r="G814" s="93"/>
      <c r="H814" s="93"/>
      <c r="I814" s="128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93"/>
      <c r="AF814" s="93"/>
      <c r="AG814" s="93"/>
      <c r="AH814" s="93"/>
      <c r="AI814" s="93"/>
      <c r="AJ814" s="93"/>
      <c r="AK814" s="93"/>
      <c r="AL814" s="93"/>
      <c r="AM814" s="93"/>
      <c r="AN814" s="93"/>
      <c r="AO814" s="93"/>
      <c r="AP814" s="93"/>
      <c r="AQ814" s="93"/>
    </row>
    <row r="815" spans="1:43" ht="12.75" customHeight="1">
      <c r="A815" s="93"/>
      <c r="B815" s="93"/>
      <c r="C815" s="117"/>
      <c r="D815" s="93"/>
      <c r="E815" s="93"/>
      <c r="F815" s="93"/>
      <c r="G815" s="93"/>
      <c r="H815" s="93"/>
      <c r="I815" s="128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  <c r="AF815" s="93"/>
      <c r="AG815" s="93"/>
      <c r="AH815" s="93"/>
      <c r="AI815" s="93"/>
      <c r="AJ815" s="93"/>
      <c r="AK815" s="93"/>
      <c r="AL815" s="93"/>
      <c r="AM815" s="93"/>
      <c r="AN815" s="93"/>
      <c r="AO815" s="93"/>
      <c r="AP815" s="93"/>
      <c r="AQ815" s="93"/>
    </row>
    <row r="816" spans="1:43" ht="12.75" customHeight="1">
      <c r="A816" s="93"/>
      <c r="B816" s="93"/>
      <c r="C816" s="117"/>
      <c r="D816" s="93"/>
      <c r="E816" s="93"/>
      <c r="F816" s="93"/>
      <c r="G816" s="93"/>
      <c r="H816" s="93"/>
      <c r="I816" s="128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93"/>
      <c r="AF816" s="93"/>
      <c r="AG816" s="93"/>
      <c r="AH816" s="93"/>
      <c r="AI816" s="93"/>
      <c r="AJ816" s="93"/>
      <c r="AK816" s="93"/>
      <c r="AL816" s="93"/>
      <c r="AM816" s="93"/>
      <c r="AN816" s="93"/>
      <c r="AO816" s="93"/>
      <c r="AP816" s="93"/>
      <c r="AQ816" s="93"/>
    </row>
    <row r="817" spans="1:43" ht="12.75" customHeight="1">
      <c r="A817" s="93"/>
      <c r="B817" s="93"/>
      <c r="C817" s="117"/>
      <c r="D817" s="93"/>
      <c r="E817" s="93"/>
      <c r="F817" s="93"/>
      <c r="G817" s="93"/>
      <c r="H817" s="93"/>
      <c r="I817" s="128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93"/>
      <c r="AF817" s="93"/>
      <c r="AG817" s="93"/>
      <c r="AH817" s="93"/>
      <c r="AI817" s="93"/>
      <c r="AJ817" s="93"/>
      <c r="AK817" s="93"/>
      <c r="AL817" s="93"/>
      <c r="AM817" s="93"/>
      <c r="AN817" s="93"/>
      <c r="AO817" s="93"/>
      <c r="AP817" s="93"/>
      <c r="AQ817" s="93"/>
    </row>
    <row r="818" spans="1:43" ht="12.75" customHeight="1">
      <c r="A818" s="93"/>
      <c r="B818" s="93"/>
      <c r="C818" s="117"/>
      <c r="D818" s="93"/>
      <c r="E818" s="93"/>
      <c r="F818" s="93"/>
      <c r="G818" s="93"/>
      <c r="H818" s="93"/>
      <c r="I818" s="128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  <c r="AF818" s="93"/>
      <c r="AG818" s="93"/>
      <c r="AH818" s="93"/>
      <c r="AI818" s="93"/>
      <c r="AJ818" s="93"/>
      <c r="AK818" s="93"/>
      <c r="AL818" s="93"/>
      <c r="AM818" s="93"/>
      <c r="AN818" s="93"/>
      <c r="AO818" s="93"/>
      <c r="AP818" s="93"/>
      <c r="AQ818" s="93"/>
    </row>
    <row r="819" spans="1:43" ht="12.75" customHeight="1">
      <c r="A819" s="93"/>
      <c r="B819" s="93"/>
      <c r="C819" s="117"/>
      <c r="D819" s="93"/>
      <c r="E819" s="93"/>
      <c r="F819" s="93"/>
      <c r="G819" s="93"/>
      <c r="H819" s="93"/>
      <c r="I819" s="128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93"/>
      <c r="AF819" s="93"/>
      <c r="AG819" s="93"/>
      <c r="AH819" s="93"/>
      <c r="AI819" s="93"/>
      <c r="AJ819" s="93"/>
      <c r="AK819" s="93"/>
      <c r="AL819" s="93"/>
      <c r="AM819" s="93"/>
      <c r="AN819" s="93"/>
      <c r="AO819" s="93"/>
      <c r="AP819" s="93"/>
      <c r="AQ819" s="93"/>
    </row>
    <row r="820" spans="1:43" ht="12.75" customHeight="1">
      <c r="A820" s="93"/>
      <c r="B820" s="93"/>
      <c r="C820" s="117"/>
      <c r="D820" s="93"/>
      <c r="E820" s="93"/>
      <c r="F820" s="93"/>
      <c r="G820" s="93"/>
      <c r="H820" s="93"/>
      <c r="I820" s="128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  <c r="AF820" s="93"/>
      <c r="AG820" s="93"/>
      <c r="AH820" s="93"/>
      <c r="AI820" s="93"/>
      <c r="AJ820" s="93"/>
      <c r="AK820" s="93"/>
      <c r="AL820" s="93"/>
      <c r="AM820" s="93"/>
      <c r="AN820" s="93"/>
      <c r="AO820" s="93"/>
      <c r="AP820" s="93"/>
      <c r="AQ820" s="93"/>
    </row>
    <row r="821" spans="1:43" ht="12.75" customHeight="1">
      <c r="A821" s="93"/>
      <c r="B821" s="93"/>
      <c r="C821" s="117"/>
      <c r="D821" s="93"/>
      <c r="E821" s="93"/>
      <c r="F821" s="93"/>
      <c r="G821" s="93"/>
      <c r="H821" s="93"/>
      <c r="I821" s="128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93"/>
      <c r="AF821" s="93"/>
      <c r="AG821" s="93"/>
      <c r="AH821" s="93"/>
      <c r="AI821" s="93"/>
      <c r="AJ821" s="93"/>
      <c r="AK821" s="93"/>
      <c r="AL821" s="93"/>
      <c r="AM821" s="93"/>
      <c r="AN821" s="93"/>
      <c r="AO821" s="93"/>
      <c r="AP821" s="93"/>
      <c r="AQ821" s="93"/>
    </row>
    <row r="822" spans="1:43" ht="12.75" customHeight="1">
      <c r="A822" s="93"/>
      <c r="B822" s="93"/>
      <c r="C822" s="117"/>
      <c r="D822" s="93"/>
      <c r="E822" s="93"/>
      <c r="F822" s="93"/>
      <c r="G822" s="93"/>
      <c r="H822" s="93"/>
      <c r="I822" s="128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93"/>
      <c r="AF822" s="93"/>
      <c r="AG822" s="93"/>
      <c r="AH822" s="93"/>
      <c r="AI822" s="93"/>
      <c r="AJ822" s="93"/>
      <c r="AK822" s="93"/>
      <c r="AL822" s="93"/>
      <c r="AM822" s="93"/>
      <c r="AN822" s="93"/>
      <c r="AO822" s="93"/>
      <c r="AP822" s="93"/>
      <c r="AQ822" s="93"/>
    </row>
    <row r="823" spans="1:43" ht="12.75" customHeight="1">
      <c r="A823" s="93"/>
      <c r="B823" s="93"/>
      <c r="C823" s="117"/>
      <c r="D823" s="93"/>
      <c r="E823" s="93"/>
      <c r="F823" s="93"/>
      <c r="G823" s="93"/>
      <c r="H823" s="93"/>
      <c r="I823" s="128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93"/>
      <c r="AF823" s="93"/>
      <c r="AG823" s="93"/>
      <c r="AH823" s="93"/>
      <c r="AI823" s="93"/>
      <c r="AJ823" s="93"/>
      <c r="AK823" s="93"/>
      <c r="AL823" s="93"/>
      <c r="AM823" s="93"/>
      <c r="AN823" s="93"/>
      <c r="AO823" s="93"/>
      <c r="AP823" s="93"/>
      <c r="AQ823" s="93"/>
    </row>
    <row r="824" spans="1:43" ht="12.75" customHeight="1">
      <c r="A824" s="93"/>
      <c r="B824" s="93"/>
      <c r="C824" s="117"/>
      <c r="D824" s="93"/>
      <c r="E824" s="93"/>
      <c r="F824" s="93"/>
      <c r="G824" s="93"/>
      <c r="H824" s="93"/>
      <c r="I824" s="128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93"/>
      <c r="AF824" s="93"/>
      <c r="AG824" s="93"/>
      <c r="AH824" s="93"/>
      <c r="AI824" s="93"/>
      <c r="AJ824" s="93"/>
      <c r="AK824" s="93"/>
      <c r="AL824" s="93"/>
      <c r="AM824" s="93"/>
      <c r="AN824" s="93"/>
      <c r="AO824" s="93"/>
      <c r="AP824" s="93"/>
      <c r="AQ824" s="93"/>
    </row>
    <row r="825" spans="1:43" ht="12.75" customHeight="1">
      <c r="A825" s="93"/>
      <c r="B825" s="93"/>
      <c r="C825" s="117"/>
      <c r="D825" s="93"/>
      <c r="E825" s="93"/>
      <c r="F825" s="93"/>
      <c r="G825" s="93"/>
      <c r="H825" s="93"/>
      <c r="I825" s="128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G825" s="93"/>
      <c r="AH825" s="93"/>
      <c r="AI825" s="93"/>
      <c r="AJ825" s="93"/>
      <c r="AK825" s="93"/>
      <c r="AL825" s="93"/>
      <c r="AM825" s="93"/>
      <c r="AN825" s="93"/>
      <c r="AO825" s="93"/>
      <c r="AP825" s="93"/>
      <c r="AQ825" s="93"/>
    </row>
    <row r="826" spans="1:43" ht="12.75" customHeight="1">
      <c r="A826" s="93"/>
      <c r="B826" s="93"/>
      <c r="C826" s="117"/>
      <c r="D826" s="93"/>
      <c r="E826" s="93"/>
      <c r="F826" s="93"/>
      <c r="G826" s="93"/>
      <c r="H826" s="93"/>
      <c r="I826" s="128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93"/>
      <c r="AF826" s="93"/>
      <c r="AG826" s="93"/>
      <c r="AH826" s="93"/>
      <c r="AI826" s="93"/>
      <c r="AJ826" s="93"/>
      <c r="AK826" s="93"/>
      <c r="AL826" s="93"/>
      <c r="AM826" s="93"/>
      <c r="AN826" s="93"/>
      <c r="AO826" s="93"/>
      <c r="AP826" s="93"/>
      <c r="AQ826" s="93"/>
    </row>
    <row r="827" spans="1:43" ht="12.75" customHeight="1">
      <c r="A827" s="93"/>
      <c r="B827" s="93"/>
      <c r="C827" s="117"/>
      <c r="D827" s="93"/>
      <c r="E827" s="93"/>
      <c r="F827" s="93"/>
      <c r="G827" s="93"/>
      <c r="H827" s="93"/>
      <c r="I827" s="128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93"/>
      <c r="AF827" s="93"/>
      <c r="AG827" s="93"/>
      <c r="AH827" s="93"/>
      <c r="AI827" s="93"/>
      <c r="AJ827" s="93"/>
      <c r="AK827" s="93"/>
      <c r="AL827" s="93"/>
      <c r="AM827" s="93"/>
      <c r="AN827" s="93"/>
      <c r="AO827" s="93"/>
      <c r="AP827" s="93"/>
      <c r="AQ827" s="93"/>
    </row>
    <row r="828" spans="1:43" ht="12.75" customHeight="1">
      <c r="A828" s="93"/>
      <c r="B828" s="93"/>
      <c r="C828" s="117"/>
      <c r="D828" s="93"/>
      <c r="E828" s="93"/>
      <c r="F828" s="93"/>
      <c r="G828" s="93"/>
      <c r="H828" s="93"/>
      <c r="I828" s="128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93"/>
      <c r="AF828" s="93"/>
      <c r="AG828" s="93"/>
      <c r="AH828" s="93"/>
      <c r="AI828" s="93"/>
      <c r="AJ828" s="93"/>
      <c r="AK828" s="93"/>
      <c r="AL828" s="93"/>
      <c r="AM828" s="93"/>
      <c r="AN828" s="93"/>
      <c r="AO828" s="93"/>
      <c r="AP828" s="93"/>
      <c r="AQ828" s="93"/>
    </row>
    <row r="829" spans="1:43" ht="12.75" customHeight="1">
      <c r="A829" s="93"/>
      <c r="B829" s="93"/>
      <c r="C829" s="117"/>
      <c r="D829" s="93"/>
      <c r="E829" s="93"/>
      <c r="F829" s="93"/>
      <c r="G829" s="93"/>
      <c r="H829" s="93"/>
      <c r="I829" s="128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93"/>
      <c r="AF829" s="93"/>
      <c r="AG829" s="93"/>
      <c r="AH829" s="93"/>
      <c r="AI829" s="93"/>
      <c r="AJ829" s="93"/>
      <c r="AK829" s="93"/>
      <c r="AL829" s="93"/>
      <c r="AM829" s="93"/>
      <c r="AN829" s="93"/>
      <c r="AO829" s="93"/>
      <c r="AP829" s="93"/>
      <c r="AQ829" s="93"/>
    </row>
    <row r="830" spans="1:43" ht="12.75" customHeight="1">
      <c r="A830" s="93"/>
      <c r="B830" s="93"/>
      <c r="C830" s="117"/>
      <c r="D830" s="93"/>
      <c r="E830" s="93"/>
      <c r="F830" s="93"/>
      <c r="G830" s="93"/>
      <c r="H830" s="93"/>
      <c r="I830" s="128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  <c r="AF830" s="93"/>
      <c r="AG830" s="93"/>
      <c r="AH830" s="93"/>
      <c r="AI830" s="93"/>
      <c r="AJ830" s="93"/>
      <c r="AK830" s="93"/>
      <c r="AL830" s="93"/>
      <c r="AM830" s="93"/>
      <c r="AN830" s="93"/>
      <c r="AO830" s="93"/>
      <c r="AP830" s="93"/>
      <c r="AQ830" s="93"/>
    </row>
    <row r="831" spans="1:43" ht="12.75" customHeight="1">
      <c r="A831" s="93"/>
      <c r="B831" s="93"/>
      <c r="C831" s="117"/>
      <c r="D831" s="93"/>
      <c r="E831" s="93"/>
      <c r="F831" s="93"/>
      <c r="G831" s="93"/>
      <c r="H831" s="93"/>
      <c r="I831" s="128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93"/>
      <c r="AF831" s="93"/>
      <c r="AG831" s="93"/>
      <c r="AH831" s="93"/>
      <c r="AI831" s="93"/>
      <c r="AJ831" s="93"/>
      <c r="AK831" s="93"/>
      <c r="AL831" s="93"/>
      <c r="AM831" s="93"/>
      <c r="AN831" s="93"/>
      <c r="AO831" s="93"/>
      <c r="AP831" s="93"/>
      <c r="AQ831" s="93"/>
    </row>
    <row r="832" spans="1:43" ht="12.75" customHeight="1">
      <c r="A832" s="93"/>
      <c r="B832" s="93"/>
      <c r="C832" s="117"/>
      <c r="D832" s="93"/>
      <c r="E832" s="93"/>
      <c r="F832" s="93"/>
      <c r="G832" s="93"/>
      <c r="H832" s="93"/>
      <c r="I832" s="128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93"/>
      <c r="AF832" s="93"/>
      <c r="AG832" s="93"/>
      <c r="AH832" s="93"/>
      <c r="AI832" s="93"/>
      <c r="AJ832" s="93"/>
      <c r="AK832" s="93"/>
      <c r="AL832" s="93"/>
      <c r="AM832" s="93"/>
      <c r="AN832" s="93"/>
      <c r="AO832" s="93"/>
      <c r="AP832" s="93"/>
      <c r="AQ832" s="93"/>
    </row>
    <row r="833" spans="1:43" ht="12.75" customHeight="1">
      <c r="A833" s="93"/>
      <c r="B833" s="93"/>
      <c r="C833" s="117"/>
      <c r="D833" s="93"/>
      <c r="E833" s="93"/>
      <c r="F833" s="93"/>
      <c r="G833" s="93"/>
      <c r="H833" s="93"/>
      <c r="I833" s="128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93"/>
      <c r="AF833" s="93"/>
      <c r="AG833" s="93"/>
      <c r="AH833" s="93"/>
      <c r="AI833" s="93"/>
      <c r="AJ833" s="93"/>
      <c r="AK833" s="93"/>
      <c r="AL833" s="93"/>
      <c r="AM833" s="93"/>
      <c r="AN833" s="93"/>
      <c r="AO833" s="93"/>
      <c r="AP833" s="93"/>
      <c r="AQ833" s="93"/>
    </row>
    <row r="834" spans="1:43" ht="12.75" customHeight="1">
      <c r="A834" s="93"/>
      <c r="B834" s="93"/>
      <c r="C834" s="117"/>
      <c r="D834" s="93"/>
      <c r="E834" s="93"/>
      <c r="F834" s="93"/>
      <c r="G834" s="93"/>
      <c r="H834" s="93"/>
      <c r="I834" s="128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93"/>
      <c r="AF834" s="93"/>
      <c r="AG834" s="93"/>
      <c r="AH834" s="93"/>
      <c r="AI834" s="93"/>
      <c r="AJ834" s="93"/>
      <c r="AK834" s="93"/>
      <c r="AL834" s="93"/>
      <c r="AM834" s="93"/>
      <c r="AN834" s="93"/>
      <c r="AO834" s="93"/>
      <c r="AP834" s="93"/>
      <c r="AQ834" s="93"/>
    </row>
    <row r="835" spans="1:43" ht="12.75" customHeight="1">
      <c r="A835" s="93"/>
      <c r="B835" s="93"/>
      <c r="C835" s="117"/>
      <c r="D835" s="93"/>
      <c r="E835" s="93"/>
      <c r="F835" s="93"/>
      <c r="G835" s="93"/>
      <c r="H835" s="93"/>
      <c r="I835" s="128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  <c r="AF835" s="93"/>
      <c r="AG835" s="93"/>
      <c r="AH835" s="93"/>
      <c r="AI835" s="93"/>
      <c r="AJ835" s="93"/>
      <c r="AK835" s="93"/>
      <c r="AL835" s="93"/>
      <c r="AM835" s="93"/>
      <c r="AN835" s="93"/>
      <c r="AO835" s="93"/>
      <c r="AP835" s="93"/>
      <c r="AQ835" s="93"/>
    </row>
    <row r="836" spans="1:43" ht="12.75" customHeight="1">
      <c r="A836" s="93"/>
      <c r="B836" s="93"/>
      <c r="C836" s="117"/>
      <c r="D836" s="93"/>
      <c r="E836" s="93"/>
      <c r="F836" s="93"/>
      <c r="G836" s="93"/>
      <c r="H836" s="93"/>
      <c r="I836" s="128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93"/>
      <c r="AF836" s="93"/>
      <c r="AG836" s="93"/>
      <c r="AH836" s="93"/>
      <c r="AI836" s="93"/>
      <c r="AJ836" s="93"/>
      <c r="AK836" s="93"/>
      <c r="AL836" s="93"/>
      <c r="AM836" s="93"/>
      <c r="AN836" s="93"/>
      <c r="AO836" s="93"/>
      <c r="AP836" s="93"/>
      <c r="AQ836" s="93"/>
    </row>
    <row r="837" spans="1:43" ht="12.75" customHeight="1">
      <c r="A837" s="93"/>
      <c r="B837" s="93"/>
      <c r="C837" s="117"/>
      <c r="D837" s="93"/>
      <c r="E837" s="93"/>
      <c r="F837" s="93"/>
      <c r="G837" s="93"/>
      <c r="H837" s="93"/>
      <c r="I837" s="128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93"/>
      <c r="AF837" s="93"/>
      <c r="AG837" s="93"/>
      <c r="AH837" s="93"/>
      <c r="AI837" s="93"/>
      <c r="AJ837" s="93"/>
      <c r="AK837" s="93"/>
      <c r="AL837" s="93"/>
      <c r="AM837" s="93"/>
      <c r="AN837" s="93"/>
      <c r="AO837" s="93"/>
      <c r="AP837" s="93"/>
      <c r="AQ837" s="93"/>
    </row>
    <row r="838" spans="1:43" ht="12.75" customHeight="1">
      <c r="A838" s="93"/>
      <c r="B838" s="93"/>
      <c r="C838" s="117"/>
      <c r="D838" s="93"/>
      <c r="E838" s="93"/>
      <c r="F838" s="93"/>
      <c r="G838" s="93"/>
      <c r="H838" s="93"/>
      <c r="I838" s="128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93"/>
      <c r="AF838" s="93"/>
      <c r="AG838" s="93"/>
      <c r="AH838" s="93"/>
      <c r="AI838" s="93"/>
      <c r="AJ838" s="93"/>
      <c r="AK838" s="93"/>
      <c r="AL838" s="93"/>
      <c r="AM838" s="93"/>
      <c r="AN838" s="93"/>
      <c r="AO838" s="93"/>
      <c r="AP838" s="93"/>
      <c r="AQ838" s="93"/>
    </row>
    <row r="839" spans="1:43" ht="12.75" customHeight="1">
      <c r="A839" s="93"/>
      <c r="B839" s="93"/>
      <c r="C839" s="117"/>
      <c r="D839" s="93"/>
      <c r="E839" s="93"/>
      <c r="F839" s="93"/>
      <c r="G839" s="93"/>
      <c r="H839" s="93"/>
      <c r="I839" s="128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93"/>
      <c r="AF839" s="93"/>
      <c r="AG839" s="93"/>
      <c r="AH839" s="93"/>
      <c r="AI839" s="93"/>
      <c r="AJ839" s="93"/>
      <c r="AK839" s="93"/>
      <c r="AL839" s="93"/>
      <c r="AM839" s="93"/>
      <c r="AN839" s="93"/>
      <c r="AO839" s="93"/>
      <c r="AP839" s="93"/>
      <c r="AQ839" s="93"/>
    </row>
    <row r="840" spans="1:43" ht="12.75" customHeight="1">
      <c r="A840" s="93"/>
      <c r="B840" s="93"/>
      <c r="C840" s="117"/>
      <c r="D840" s="93"/>
      <c r="E840" s="93"/>
      <c r="F840" s="93"/>
      <c r="G840" s="93"/>
      <c r="H840" s="93"/>
      <c r="I840" s="128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  <c r="AF840" s="93"/>
      <c r="AG840" s="93"/>
      <c r="AH840" s="93"/>
      <c r="AI840" s="93"/>
      <c r="AJ840" s="93"/>
      <c r="AK840" s="93"/>
      <c r="AL840" s="93"/>
      <c r="AM840" s="93"/>
      <c r="AN840" s="93"/>
      <c r="AO840" s="93"/>
      <c r="AP840" s="93"/>
      <c r="AQ840" s="93"/>
    </row>
    <row r="841" spans="1:43" ht="12.75" customHeight="1">
      <c r="A841" s="93"/>
      <c r="B841" s="93"/>
      <c r="C841" s="117"/>
      <c r="D841" s="93"/>
      <c r="E841" s="93"/>
      <c r="F841" s="93"/>
      <c r="G841" s="93"/>
      <c r="H841" s="93"/>
      <c r="I841" s="128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93"/>
      <c r="AF841" s="93"/>
      <c r="AG841" s="93"/>
      <c r="AH841" s="93"/>
      <c r="AI841" s="93"/>
      <c r="AJ841" s="93"/>
      <c r="AK841" s="93"/>
      <c r="AL841" s="93"/>
      <c r="AM841" s="93"/>
      <c r="AN841" s="93"/>
      <c r="AO841" s="93"/>
      <c r="AP841" s="93"/>
      <c r="AQ841" s="93"/>
    </row>
    <row r="842" spans="1:43" ht="12.75" customHeight="1">
      <c r="A842" s="93"/>
      <c r="B842" s="93"/>
      <c r="C842" s="117"/>
      <c r="D842" s="93"/>
      <c r="E842" s="93"/>
      <c r="F842" s="93"/>
      <c r="G842" s="93"/>
      <c r="H842" s="93"/>
      <c r="I842" s="128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93"/>
      <c r="AF842" s="93"/>
      <c r="AG842" s="93"/>
      <c r="AH842" s="93"/>
      <c r="AI842" s="93"/>
      <c r="AJ842" s="93"/>
      <c r="AK842" s="93"/>
      <c r="AL842" s="93"/>
      <c r="AM842" s="93"/>
      <c r="AN842" s="93"/>
      <c r="AO842" s="93"/>
      <c r="AP842" s="93"/>
      <c r="AQ842" s="93"/>
    </row>
    <row r="843" spans="1:43" ht="12.75" customHeight="1">
      <c r="A843" s="93"/>
      <c r="B843" s="93"/>
      <c r="C843" s="117"/>
      <c r="D843" s="93"/>
      <c r="E843" s="93"/>
      <c r="F843" s="93"/>
      <c r="G843" s="93"/>
      <c r="H843" s="93"/>
      <c r="I843" s="128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93"/>
      <c r="AF843" s="93"/>
      <c r="AG843" s="93"/>
      <c r="AH843" s="93"/>
      <c r="AI843" s="93"/>
      <c r="AJ843" s="93"/>
      <c r="AK843" s="93"/>
      <c r="AL843" s="93"/>
      <c r="AM843" s="93"/>
      <c r="AN843" s="93"/>
      <c r="AO843" s="93"/>
      <c r="AP843" s="93"/>
      <c r="AQ843" s="93"/>
    </row>
    <row r="844" spans="1:43" ht="12.75" customHeight="1">
      <c r="A844" s="93"/>
      <c r="B844" s="93"/>
      <c r="C844" s="117"/>
      <c r="D844" s="93"/>
      <c r="E844" s="93"/>
      <c r="F844" s="93"/>
      <c r="G844" s="93"/>
      <c r="H844" s="93"/>
      <c r="I844" s="128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93"/>
      <c r="AF844" s="93"/>
      <c r="AG844" s="93"/>
      <c r="AH844" s="93"/>
      <c r="AI844" s="93"/>
      <c r="AJ844" s="93"/>
      <c r="AK844" s="93"/>
      <c r="AL844" s="93"/>
      <c r="AM844" s="93"/>
      <c r="AN844" s="93"/>
      <c r="AO844" s="93"/>
      <c r="AP844" s="93"/>
      <c r="AQ844" s="93"/>
    </row>
    <row r="845" spans="1:43" ht="12.75" customHeight="1">
      <c r="A845" s="93"/>
      <c r="B845" s="93"/>
      <c r="C845" s="117"/>
      <c r="D845" s="93"/>
      <c r="E845" s="93"/>
      <c r="F845" s="93"/>
      <c r="G845" s="93"/>
      <c r="H845" s="93"/>
      <c r="I845" s="128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  <c r="AF845" s="93"/>
      <c r="AG845" s="93"/>
      <c r="AH845" s="93"/>
      <c r="AI845" s="93"/>
      <c r="AJ845" s="93"/>
      <c r="AK845" s="93"/>
      <c r="AL845" s="93"/>
      <c r="AM845" s="93"/>
      <c r="AN845" s="93"/>
      <c r="AO845" s="93"/>
      <c r="AP845" s="93"/>
      <c r="AQ845" s="93"/>
    </row>
    <row r="846" spans="1:43" ht="12.75" customHeight="1">
      <c r="A846" s="93"/>
      <c r="B846" s="93"/>
      <c r="C846" s="117"/>
      <c r="D846" s="93"/>
      <c r="E846" s="93"/>
      <c r="F846" s="93"/>
      <c r="G846" s="93"/>
      <c r="H846" s="93"/>
      <c r="I846" s="128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93"/>
      <c r="AF846" s="93"/>
      <c r="AG846" s="93"/>
      <c r="AH846" s="93"/>
      <c r="AI846" s="93"/>
      <c r="AJ846" s="93"/>
      <c r="AK846" s="93"/>
      <c r="AL846" s="93"/>
      <c r="AM846" s="93"/>
      <c r="AN846" s="93"/>
      <c r="AO846" s="93"/>
      <c r="AP846" s="93"/>
      <c r="AQ846" s="93"/>
    </row>
    <row r="847" spans="1:43" ht="12.75" customHeight="1">
      <c r="A847" s="93"/>
      <c r="B847" s="93"/>
      <c r="C847" s="117"/>
      <c r="D847" s="93"/>
      <c r="E847" s="93"/>
      <c r="F847" s="93"/>
      <c r="G847" s="93"/>
      <c r="H847" s="93"/>
      <c r="I847" s="128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  <c r="AF847" s="93"/>
      <c r="AG847" s="93"/>
      <c r="AH847" s="93"/>
      <c r="AI847" s="93"/>
      <c r="AJ847" s="93"/>
      <c r="AK847" s="93"/>
      <c r="AL847" s="93"/>
      <c r="AM847" s="93"/>
      <c r="AN847" s="93"/>
      <c r="AO847" s="93"/>
      <c r="AP847" s="93"/>
      <c r="AQ847" s="93"/>
    </row>
    <row r="848" spans="1:43" ht="12.75" customHeight="1">
      <c r="A848" s="93"/>
      <c r="B848" s="93"/>
      <c r="C848" s="117"/>
      <c r="D848" s="93"/>
      <c r="E848" s="93"/>
      <c r="F848" s="93"/>
      <c r="G848" s="93"/>
      <c r="H848" s="93"/>
      <c r="I848" s="128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93"/>
      <c r="AF848" s="93"/>
      <c r="AG848" s="93"/>
      <c r="AH848" s="93"/>
      <c r="AI848" s="93"/>
      <c r="AJ848" s="93"/>
      <c r="AK848" s="93"/>
      <c r="AL848" s="93"/>
      <c r="AM848" s="93"/>
      <c r="AN848" s="93"/>
      <c r="AO848" s="93"/>
      <c r="AP848" s="93"/>
      <c r="AQ848" s="93"/>
    </row>
    <row r="849" spans="1:43" ht="12.75" customHeight="1">
      <c r="A849" s="93"/>
      <c r="B849" s="93"/>
      <c r="C849" s="117"/>
      <c r="D849" s="93"/>
      <c r="E849" s="93"/>
      <c r="F849" s="93"/>
      <c r="G849" s="93"/>
      <c r="H849" s="93"/>
      <c r="I849" s="128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  <c r="AF849" s="93"/>
      <c r="AG849" s="93"/>
      <c r="AH849" s="93"/>
      <c r="AI849" s="93"/>
      <c r="AJ849" s="93"/>
      <c r="AK849" s="93"/>
      <c r="AL849" s="93"/>
      <c r="AM849" s="93"/>
      <c r="AN849" s="93"/>
      <c r="AO849" s="93"/>
      <c r="AP849" s="93"/>
      <c r="AQ849" s="93"/>
    </row>
    <row r="850" spans="1:43" ht="12.75" customHeight="1">
      <c r="A850" s="93"/>
      <c r="B850" s="93"/>
      <c r="C850" s="117"/>
      <c r="D850" s="93"/>
      <c r="E850" s="93"/>
      <c r="F850" s="93"/>
      <c r="G850" s="93"/>
      <c r="H850" s="93"/>
      <c r="I850" s="128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  <c r="AF850" s="93"/>
      <c r="AG850" s="93"/>
      <c r="AH850" s="93"/>
      <c r="AI850" s="93"/>
      <c r="AJ850" s="93"/>
      <c r="AK850" s="93"/>
      <c r="AL850" s="93"/>
      <c r="AM850" s="93"/>
      <c r="AN850" s="93"/>
      <c r="AO850" s="93"/>
      <c r="AP850" s="93"/>
      <c r="AQ850" s="93"/>
    </row>
    <row r="851" spans="1:43" ht="12.75" customHeight="1">
      <c r="A851" s="93"/>
      <c r="B851" s="93"/>
      <c r="C851" s="117"/>
      <c r="D851" s="93"/>
      <c r="E851" s="93"/>
      <c r="F851" s="93"/>
      <c r="G851" s="93"/>
      <c r="H851" s="93"/>
      <c r="I851" s="128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93"/>
      <c r="AF851" s="93"/>
      <c r="AG851" s="93"/>
      <c r="AH851" s="93"/>
      <c r="AI851" s="93"/>
      <c r="AJ851" s="93"/>
      <c r="AK851" s="93"/>
      <c r="AL851" s="93"/>
      <c r="AM851" s="93"/>
      <c r="AN851" s="93"/>
      <c r="AO851" s="93"/>
      <c r="AP851" s="93"/>
      <c r="AQ851" s="93"/>
    </row>
    <row r="852" spans="1:43" ht="12.75" customHeight="1">
      <c r="A852" s="93"/>
      <c r="B852" s="93"/>
      <c r="C852" s="117"/>
      <c r="D852" s="93"/>
      <c r="E852" s="93"/>
      <c r="F852" s="93"/>
      <c r="G852" s="93"/>
      <c r="H852" s="93"/>
      <c r="I852" s="128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93"/>
      <c r="AF852" s="93"/>
      <c r="AG852" s="93"/>
      <c r="AH852" s="93"/>
      <c r="AI852" s="93"/>
      <c r="AJ852" s="93"/>
      <c r="AK852" s="93"/>
      <c r="AL852" s="93"/>
      <c r="AM852" s="93"/>
      <c r="AN852" s="93"/>
      <c r="AO852" s="93"/>
      <c r="AP852" s="93"/>
      <c r="AQ852" s="93"/>
    </row>
    <row r="853" spans="1:43" ht="12.75" customHeight="1">
      <c r="A853" s="93"/>
      <c r="B853" s="93"/>
      <c r="C853" s="117"/>
      <c r="D853" s="93"/>
      <c r="E853" s="93"/>
      <c r="F853" s="93"/>
      <c r="G853" s="93"/>
      <c r="H853" s="93"/>
      <c r="I853" s="128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93"/>
      <c r="AF853" s="93"/>
      <c r="AG853" s="93"/>
      <c r="AH853" s="93"/>
      <c r="AI853" s="93"/>
      <c r="AJ853" s="93"/>
      <c r="AK853" s="93"/>
      <c r="AL853" s="93"/>
      <c r="AM853" s="93"/>
      <c r="AN853" s="93"/>
      <c r="AO853" s="93"/>
      <c r="AP853" s="93"/>
      <c r="AQ853" s="93"/>
    </row>
    <row r="854" spans="1:43" ht="12.75" customHeight="1">
      <c r="A854" s="93"/>
      <c r="B854" s="93"/>
      <c r="C854" s="117"/>
      <c r="D854" s="93"/>
      <c r="E854" s="93"/>
      <c r="F854" s="93"/>
      <c r="G854" s="93"/>
      <c r="H854" s="93"/>
      <c r="I854" s="128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93"/>
      <c r="AF854" s="93"/>
      <c r="AG854" s="93"/>
      <c r="AH854" s="93"/>
      <c r="AI854" s="93"/>
      <c r="AJ854" s="93"/>
      <c r="AK854" s="93"/>
      <c r="AL854" s="93"/>
      <c r="AM854" s="93"/>
      <c r="AN854" s="93"/>
      <c r="AO854" s="93"/>
      <c r="AP854" s="93"/>
      <c r="AQ854" s="93"/>
    </row>
    <row r="855" spans="1:43" ht="12.75" customHeight="1">
      <c r="A855" s="93"/>
      <c r="B855" s="93"/>
      <c r="C855" s="117"/>
      <c r="D855" s="93"/>
      <c r="E855" s="93"/>
      <c r="F855" s="93"/>
      <c r="G855" s="93"/>
      <c r="H855" s="93"/>
      <c r="I855" s="128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  <c r="AF855" s="93"/>
      <c r="AG855" s="93"/>
      <c r="AH855" s="93"/>
      <c r="AI855" s="93"/>
      <c r="AJ855" s="93"/>
      <c r="AK855" s="93"/>
      <c r="AL855" s="93"/>
      <c r="AM855" s="93"/>
      <c r="AN855" s="93"/>
      <c r="AO855" s="93"/>
      <c r="AP855" s="93"/>
      <c r="AQ855" s="93"/>
    </row>
    <row r="856" spans="1:43" ht="12.75" customHeight="1">
      <c r="A856" s="93"/>
      <c r="B856" s="93"/>
      <c r="C856" s="117"/>
      <c r="D856" s="93"/>
      <c r="E856" s="93"/>
      <c r="F856" s="93"/>
      <c r="G856" s="93"/>
      <c r="H856" s="93"/>
      <c r="I856" s="128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93"/>
      <c r="AF856" s="93"/>
      <c r="AG856" s="93"/>
      <c r="AH856" s="93"/>
      <c r="AI856" s="93"/>
      <c r="AJ856" s="93"/>
      <c r="AK856" s="93"/>
      <c r="AL856" s="93"/>
      <c r="AM856" s="93"/>
      <c r="AN856" s="93"/>
      <c r="AO856" s="93"/>
      <c r="AP856" s="93"/>
      <c r="AQ856" s="93"/>
    </row>
    <row r="857" spans="1:43" ht="12.75" customHeight="1">
      <c r="A857" s="93"/>
      <c r="B857" s="93"/>
      <c r="C857" s="117"/>
      <c r="D857" s="93"/>
      <c r="E857" s="93"/>
      <c r="F857" s="93"/>
      <c r="G857" s="93"/>
      <c r="H857" s="93"/>
      <c r="I857" s="128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93"/>
      <c r="AF857" s="93"/>
      <c r="AG857" s="93"/>
      <c r="AH857" s="93"/>
      <c r="AI857" s="93"/>
      <c r="AJ857" s="93"/>
      <c r="AK857" s="93"/>
      <c r="AL857" s="93"/>
      <c r="AM857" s="93"/>
      <c r="AN857" s="93"/>
      <c r="AO857" s="93"/>
      <c r="AP857" s="93"/>
      <c r="AQ857" s="93"/>
    </row>
    <row r="858" spans="1:43" ht="12.75" customHeight="1">
      <c r="A858" s="93"/>
      <c r="B858" s="93"/>
      <c r="C858" s="117"/>
      <c r="D858" s="93"/>
      <c r="E858" s="93"/>
      <c r="F858" s="93"/>
      <c r="G858" s="93"/>
      <c r="H858" s="93"/>
      <c r="I858" s="128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93"/>
      <c r="AF858" s="93"/>
      <c r="AG858" s="93"/>
      <c r="AH858" s="93"/>
      <c r="AI858" s="93"/>
      <c r="AJ858" s="93"/>
      <c r="AK858" s="93"/>
      <c r="AL858" s="93"/>
      <c r="AM858" s="93"/>
      <c r="AN858" s="93"/>
      <c r="AO858" s="93"/>
      <c r="AP858" s="93"/>
      <c r="AQ858" s="93"/>
    </row>
    <row r="859" spans="1:43" ht="12.75" customHeight="1">
      <c r="A859" s="93"/>
      <c r="B859" s="93"/>
      <c r="C859" s="117"/>
      <c r="D859" s="93"/>
      <c r="E859" s="93"/>
      <c r="F859" s="93"/>
      <c r="G859" s="93"/>
      <c r="H859" s="93"/>
      <c r="I859" s="128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93"/>
      <c r="AF859" s="93"/>
      <c r="AG859" s="93"/>
      <c r="AH859" s="93"/>
      <c r="AI859" s="93"/>
      <c r="AJ859" s="93"/>
      <c r="AK859" s="93"/>
      <c r="AL859" s="93"/>
      <c r="AM859" s="93"/>
      <c r="AN859" s="93"/>
      <c r="AO859" s="93"/>
      <c r="AP859" s="93"/>
      <c r="AQ859" s="93"/>
    </row>
    <row r="860" spans="1:43" ht="12.75" customHeight="1">
      <c r="A860" s="93"/>
      <c r="B860" s="93"/>
      <c r="C860" s="117"/>
      <c r="D860" s="93"/>
      <c r="E860" s="93"/>
      <c r="F860" s="93"/>
      <c r="G860" s="93"/>
      <c r="H860" s="93"/>
      <c r="I860" s="128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  <c r="AF860" s="93"/>
      <c r="AG860" s="93"/>
      <c r="AH860" s="93"/>
      <c r="AI860" s="93"/>
      <c r="AJ860" s="93"/>
      <c r="AK860" s="93"/>
      <c r="AL860" s="93"/>
      <c r="AM860" s="93"/>
      <c r="AN860" s="93"/>
      <c r="AO860" s="93"/>
      <c r="AP860" s="93"/>
      <c r="AQ860" s="93"/>
    </row>
    <row r="861" spans="1:43" ht="12.75" customHeight="1">
      <c r="A861" s="93"/>
      <c r="B861" s="93"/>
      <c r="C861" s="117"/>
      <c r="D861" s="93"/>
      <c r="E861" s="93"/>
      <c r="F861" s="93"/>
      <c r="G861" s="93"/>
      <c r="H861" s="93"/>
      <c r="I861" s="128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93"/>
      <c r="AF861" s="93"/>
      <c r="AG861" s="93"/>
      <c r="AH861" s="93"/>
      <c r="AI861" s="93"/>
      <c r="AJ861" s="93"/>
      <c r="AK861" s="93"/>
      <c r="AL861" s="93"/>
      <c r="AM861" s="93"/>
      <c r="AN861" s="93"/>
      <c r="AO861" s="93"/>
      <c r="AP861" s="93"/>
      <c r="AQ861" s="93"/>
    </row>
    <row r="862" spans="1:43" ht="12.75" customHeight="1">
      <c r="A862" s="93"/>
      <c r="B862" s="93"/>
      <c r="C862" s="117"/>
      <c r="D862" s="93"/>
      <c r="E862" s="93"/>
      <c r="F862" s="93"/>
      <c r="G862" s="93"/>
      <c r="H862" s="93"/>
      <c r="I862" s="128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93"/>
      <c r="AF862" s="93"/>
      <c r="AG862" s="93"/>
      <c r="AH862" s="93"/>
      <c r="AI862" s="93"/>
      <c r="AJ862" s="93"/>
      <c r="AK862" s="93"/>
      <c r="AL862" s="93"/>
      <c r="AM862" s="93"/>
      <c r="AN862" s="93"/>
      <c r="AO862" s="93"/>
      <c r="AP862" s="93"/>
      <c r="AQ862" s="93"/>
    </row>
    <row r="863" spans="1:43" ht="12.75" customHeight="1">
      <c r="A863" s="93"/>
      <c r="B863" s="93"/>
      <c r="C863" s="117"/>
      <c r="D863" s="93"/>
      <c r="E863" s="93"/>
      <c r="F863" s="93"/>
      <c r="G863" s="93"/>
      <c r="H863" s="93"/>
      <c r="I863" s="128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93"/>
      <c r="AF863" s="93"/>
      <c r="AG863" s="93"/>
      <c r="AH863" s="93"/>
      <c r="AI863" s="93"/>
      <c r="AJ863" s="93"/>
      <c r="AK863" s="93"/>
      <c r="AL863" s="93"/>
      <c r="AM863" s="93"/>
      <c r="AN863" s="93"/>
      <c r="AO863" s="93"/>
      <c r="AP863" s="93"/>
      <c r="AQ863" s="93"/>
    </row>
    <row r="864" spans="1:43" ht="12.75" customHeight="1">
      <c r="A864" s="93"/>
      <c r="B864" s="93"/>
      <c r="C864" s="117"/>
      <c r="D864" s="93"/>
      <c r="E864" s="93"/>
      <c r="F864" s="93"/>
      <c r="G864" s="93"/>
      <c r="H864" s="93"/>
      <c r="I864" s="128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93"/>
      <c r="AF864" s="93"/>
      <c r="AG864" s="93"/>
      <c r="AH864" s="93"/>
      <c r="AI864" s="93"/>
      <c r="AJ864" s="93"/>
      <c r="AK864" s="93"/>
      <c r="AL864" s="93"/>
      <c r="AM864" s="93"/>
      <c r="AN864" s="93"/>
      <c r="AO864" s="93"/>
      <c r="AP864" s="93"/>
      <c r="AQ864" s="93"/>
    </row>
    <row r="865" spans="1:43" ht="12.75" customHeight="1">
      <c r="A865" s="93"/>
      <c r="B865" s="93"/>
      <c r="C865" s="117"/>
      <c r="D865" s="93"/>
      <c r="E865" s="93"/>
      <c r="F865" s="93"/>
      <c r="G865" s="93"/>
      <c r="H865" s="93"/>
      <c r="I865" s="128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  <c r="AF865" s="93"/>
      <c r="AG865" s="93"/>
      <c r="AH865" s="93"/>
      <c r="AI865" s="93"/>
      <c r="AJ865" s="93"/>
      <c r="AK865" s="93"/>
      <c r="AL865" s="93"/>
      <c r="AM865" s="93"/>
      <c r="AN865" s="93"/>
      <c r="AO865" s="93"/>
      <c r="AP865" s="93"/>
      <c r="AQ865" s="93"/>
    </row>
    <row r="866" spans="1:43" ht="12.75" customHeight="1">
      <c r="A866" s="93"/>
      <c r="B866" s="93"/>
      <c r="C866" s="117"/>
      <c r="D866" s="93"/>
      <c r="E866" s="93"/>
      <c r="F866" s="93"/>
      <c r="G866" s="93"/>
      <c r="H866" s="93"/>
      <c r="I866" s="128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93"/>
      <c r="AF866" s="93"/>
      <c r="AG866" s="93"/>
      <c r="AH866" s="93"/>
      <c r="AI866" s="93"/>
      <c r="AJ866" s="93"/>
      <c r="AK866" s="93"/>
      <c r="AL866" s="93"/>
      <c r="AM866" s="93"/>
      <c r="AN866" s="93"/>
      <c r="AO866" s="93"/>
      <c r="AP866" s="93"/>
      <c r="AQ866" s="93"/>
    </row>
    <row r="867" spans="1:43" ht="12.75" customHeight="1">
      <c r="A867" s="93"/>
      <c r="B867" s="93"/>
      <c r="C867" s="117"/>
      <c r="D867" s="93"/>
      <c r="E867" s="93"/>
      <c r="F867" s="93"/>
      <c r="G867" s="93"/>
      <c r="H867" s="93"/>
      <c r="I867" s="128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93"/>
      <c r="AF867" s="93"/>
      <c r="AG867" s="93"/>
      <c r="AH867" s="93"/>
      <c r="AI867" s="93"/>
      <c r="AJ867" s="93"/>
      <c r="AK867" s="93"/>
      <c r="AL867" s="93"/>
      <c r="AM867" s="93"/>
      <c r="AN867" s="93"/>
      <c r="AO867" s="93"/>
      <c r="AP867" s="93"/>
      <c r="AQ867" s="93"/>
    </row>
    <row r="868" spans="1:43" ht="12.75" customHeight="1">
      <c r="A868" s="93"/>
      <c r="B868" s="93"/>
      <c r="C868" s="117"/>
      <c r="D868" s="93"/>
      <c r="E868" s="93"/>
      <c r="F868" s="93"/>
      <c r="G868" s="93"/>
      <c r="H868" s="93"/>
      <c r="I868" s="128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93"/>
      <c r="AF868" s="93"/>
      <c r="AG868" s="93"/>
      <c r="AH868" s="93"/>
      <c r="AI868" s="93"/>
      <c r="AJ868" s="93"/>
      <c r="AK868" s="93"/>
      <c r="AL868" s="93"/>
      <c r="AM868" s="93"/>
      <c r="AN868" s="93"/>
      <c r="AO868" s="93"/>
      <c r="AP868" s="93"/>
      <c r="AQ868" s="93"/>
    </row>
    <row r="869" spans="1:43" ht="12.75" customHeight="1">
      <c r="A869" s="93"/>
      <c r="B869" s="93"/>
      <c r="C869" s="117"/>
      <c r="D869" s="93"/>
      <c r="E869" s="93"/>
      <c r="F869" s="93"/>
      <c r="G869" s="93"/>
      <c r="H869" s="93"/>
      <c r="I869" s="128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  <c r="AF869" s="93"/>
      <c r="AG869" s="93"/>
      <c r="AH869" s="93"/>
      <c r="AI869" s="93"/>
      <c r="AJ869" s="93"/>
      <c r="AK869" s="93"/>
      <c r="AL869" s="93"/>
      <c r="AM869" s="93"/>
      <c r="AN869" s="93"/>
      <c r="AO869" s="93"/>
      <c r="AP869" s="93"/>
      <c r="AQ869" s="93"/>
    </row>
    <row r="870" spans="1:43" ht="12.75" customHeight="1">
      <c r="A870" s="93"/>
      <c r="B870" s="93"/>
      <c r="C870" s="117"/>
      <c r="D870" s="93"/>
      <c r="E870" s="93"/>
      <c r="F870" s="93"/>
      <c r="G870" s="93"/>
      <c r="H870" s="93"/>
      <c r="I870" s="128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  <c r="AF870" s="93"/>
      <c r="AG870" s="93"/>
      <c r="AH870" s="93"/>
      <c r="AI870" s="93"/>
      <c r="AJ870" s="93"/>
      <c r="AK870" s="93"/>
      <c r="AL870" s="93"/>
      <c r="AM870" s="93"/>
      <c r="AN870" s="93"/>
      <c r="AO870" s="93"/>
      <c r="AP870" s="93"/>
      <c r="AQ870" s="93"/>
    </row>
    <row r="871" spans="1:43" ht="12.75" customHeight="1">
      <c r="A871" s="93"/>
      <c r="B871" s="93"/>
      <c r="C871" s="117"/>
      <c r="D871" s="93"/>
      <c r="E871" s="93"/>
      <c r="F871" s="93"/>
      <c r="G871" s="93"/>
      <c r="H871" s="93"/>
      <c r="I871" s="128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93"/>
      <c r="AF871" s="93"/>
      <c r="AG871" s="93"/>
      <c r="AH871" s="93"/>
      <c r="AI871" s="93"/>
      <c r="AJ871" s="93"/>
      <c r="AK871" s="93"/>
      <c r="AL871" s="93"/>
      <c r="AM871" s="93"/>
      <c r="AN871" s="93"/>
      <c r="AO871" s="93"/>
      <c r="AP871" s="93"/>
      <c r="AQ871" s="93"/>
    </row>
    <row r="872" spans="1:43" ht="12.75" customHeight="1">
      <c r="A872" s="93"/>
      <c r="B872" s="93"/>
      <c r="C872" s="117"/>
      <c r="D872" s="93"/>
      <c r="E872" s="93"/>
      <c r="F872" s="93"/>
      <c r="G872" s="93"/>
      <c r="H872" s="93"/>
      <c r="I872" s="128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93"/>
      <c r="AF872" s="93"/>
      <c r="AG872" s="93"/>
      <c r="AH872" s="93"/>
      <c r="AI872" s="93"/>
      <c r="AJ872" s="93"/>
      <c r="AK872" s="93"/>
      <c r="AL872" s="93"/>
      <c r="AM872" s="93"/>
      <c r="AN872" s="93"/>
      <c r="AO872" s="93"/>
      <c r="AP872" s="93"/>
      <c r="AQ872" s="93"/>
    </row>
    <row r="873" spans="1:43" ht="12.75" customHeight="1">
      <c r="A873" s="93"/>
      <c r="B873" s="93"/>
      <c r="C873" s="117"/>
      <c r="D873" s="93"/>
      <c r="E873" s="93"/>
      <c r="F873" s="93"/>
      <c r="G873" s="93"/>
      <c r="H873" s="93"/>
      <c r="I873" s="128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93"/>
      <c r="AF873" s="93"/>
      <c r="AG873" s="93"/>
      <c r="AH873" s="93"/>
      <c r="AI873" s="93"/>
      <c r="AJ873" s="93"/>
      <c r="AK873" s="93"/>
      <c r="AL873" s="93"/>
      <c r="AM873" s="93"/>
      <c r="AN873" s="93"/>
      <c r="AO873" s="93"/>
      <c r="AP873" s="93"/>
      <c r="AQ873" s="93"/>
    </row>
    <row r="874" spans="1:43" ht="12.75" customHeight="1">
      <c r="A874" s="93"/>
      <c r="B874" s="93"/>
      <c r="C874" s="117"/>
      <c r="D874" s="93"/>
      <c r="E874" s="93"/>
      <c r="F874" s="93"/>
      <c r="G874" s="93"/>
      <c r="H874" s="93"/>
      <c r="I874" s="128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93"/>
      <c r="AF874" s="93"/>
      <c r="AG874" s="93"/>
      <c r="AH874" s="93"/>
      <c r="AI874" s="93"/>
      <c r="AJ874" s="93"/>
      <c r="AK874" s="93"/>
      <c r="AL874" s="93"/>
      <c r="AM874" s="93"/>
      <c r="AN874" s="93"/>
      <c r="AO874" s="93"/>
      <c r="AP874" s="93"/>
      <c r="AQ874" s="93"/>
    </row>
    <row r="875" spans="1:43" ht="12.75" customHeight="1">
      <c r="A875" s="93"/>
      <c r="B875" s="93"/>
      <c r="C875" s="117"/>
      <c r="D875" s="93"/>
      <c r="E875" s="93"/>
      <c r="F875" s="93"/>
      <c r="G875" s="93"/>
      <c r="H875" s="93"/>
      <c r="I875" s="128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  <c r="AF875" s="93"/>
      <c r="AG875" s="93"/>
      <c r="AH875" s="93"/>
      <c r="AI875" s="93"/>
      <c r="AJ875" s="93"/>
      <c r="AK875" s="93"/>
      <c r="AL875" s="93"/>
      <c r="AM875" s="93"/>
      <c r="AN875" s="93"/>
      <c r="AO875" s="93"/>
      <c r="AP875" s="93"/>
      <c r="AQ875" s="93"/>
    </row>
    <row r="876" spans="1:43" ht="12.75" customHeight="1">
      <c r="A876" s="93"/>
      <c r="B876" s="93"/>
      <c r="C876" s="117"/>
      <c r="D876" s="93"/>
      <c r="E876" s="93"/>
      <c r="F876" s="93"/>
      <c r="G876" s="93"/>
      <c r="H876" s="93"/>
      <c r="I876" s="128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93"/>
      <c r="AF876" s="93"/>
      <c r="AG876" s="93"/>
      <c r="AH876" s="93"/>
      <c r="AI876" s="93"/>
      <c r="AJ876" s="93"/>
      <c r="AK876" s="93"/>
      <c r="AL876" s="93"/>
      <c r="AM876" s="93"/>
      <c r="AN876" s="93"/>
      <c r="AO876" s="93"/>
      <c r="AP876" s="93"/>
      <c r="AQ876" s="93"/>
    </row>
    <row r="877" spans="1:43" ht="12.75" customHeight="1">
      <c r="A877" s="93"/>
      <c r="B877" s="93"/>
      <c r="C877" s="117"/>
      <c r="D877" s="93"/>
      <c r="E877" s="93"/>
      <c r="F877" s="93"/>
      <c r="G877" s="93"/>
      <c r="H877" s="93"/>
      <c r="I877" s="128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93"/>
      <c r="AF877" s="93"/>
      <c r="AG877" s="93"/>
      <c r="AH877" s="93"/>
      <c r="AI877" s="93"/>
      <c r="AJ877" s="93"/>
      <c r="AK877" s="93"/>
      <c r="AL877" s="93"/>
      <c r="AM877" s="93"/>
      <c r="AN877" s="93"/>
      <c r="AO877" s="93"/>
      <c r="AP877" s="93"/>
      <c r="AQ877" s="93"/>
    </row>
    <row r="878" spans="1:43" ht="12.75" customHeight="1">
      <c r="A878" s="93"/>
      <c r="B878" s="93"/>
      <c r="C878" s="117"/>
      <c r="D878" s="93"/>
      <c r="E878" s="93"/>
      <c r="F878" s="93"/>
      <c r="G878" s="93"/>
      <c r="H878" s="93"/>
      <c r="I878" s="128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93"/>
      <c r="AF878" s="93"/>
      <c r="AG878" s="93"/>
      <c r="AH878" s="93"/>
      <c r="AI878" s="93"/>
      <c r="AJ878" s="93"/>
      <c r="AK878" s="93"/>
      <c r="AL878" s="93"/>
      <c r="AM878" s="93"/>
      <c r="AN878" s="93"/>
      <c r="AO878" s="93"/>
      <c r="AP878" s="93"/>
      <c r="AQ878" s="93"/>
    </row>
    <row r="879" spans="1:43" ht="12.75" customHeight="1">
      <c r="A879" s="93"/>
      <c r="B879" s="93"/>
      <c r="C879" s="117"/>
      <c r="D879" s="93"/>
      <c r="E879" s="93"/>
      <c r="F879" s="93"/>
      <c r="G879" s="93"/>
      <c r="H879" s="93"/>
      <c r="I879" s="128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93"/>
      <c r="AF879" s="93"/>
      <c r="AG879" s="93"/>
      <c r="AH879" s="93"/>
      <c r="AI879" s="93"/>
      <c r="AJ879" s="93"/>
      <c r="AK879" s="93"/>
      <c r="AL879" s="93"/>
      <c r="AM879" s="93"/>
      <c r="AN879" s="93"/>
      <c r="AO879" s="93"/>
      <c r="AP879" s="93"/>
      <c r="AQ879" s="93"/>
    </row>
    <row r="880" spans="1:43" ht="12.75" customHeight="1">
      <c r="A880" s="93"/>
      <c r="B880" s="93"/>
      <c r="C880" s="117"/>
      <c r="D880" s="93"/>
      <c r="E880" s="93"/>
      <c r="F880" s="93"/>
      <c r="G880" s="93"/>
      <c r="H880" s="93"/>
      <c r="I880" s="128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  <c r="AF880" s="93"/>
      <c r="AG880" s="93"/>
      <c r="AH880" s="93"/>
      <c r="AI880" s="93"/>
      <c r="AJ880" s="93"/>
      <c r="AK880" s="93"/>
      <c r="AL880" s="93"/>
      <c r="AM880" s="93"/>
      <c r="AN880" s="93"/>
      <c r="AO880" s="93"/>
      <c r="AP880" s="93"/>
      <c r="AQ880" s="93"/>
    </row>
    <row r="881" spans="1:43" ht="12.75" customHeight="1">
      <c r="A881" s="93"/>
      <c r="B881" s="93"/>
      <c r="C881" s="117"/>
      <c r="D881" s="93"/>
      <c r="E881" s="93"/>
      <c r="F881" s="93"/>
      <c r="G881" s="93"/>
      <c r="H881" s="93"/>
      <c r="I881" s="128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93"/>
      <c r="AF881" s="93"/>
      <c r="AG881" s="93"/>
      <c r="AH881" s="93"/>
      <c r="AI881" s="93"/>
      <c r="AJ881" s="93"/>
      <c r="AK881" s="93"/>
      <c r="AL881" s="93"/>
      <c r="AM881" s="93"/>
      <c r="AN881" s="93"/>
      <c r="AO881" s="93"/>
      <c r="AP881" s="93"/>
      <c r="AQ881" s="93"/>
    </row>
    <row r="882" spans="1:43" ht="12.75" customHeight="1">
      <c r="A882" s="93"/>
      <c r="B882" s="93"/>
      <c r="C882" s="117"/>
      <c r="D882" s="93"/>
      <c r="E882" s="93"/>
      <c r="F882" s="93"/>
      <c r="G882" s="93"/>
      <c r="H882" s="93"/>
      <c r="I882" s="128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93"/>
      <c r="AF882" s="93"/>
      <c r="AG882" s="93"/>
      <c r="AH882" s="93"/>
      <c r="AI882" s="93"/>
      <c r="AJ882" s="93"/>
      <c r="AK882" s="93"/>
      <c r="AL882" s="93"/>
      <c r="AM882" s="93"/>
      <c r="AN882" s="93"/>
      <c r="AO882" s="93"/>
      <c r="AP882" s="93"/>
      <c r="AQ882" s="93"/>
    </row>
    <row r="883" spans="1:43" ht="12.75" customHeight="1">
      <c r="A883" s="93"/>
      <c r="B883" s="93"/>
      <c r="C883" s="117"/>
      <c r="D883" s="93"/>
      <c r="E883" s="93"/>
      <c r="F883" s="93"/>
      <c r="G883" s="93"/>
      <c r="H883" s="93"/>
      <c r="I883" s="128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93"/>
      <c r="AF883" s="93"/>
      <c r="AG883" s="93"/>
      <c r="AH883" s="93"/>
      <c r="AI883" s="93"/>
      <c r="AJ883" s="93"/>
      <c r="AK883" s="93"/>
      <c r="AL883" s="93"/>
      <c r="AM883" s="93"/>
      <c r="AN883" s="93"/>
      <c r="AO883" s="93"/>
      <c r="AP883" s="93"/>
      <c r="AQ883" s="93"/>
    </row>
    <row r="884" spans="1:43" ht="12.75" customHeight="1">
      <c r="A884" s="93"/>
      <c r="B884" s="93"/>
      <c r="C884" s="117"/>
      <c r="D884" s="93"/>
      <c r="E884" s="93"/>
      <c r="F884" s="93"/>
      <c r="G884" s="93"/>
      <c r="H884" s="93"/>
      <c r="I884" s="128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93"/>
      <c r="AF884" s="93"/>
      <c r="AG884" s="93"/>
      <c r="AH884" s="93"/>
      <c r="AI884" s="93"/>
      <c r="AJ884" s="93"/>
      <c r="AK884" s="93"/>
      <c r="AL884" s="93"/>
      <c r="AM884" s="93"/>
      <c r="AN884" s="93"/>
      <c r="AO884" s="93"/>
      <c r="AP884" s="93"/>
      <c r="AQ884" s="93"/>
    </row>
    <row r="885" spans="1:43" ht="12.75" customHeight="1">
      <c r="A885" s="93"/>
      <c r="B885" s="93"/>
      <c r="C885" s="117"/>
      <c r="D885" s="93"/>
      <c r="E885" s="93"/>
      <c r="F885" s="93"/>
      <c r="G885" s="93"/>
      <c r="H885" s="93"/>
      <c r="I885" s="128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  <c r="AF885" s="93"/>
      <c r="AG885" s="93"/>
      <c r="AH885" s="93"/>
      <c r="AI885" s="93"/>
      <c r="AJ885" s="93"/>
      <c r="AK885" s="93"/>
      <c r="AL885" s="93"/>
      <c r="AM885" s="93"/>
      <c r="AN885" s="93"/>
      <c r="AO885" s="93"/>
      <c r="AP885" s="93"/>
      <c r="AQ885" s="93"/>
    </row>
    <row r="886" spans="1:43" ht="12.75" customHeight="1">
      <c r="A886" s="93"/>
      <c r="B886" s="93"/>
      <c r="C886" s="117"/>
      <c r="D886" s="93"/>
      <c r="E886" s="93"/>
      <c r="F886" s="93"/>
      <c r="G886" s="93"/>
      <c r="H886" s="93"/>
      <c r="I886" s="128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93"/>
      <c r="AF886" s="93"/>
      <c r="AG886" s="93"/>
      <c r="AH886" s="93"/>
      <c r="AI886" s="93"/>
      <c r="AJ886" s="93"/>
      <c r="AK886" s="93"/>
      <c r="AL886" s="93"/>
      <c r="AM886" s="93"/>
      <c r="AN886" s="93"/>
      <c r="AO886" s="93"/>
      <c r="AP886" s="93"/>
      <c r="AQ886" s="93"/>
    </row>
    <row r="887" spans="1:43" ht="12.75" customHeight="1">
      <c r="A887" s="93"/>
      <c r="B887" s="93"/>
      <c r="C887" s="117"/>
      <c r="D887" s="93"/>
      <c r="E887" s="93"/>
      <c r="F887" s="93"/>
      <c r="G887" s="93"/>
      <c r="H887" s="93"/>
      <c r="I887" s="128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93"/>
      <c r="AF887" s="93"/>
      <c r="AG887" s="93"/>
      <c r="AH887" s="93"/>
      <c r="AI887" s="93"/>
      <c r="AJ887" s="93"/>
      <c r="AK887" s="93"/>
      <c r="AL887" s="93"/>
      <c r="AM887" s="93"/>
      <c r="AN887" s="93"/>
      <c r="AO887" s="93"/>
      <c r="AP887" s="93"/>
      <c r="AQ887" s="93"/>
    </row>
    <row r="888" spans="1:43" ht="12.75" customHeight="1">
      <c r="A888" s="93"/>
      <c r="B888" s="93"/>
      <c r="C888" s="117"/>
      <c r="D888" s="93"/>
      <c r="E888" s="93"/>
      <c r="F888" s="93"/>
      <c r="G888" s="93"/>
      <c r="H888" s="93"/>
      <c r="I888" s="128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93"/>
      <c r="AF888" s="93"/>
      <c r="AG888" s="93"/>
      <c r="AH888" s="93"/>
      <c r="AI888" s="93"/>
      <c r="AJ888" s="93"/>
      <c r="AK888" s="93"/>
      <c r="AL888" s="93"/>
      <c r="AM888" s="93"/>
      <c r="AN888" s="93"/>
      <c r="AO888" s="93"/>
      <c r="AP888" s="93"/>
      <c r="AQ888" s="93"/>
    </row>
    <row r="889" spans="1:43" ht="12.75" customHeight="1">
      <c r="A889" s="93"/>
      <c r="B889" s="93"/>
      <c r="C889" s="117"/>
      <c r="D889" s="93"/>
      <c r="E889" s="93"/>
      <c r="F889" s="93"/>
      <c r="G889" s="93"/>
      <c r="H889" s="93"/>
      <c r="I889" s="128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93"/>
      <c r="AF889" s="93"/>
      <c r="AG889" s="93"/>
      <c r="AH889" s="93"/>
      <c r="AI889" s="93"/>
      <c r="AJ889" s="93"/>
      <c r="AK889" s="93"/>
      <c r="AL889" s="93"/>
      <c r="AM889" s="93"/>
      <c r="AN889" s="93"/>
      <c r="AO889" s="93"/>
      <c r="AP889" s="93"/>
      <c r="AQ889" s="93"/>
    </row>
    <row r="890" spans="1:43" ht="12.75" customHeight="1">
      <c r="A890" s="93"/>
      <c r="B890" s="93"/>
      <c r="C890" s="117"/>
      <c r="D890" s="93"/>
      <c r="E890" s="93"/>
      <c r="F890" s="93"/>
      <c r="G890" s="93"/>
      <c r="H890" s="93"/>
      <c r="I890" s="128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  <c r="AF890" s="93"/>
      <c r="AG890" s="93"/>
      <c r="AH890" s="93"/>
      <c r="AI890" s="93"/>
      <c r="AJ890" s="93"/>
      <c r="AK890" s="93"/>
      <c r="AL890" s="93"/>
      <c r="AM890" s="93"/>
      <c r="AN890" s="93"/>
      <c r="AO890" s="93"/>
      <c r="AP890" s="93"/>
      <c r="AQ890" s="93"/>
    </row>
    <row r="891" spans="1:43" ht="12.75" customHeight="1">
      <c r="A891" s="93"/>
      <c r="B891" s="93"/>
      <c r="C891" s="117"/>
      <c r="D891" s="93"/>
      <c r="E891" s="93"/>
      <c r="F891" s="93"/>
      <c r="G891" s="93"/>
      <c r="H891" s="93"/>
      <c r="I891" s="128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93"/>
      <c r="AF891" s="93"/>
      <c r="AG891" s="93"/>
      <c r="AH891" s="93"/>
      <c r="AI891" s="93"/>
      <c r="AJ891" s="93"/>
      <c r="AK891" s="93"/>
      <c r="AL891" s="93"/>
      <c r="AM891" s="93"/>
      <c r="AN891" s="93"/>
      <c r="AO891" s="93"/>
      <c r="AP891" s="93"/>
      <c r="AQ891" s="93"/>
    </row>
    <row r="892" spans="1:43" ht="12.75" customHeight="1">
      <c r="A892" s="93"/>
      <c r="B892" s="93"/>
      <c r="C892" s="117"/>
      <c r="D892" s="93"/>
      <c r="E892" s="93"/>
      <c r="F892" s="93"/>
      <c r="G892" s="93"/>
      <c r="H892" s="93"/>
      <c r="I892" s="128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  <c r="AF892" s="93"/>
      <c r="AG892" s="93"/>
      <c r="AH892" s="93"/>
      <c r="AI892" s="93"/>
      <c r="AJ892" s="93"/>
      <c r="AK892" s="93"/>
      <c r="AL892" s="93"/>
      <c r="AM892" s="93"/>
      <c r="AN892" s="93"/>
      <c r="AO892" s="93"/>
      <c r="AP892" s="93"/>
      <c r="AQ892" s="93"/>
    </row>
    <row r="893" spans="1:43" ht="12.75" customHeight="1">
      <c r="A893" s="93"/>
      <c r="B893" s="93"/>
      <c r="C893" s="117"/>
      <c r="D893" s="93"/>
      <c r="E893" s="93"/>
      <c r="F893" s="93"/>
      <c r="G893" s="93"/>
      <c r="H893" s="93"/>
      <c r="I893" s="128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93"/>
      <c r="AF893" s="93"/>
      <c r="AG893" s="93"/>
      <c r="AH893" s="93"/>
      <c r="AI893" s="93"/>
      <c r="AJ893" s="93"/>
      <c r="AK893" s="93"/>
      <c r="AL893" s="93"/>
      <c r="AM893" s="93"/>
      <c r="AN893" s="93"/>
      <c r="AO893" s="93"/>
      <c r="AP893" s="93"/>
      <c r="AQ893" s="93"/>
    </row>
    <row r="894" spans="1:43" ht="12.75" customHeight="1">
      <c r="A894" s="93"/>
      <c r="B894" s="93"/>
      <c r="C894" s="117"/>
      <c r="D894" s="93"/>
      <c r="E894" s="93"/>
      <c r="F894" s="93"/>
      <c r="G894" s="93"/>
      <c r="H894" s="93"/>
      <c r="I894" s="128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93"/>
      <c r="AF894" s="93"/>
      <c r="AG894" s="93"/>
      <c r="AH894" s="93"/>
      <c r="AI894" s="93"/>
      <c r="AJ894" s="93"/>
      <c r="AK894" s="93"/>
      <c r="AL894" s="93"/>
      <c r="AM894" s="93"/>
      <c r="AN894" s="93"/>
      <c r="AO894" s="93"/>
      <c r="AP894" s="93"/>
      <c r="AQ894" s="93"/>
    </row>
    <row r="895" spans="1:43" ht="12.75" customHeight="1">
      <c r="A895" s="93"/>
      <c r="B895" s="93"/>
      <c r="C895" s="117"/>
      <c r="D895" s="93"/>
      <c r="E895" s="93"/>
      <c r="F895" s="93"/>
      <c r="G895" s="93"/>
      <c r="H895" s="93"/>
      <c r="I895" s="128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  <c r="AF895" s="93"/>
      <c r="AG895" s="93"/>
      <c r="AH895" s="93"/>
      <c r="AI895" s="93"/>
      <c r="AJ895" s="93"/>
      <c r="AK895" s="93"/>
      <c r="AL895" s="93"/>
      <c r="AM895" s="93"/>
      <c r="AN895" s="93"/>
      <c r="AO895" s="93"/>
      <c r="AP895" s="93"/>
      <c r="AQ895" s="93"/>
    </row>
    <row r="896" spans="1:43" ht="12.75" customHeight="1">
      <c r="A896" s="93"/>
      <c r="B896" s="93"/>
      <c r="C896" s="117"/>
      <c r="D896" s="93"/>
      <c r="E896" s="93"/>
      <c r="F896" s="93"/>
      <c r="G896" s="93"/>
      <c r="H896" s="93"/>
      <c r="I896" s="128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93"/>
      <c r="AF896" s="93"/>
      <c r="AG896" s="93"/>
      <c r="AH896" s="93"/>
      <c r="AI896" s="93"/>
      <c r="AJ896" s="93"/>
      <c r="AK896" s="93"/>
      <c r="AL896" s="93"/>
      <c r="AM896" s="93"/>
      <c r="AN896" s="93"/>
      <c r="AO896" s="93"/>
      <c r="AP896" s="93"/>
      <c r="AQ896" s="93"/>
    </row>
    <row r="897" spans="1:43" ht="12.75" customHeight="1">
      <c r="A897" s="93"/>
      <c r="B897" s="93"/>
      <c r="C897" s="117"/>
      <c r="D897" s="93"/>
      <c r="E897" s="93"/>
      <c r="F897" s="93"/>
      <c r="G897" s="93"/>
      <c r="H897" s="93"/>
      <c r="I897" s="128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93"/>
      <c r="AF897" s="93"/>
      <c r="AG897" s="93"/>
      <c r="AH897" s="93"/>
      <c r="AI897" s="93"/>
      <c r="AJ897" s="93"/>
      <c r="AK897" s="93"/>
      <c r="AL897" s="93"/>
      <c r="AM897" s="93"/>
      <c r="AN897" s="93"/>
      <c r="AO897" s="93"/>
      <c r="AP897" s="93"/>
      <c r="AQ897" s="93"/>
    </row>
    <row r="898" spans="1:43" ht="12.75" customHeight="1">
      <c r="A898" s="93"/>
      <c r="B898" s="93"/>
      <c r="C898" s="117"/>
      <c r="D898" s="93"/>
      <c r="E898" s="93"/>
      <c r="F898" s="93"/>
      <c r="G898" s="93"/>
      <c r="H898" s="93"/>
      <c r="I898" s="128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93"/>
      <c r="AF898" s="93"/>
      <c r="AG898" s="93"/>
      <c r="AH898" s="93"/>
      <c r="AI898" s="93"/>
      <c r="AJ898" s="93"/>
      <c r="AK898" s="93"/>
      <c r="AL898" s="93"/>
      <c r="AM898" s="93"/>
      <c r="AN898" s="93"/>
      <c r="AO898" s="93"/>
      <c r="AP898" s="93"/>
      <c r="AQ898" s="93"/>
    </row>
    <row r="899" spans="1:43" ht="12.75" customHeight="1">
      <c r="A899" s="93"/>
      <c r="B899" s="93"/>
      <c r="C899" s="117"/>
      <c r="D899" s="93"/>
      <c r="E899" s="93"/>
      <c r="F899" s="93"/>
      <c r="G899" s="93"/>
      <c r="H899" s="93"/>
      <c r="I899" s="128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93"/>
      <c r="AF899" s="93"/>
      <c r="AG899" s="93"/>
      <c r="AH899" s="93"/>
      <c r="AI899" s="93"/>
      <c r="AJ899" s="93"/>
      <c r="AK899" s="93"/>
      <c r="AL899" s="93"/>
      <c r="AM899" s="93"/>
      <c r="AN899" s="93"/>
      <c r="AO899" s="93"/>
      <c r="AP899" s="93"/>
      <c r="AQ899" s="93"/>
    </row>
    <row r="900" spans="1:43" ht="12.75" customHeight="1">
      <c r="A900" s="93"/>
      <c r="B900" s="93"/>
      <c r="C900" s="117"/>
      <c r="D900" s="93"/>
      <c r="E900" s="93"/>
      <c r="F900" s="93"/>
      <c r="G900" s="93"/>
      <c r="H900" s="93"/>
      <c r="I900" s="128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  <c r="AF900" s="93"/>
      <c r="AG900" s="93"/>
      <c r="AH900" s="93"/>
      <c r="AI900" s="93"/>
      <c r="AJ900" s="93"/>
      <c r="AK900" s="93"/>
      <c r="AL900" s="93"/>
      <c r="AM900" s="93"/>
      <c r="AN900" s="93"/>
      <c r="AO900" s="93"/>
      <c r="AP900" s="93"/>
      <c r="AQ900" s="93"/>
    </row>
    <row r="901" spans="1:43" ht="12.75" customHeight="1">
      <c r="A901" s="93"/>
      <c r="B901" s="93"/>
      <c r="C901" s="117"/>
      <c r="D901" s="93"/>
      <c r="E901" s="93"/>
      <c r="F901" s="93"/>
      <c r="G901" s="93"/>
      <c r="H901" s="93"/>
      <c r="I901" s="128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93"/>
      <c r="AF901" s="93"/>
      <c r="AG901" s="93"/>
      <c r="AH901" s="93"/>
      <c r="AI901" s="93"/>
      <c r="AJ901" s="93"/>
      <c r="AK901" s="93"/>
      <c r="AL901" s="93"/>
      <c r="AM901" s="93"/>
      <c r="AN901" s="93"/>
      <c r="AO901" s="93"/>
      <c r="AP901" s="93"/>
      <c r="AQ901" s="93"/>
    </row>
    <row r="902" spans="1:43" ht="12.75" customHeight="1">
      <c r="A902" s="93"/>
      <c r="B902" s="93"/>
      <c r="C902" s="117"/>
      <c r="D902" s="93"/>
      <c r="E902" s="93"/>
      <c r="F902" s="93"/>
      <c r="G902" s="93"/>
      <c r="H902" s="93"/>
      <c r="I902" s="128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93"/>
      <c r="AF902" s="93"/>
      <c r="AG902" s="93"/>
      <c r="AH902" s="93"/>
      <c r="AI902" s="93"/>
      <c r="AJ902" s="93"/>
      <c r="AK902" s="93"/>
      <c r="AL902" s="93"/>
      <c r="AM902" s="93"/>
      <c r="AN902" s="93"/>
      <c r="AO902" s="93"/>
      <c r="AP902" s="93"/>
      <c r="AQ902" s="93"/>
    </row>
    <row r="903" spans="1:43" ht="12.75" customHeight="1">
      <c r="A903" s="93"/>
      <c r="B903" s="93"/>
      <c r="C903" s="117"/>
      <c r="D903" s="93"/>
      <c r="E903" s="93"/>
      <c r="F903" s="93"/>
      <c r="G903" s="93"/>
      <c r="H903" s="93"/>
      <c r="I903" s="128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93"/>
      <c r="AF903" s="93"/>
      <c r="AG903" s="93"/>
      <c r="AH903" s="93"/>
      <c r="AI903" s="93"/>
      <c r="AJ903" s="93"/>
      <c r="AK903" s="93"/>
      <c r="AL903" s="93"/>
      <c r="AM903" s="93"/>
      <c r="AN903" s="93"/>
      <c r="AO903" s="93"/>
      <c r="AP903" s="93"/>
      <c r="AQ903" s="93"/>
    </row>
    <row r="904" spans="1:43" ht="12.75" customHeight="1">
      <c r="A904" s="93"/>
      <c r="B904" s="93"/>
      <c r="C904" s="117"/>
      <c r="D904" s="93"/>
      <c r="E904" s="93"/>
      <c r="F904" s="93"/>
      <c r="G904" s="93"/>
      <c r="H904" s="93"/>
      <c r="I904" s="128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93"/>
      <c r="AF904" s="93"/>
      <c r="AG904" s="93"/>
      <c r="AH904" s="93"/>
      <c r="AI904" s="93"/>
      <c r="AJ904" s="93"/>
      <c r="AK904" s="93"/>
      <c r="AL904" s="93"/>
      <c r="AM904" s="93"/>
      <c r="AN904" s="93"/>
      <c r="AO904" s="93"/>
      <c r="AP904" s="93"/>
      <c r="AQ904" s="93"/>
    </row>
    <row r="905" spans="1:43" ht="12.75" customHeight="1">
      <c r="A905" s="93"/>
      <c r="B905" s="93"/>
      <c r="C905" s="117"/>
      <c r="D905" s="93"/>
      <c r="E905" s="93"/>
      <c r="F905" s="93"/>
      <c r="G905" s="93"/>
      <c r="H905" s="93"/>
      <c r="I905" s="128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  <c r="AF905" s="93"/>
      <c r="AG905" s="93"/>
      <c r="AH905" s="93"/>
      <c r="AI905" s="93"/>
      <c r="AJ905" s="93"/>
      <c r="AK905" s="93"/>
      <c r="AL905" s="93"/>
      <c r="AM905" s="93"/>
      <c r="AN905" s="93"/>
      <c r="AO905" s="93"/>
      <c r="AP905" s="93"/>
      <c r="AQ905" s="93"/>
    </row>
    <row r="906" spans="1:43" ht="12.75" customHeight="1">
      <c r="A906" s="93"/>
      <c r="B906" s="93"/>
      <c r="C906" s="117"/>
      <c r="D906" s="93"/>
      <c r="E906" s="93"/>
      <c r="F906" s="93"/>
      <c r="G906" s="93"/>
      <c r="H906" s="93"/>
      <c r="I906" s="128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93"/>
      <c r="AF906" s="93"/>
      <c r="AG906" s="93"/>
      <c r="AH906" s="93"/>
      <c r="AI906" s="93"/>
      <c r="AJ906" s="93"/>
      <c r="AK906" s="93"/>
      <c r="AL906" s="93"/>
      <c r="AM906" s="93"/>
      <c r="AN906" s="93"/>
      <c r="AO906" s="93"/>
      <c r="AP906" s="93"/>
      <c r="AQ906" s="93"/>
    </row>
    <row r="907" spans="1:43" ht="12.75" customHeight="1">
      <c r="A907" s="93"/>
      <c r="B907" s="93"/>
      <c r="C907" s="117"/>
      <c r="D907" s="93"/>
      <c r="E907" s="93"/>
      <c r="F907" s="93"/>
      <c r="G907" s="93"/>
      <c r="H907" s="93"/>
      <c r="I907" s="128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93"/>
      <c r="AF907" s="93"/>
      <c r="AG907" s="93"/>
      <c r="AH907" s="93"/>
      <c r="AI907" s="93"/>
      <c r="AJ907" s="93"/>
      <c r="AK907" s="93"/>
      <c r="AL907" s="93"/>
      <c r="AM907" s="93"/>
      <c r="AN907" s="93"/>
      <c r="AO907" s="93"/>
      <c r="AP907" s="93"/>
      <c r="AQ907" s="93"/>
    </row>
    <row r="908" spans="1:43" ht="12.75" customHeight="1">
      <c r="A908" s="93"/>
      <c r="B908" s="93"/>
      <c r="C908" s="117"/>
      <c r="D908" s="93"/>
      <c r="E908" s="93"/>
      <c r="F908" s="93"/>
      <c r="G908" s="93"/>
      <c r="H908" s="93"/>
      <c r="I908" s="128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93"/>
      <c r="AF908" s="93"/>
      <c r="AG908" s="93"/>
      <c r="AH908" s="93"/>
      <c r="AI908" s="93"/>
      <c r="AJ908" s="93"/>
      <c r="AK908" s="93"/>
      <c r="AL908" s="93"/>
      <c r="AM908" s="93"/>
      <c r="AN908" s="93"/>
      <c r="AO908" s="93"/>
      <c r="AP908" s="93"/>
      <c r="AQ908" s="93"/>
    </row>
    <row r="909" spans="1:43" ht="12.75" customHeight="1">
      <c r="A909" s="93"/>
      <c r="B909" s="93"/>
      <c r="C909" s="117"/>
      <c r="D909" s="93"/>
      <c r="E909" s="93"/>
      <c r="F909" s="93"/>
      <c r="G909" s="93"/>
      <c r="H909" s="93"/>
      <c r="I909" s="128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93"/>
      <c r="AF909" s="93"/>
      <c r="AG909" s="93"/>
      <c r="AH909" s="93"/>
      <c r="AI909" s="93"/>
      <c r="AJ909" s="93"/>
      <c r="AK909" s="93"/>
      <c r="AL909" s="93"/>
      <c r="AM909" s="93"/>
      <c r="AN909" s="93"/>
      <c r="AO909" s="93"/>
      <c r="AP909" s="93"/>
      <c r="AQ909" s="93"/>
    </row>
    <row r="910" spans="1:43" ht="12.75" customHeight="1">
      <c r="A910" s="93"/>
      <c r="B910" s="93"/>
      <c r="C910" s="117"/>
      <c r="D910" s="93"/>
      <c r="E910" s="93"/>
      <c r="F910" s="93"/>
      <c r="G910" s="93"/>
      <c r="H910" s="93"/>
      <c r="I910" s="128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  <c r="AF910" s="93"/>
      <c r="AG910" s="93"/>
      <c r="AH910" s="93"/>
      <c r="AI910" s="93"/>
      <c r="AJ910" s="93"/>
      <c r="AK910" s="93"/>
      <c r="AL910" s="93"/>
      <c r="AM910" s="93"/>
      <c r="AN910" s="93"/>
      <c r="AO910" s="93"/>
      <c r="AP910" s="93"/>
      <c r="AQ910" s="93"/>
    </row>
    <row r="911" spans="1:43" ht="12.75" customHeight="1">
      <c r="A911" s="93"/>
      <c r="B911" s="93"/>
      <c r="C911" s="117"/>
      <c r="D911" s="93"/>
      <c r="E911" s="93"/>
      <c r="F911" s="93"/>
      <c r="G911" s="93"/>
      <c r="H911" s="93"/>
      <c r="I911" s="128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93"/>
      <c r="AF911" s="93"/>
      <c r="AG911" s="93"/>
      <c r="AH911" s="93"/>
      <c r="AI911" s="93"/>
      <c r="AJ911" s="93"/>
      <c r="AK911" s="93"/>
      <c r="AL911" s="93"/>
      <c r="AM911" s="93"/>
      <c r="AN911" s="93"/>
      <c r="AO911" s="93"/>
      <c r="AP911" s="93"/>
      <c r="AQ911" s="93"/>
    </row>
    <row r="912" spans="1:43" ht="12.75" customHeight="1">
      <c r="A912" s="93"/>
      <c r="B912" s="93"/>
      <c r="C912" s="117"/>
      <c r="D912" s="93"/>
      <c r="E912" s="93"/>
      <c r="F912" s="93"/>
      <c r="G912" s="93"/>
      <c r="H912" s="93"/>
      <c r="I912" s="128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93"/>
      <c r="AF912" s="93"/>
      <c r="AG912" s="93"/>
      <c r="AH912" s="93"/>
      <c r="AI912" s="93"/>
      <c r="AJ912" s="93"/>
      <c r="AK912" s="93"/>
      <c r="AL912" s="93"/>
      <c r="AM912" s="93"/>
      <c r="AN912" s="93"/>
      <c r="AO912" s="93"/>
      <c r="AP912" s="93"/>
      <c r="AQ912" s="93"/>
    </row>
    <row r="913" spans="1:43" ht="12.75" customHeight="1">
      <c r="A913" s="93"/>
      <c r="B913" s="93"/>
      <c r="C913" s="117"/>
      <c r="D913" s="93"/>
      <c r="E913" s="93"/>
      <c r="F913" s="93"/>
      <c r="G913" s="93"/>
      <c r="H913" s="93"/>
      <c r="I913" s="128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93"/>
      <c r="AF913" s="93"/>
      <c r="AG913" s="93"/>
      <c r="AH913" s="93"/>
      <c r="AI913" s="93"/>
      <c r="AJ913" s="93"/>
      <c r="AK913" s="93"/>
      <c r="AL913" s="93"/>
      <c r="AM913" s="93"/>
      <c r="AN913" s="93"/>
      <c r="AO913" s="93"/>
      <c r="AP913" s="93"/>
      <c r="AQ913" s="93"/>
    </row>
    <row r="914" spans="1:43" ht="12.75" customHeight="1">
      <c r="A914" s="93"/>
      <c r="B914" s="93"/>
      <c r="C914" s="117"/>
      <c r="D914" s="93"/>
      <c r="E914" s="93"/>
      <c r="F914" s="93"/>
      <c r="G914" s="93"/>
      <c r="H914" s="93"/>
      <c r="I914" s="128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  <c r="AF914" s="93"/>
      <c r="AG914" s="93"/>
      <c r="AH914" s="93"/>
      <c r="AI914" s="93"/>
      <c r="AJ914" s="93"/>
      <c r="AK914" s="93"/>
      <c r="AL914" s="93"/>
      <c r="AM914" s="93"/>
      <c r="AN914" s="93"/>
      <c r="AO914" s="93"/>
      <c r="AP914" s="93"/>
      <c r="AQ914" s="93"/>
    </row>
    <row r="915" spans="1:43" ht="12.75" customHeight="1">
      <c r="A915" s="93"/>
      <c r="B915" s="93"/>
      <c r="C915" s="117"/>
      <c r="D915" s="93"/>
      <c r="E915" s="93"/>
      <c r="F915" s="93"/>
      <c r="G915" s="93"/>
      <c r="H915" s="93"/>
      <c r="I915" s="128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  <c r="AF915" s="93"/>
      <c r="AG915" s="93"/>
      <c r="AH915" s="93"/>
      <c r="AI915" s="93"/>
      <c r="AJ915" s="93"/>
      <c r="AK915" s="93"/>
      <c r="AL915" s="93"/>
      <c r="AM915" s="93"/>
      <c r="AN915" s="93"/>
      <c r="AO915" s="93"/>
      <c r="AP915" s="93"/>
      <c r="AQ915" s="93"/>
    </row>
    <row r="916" spans="1:43" ht="12.75" customHeight="1">
      <c r="A916" s="93"/>
      <c r="B916" s="93"/>
      <c r="C916" s="117"/>
      <c r="D916" s="93"/>
      <c r="E916" s="93"/>
      <c r="F916" s="93"/>
      <c r="G916" s="93"/>
      <c r="H916" s="93"/>
      <c r="I916" s="128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93"/>
      <c r="AF916" s="93"/>
      <c r="AG916" s="93"/>
      <c r="AH916" s="93"/>
      <c r="AI916" s="93"/>
      <c r="AJ916" s="93"/>
      <c r="AK916" s="93"/>
      <c r="AL916" s="93"/>
      <c r="AM916" s="93"/>
      <c r="AN916" s="93"/>
      <c r="AO916" s="93"/>
      <c r="AP916" s="93"/>
      <c r="AQ916" s="93"/>
    </row>
    <row r="917" spans="1:43" ht="12.75" customHeight="1">
      <c r="A917" s="93"/>
      <c r="B917" s="93"/>
      <c r="C917" s="117"/>
      <c r="D917" s="93"/>
      <c r="E917" s="93"/>
      <c r="F917" s="93"/>
      <c r="G917" s="93"/>
      <c r="H917" s="93"/>
      <c r="I917" s="128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93"/>
      <c r="AF917" s="93"/>
      <c r="AG917" s="93"/>
      <c r="AH917" s="93"/>
      <c r="AI917" s="93"/>
      <c r="AJ917" s="93"/>
      <c r="AK917" s="93"/>
      <c r="AL917" s="93"/>
      <c r="AM917" s="93"/>
      <c r="AN917" s="93"/>
      <c r="AO917" s="93"/>
      <c r="AP917" s="93"/>
      <c r="AQ917" s="93"/>
    </row>
    <row r="918" spans="1:43" ht="12.75" customHeight="1">
      <c r="A918" s="93"/>
      <c r="B918" s="93"/>
      <c r="C918" s="117"/>
      <c r="D918" s="93"/>
      <c r="E918" s="93"/>
      <c r="F918" s="93"/>
      <c r="G918" s="93"/>
      <c r="H918" s="93"/>
      <c r="I918" s="128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93"/>
      <c r="AF918" s="93"/>
      <c r="AG918" s="93"/>
      <c r="AH918" s="93"/>
      <c r="AI918" s="93"/>
      <c r="AJ918" s="93"/>
      <c r="AK918" s="93"/>
      <c r="AL918" s="93"/>
      <c r="AM918" s="93"/>
      <c r="AN918" s="93"/>
      <c r="AO918" s="93"/>
      <c r="AP918" s="93"/>
      <c r="AQ918" s="93"/>
    </row>
    <row r="919" spans="1:43" ht="12.75" customHeight="1">
      <c r="A919" s="93"/>
      <c r="B919" s="93"/>
      <c r="C919" s="117"/>
      <c r="D919" s="93"/>
      <c r="E919" s="93"/>
      <c r="F919" s="93"/>
      <c r="G919" s="93"/>
      <c r="H919" s="93"/>
      <c r="I919" s="128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93"/>
      <c r="AF919" s="93"/>
      <c r="AG919" s="93"/>
      <c r="AH919" s="93"/>
      <c r="AI919" s="93"/>
      <c r="AJ919" s="93"/>
      <c r="AK919" s="93"/>
      <c r="AL919" s="93"/>
      <c r="AM919" s="93"/>
      <c r="AN919" s="93"/>
      <c r="AO919" s="93"/>
      <c r="AP919" s="93"/>
      <c r="AQ919" s="93"/>
    </row>
    <row r="920" spans="1:43" ht="12.75" customHeight="1">
      <c r="A920" s="93"/>
      <c r="B920" s="93"/>
      <c r="C920" s="117"/>
      <c r="D920" s="93"/>
      <c r="E920" s="93"/>
      <c r="F920" s="93"/>
      <c r="G920" s="93"/>
      <c r="H920" s="93"/>
      <c r="I920" s="128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  <c r="AF920" s="93"/>
      <c r="AG920" s="93"/>
      <c r="AH920" s="93"/>
      <c r="AI920" s="93"/>
      <c r="AJ920" s="93"/>
      <c r="AK920" s="93"/>
      <c r="AL920" s="93"/>
      <c r="AM920" s="93"/>
      <c r="AN920" s="93"/>
      <c r="AO920" s="93"/>
      <c r="AP920" s="93"/>
      <c r="AQ920" s="93"/>
    </row>
    <row r="921" spans="1:43" ht="12.75" customHeight="1">
      <c r="A921" s="93"/>
      <c r="B921" s="93"/>
      <c r="C921" s="117"/>
      <c r="D921" s="93"/>
      <c r="E921" s="93"/>
      <c r="F921" s="93"/>
      <c r="G921" s="93"/>
      <c r="H921" s="93"/>
      <c r="I921" s="128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93"/>
      <c r="AF921" s="93"/>
      <c r="AG921" s="93"/>
      <c r="AH921" s="93"/>
      <c r="AI921" s="93"/>
      <c r="AJ921" s="93"/>
      <c r="AK921" s="93"/>
      <c r="AL921" s="93"/>
      <c r="AM921" s="93"/>
      <c r="AN921" s="93"/>
      <c r="AO921" s="93"/>
      <c r="AP921" s="93"/>
      <c r="AQ921" s="93"/>
    </row>
    <row r="922" spans="1:43" ht="12.75" customHeight="1">
      <c r="A922" s="93"/>
      <c r="B922" s="93"/>
      <c r="C922" s="117"/>
      <c r="D922" s="93"/>
      <c r="E922" s="93"/>
      <c r="F922" s="93"/>
      <c r="G922" s="93"/>
      <c r="H922" s="93"/>
      <c r="I922" s="128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93"/>
      <c r="AF922" s="93"/>
      <c r="AG922" s="93"/>
      <c r="AH922" s="93"/>
      <c r="AI922" s="93"/>
      <c r="AJ922" s="93"/>
      <c r="AK922" s="93"/>
      <c r="AL922" s="93"/>
      <c r="AM922" s="93"/>
      <c r="AN922" s="93"/>
      <c r="AO922" s="93"/>
      <c r="AP922" s="93"/>
      <c r="AQ922" s="93"/>
    </row>
    <row r="923" spans="1:43" ht="12.75" customHeight="1">
      <c r="A923" s="93"/>
      <c r="B923" s="93"/>
      <c r="C923" s="117"/>
      <c r="D923" s="93"/>
      <c r="E923" s="93"/>
      <c r="F923" s="93"/>
      <c r="G923" s="93"/>
      <c r="H923" s="93"/>
      <c r="I923" s="128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93"/>
      <c r="AF923" s="93"/>
      <c r="AG923" s="93"/>
      <c r="AH923" s="93"/>
      <c r="AI923" s="93"/>
      <c r="AJ923" s="93"/>
      <c r="AK923" s="93"/>
      <c r="AL923" s="93"/>
      <c r="AM923" s="93"/>
      <c r="AN923" s="93"/>
      <c r="AO923" s="93"/>
      <c r="AP923" s="93"/>
      <c r="AQ923" s="93"/>
    </row>
    <row r="924" spans="1:43" ht="12.75" customHeight="1">
      <c r="A924" s="93"/>
      <c r="B924" s="93"/>
      <c r="C924" s="117"/>
      <c r="D924" s="93"/>
      <c r="E924" s="93"/>
      <c r="F924" s="93"/>
      <c r="G924" s="93"/>
      <c r="H924" s="93"/>
      <c r="I924" s="128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93"/>
      <c r="AF924" s="93"/>
      <c r="AG924" s="93"/>
      <c r="AH924" s="93"/>
      <c r="AI924" s="93"/>
      <c r="AJ924" s="93"/>
      <c r="AK924" s="93"/>
      <c r="AL924" s="93"/>
      <c r="AM924" s="93"/>
      <c r="AN924" s="93"/>
      <c r="AO924" s="93"/>
      <c r="AP924" s="93"/>
      <c r="AQ924" s="93"/>
    </row>
    <row r="925" spans="1:43" ht="12.75" customHeight="1">
      <c r="A925" s="93"/>
      <c r="B925" s="93"/>
      <c r="C925" s="117"/>
      <c r="D925" s="93"/>
      <c r="E925" s="93"/>
      <c r="F925" s="93"/>
      <c r="G925" s="93"/>
      <c r="H925" s="93"/>
      <c r="I925" s="128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  <c r="AF925" s="93"/>
      <c r="AG925" s="93"/>
      <c r="AH925" s="93"/>
      <c r="AI925" s="93"/>
      <c r="AJ925" s="93"/>
      <c r="AK925" s="93"/>
      <c r="AL925" s="93"/>
      <c r="AM925" s="93"/>
      <c r="AN925" s="93"/>
      <c r="AO925" s="93"/>
      <c r="AP925" s="93"/>
      <c r="AQ925" s="93"/>
    </row>
    <row r="926" spans="1:43" ht="12.75" customHeight="1">
      <c r="A926" s="93"/>
      <c r="B926" s="93"/>
      <c r="C926" s="117"/>
      <c r="D926" s="93"/>
      <c r="E926" s="93"/>
      <c r="F926" s="93"/>
      <c r="G926" s="93"/>
      <c r="H926" s="93"/>
      <c r="I926" s="128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93"/>
      <c r="AF926" s="93"/>
      <c r="AG926" s="93"/>
      <c r="AH926" s="93"/>
      <c r="AI926" s="93"/>
      <c r="AJ926" s="93"/>
      <c r="AK926" s="93"/>
      <c r="AL926" s="93"/>
      <c r="AM926" s="93"/>
      <c r="AN926" s="93"/>
      <c r="AO926" s="93"/>
      <c r="AP926" s="93"/>
      <c r="AQ926" s="93"/>
    </row>
    <row r="927" spans="1:43" ht="12.75" customHeight="1">
      <c r="A927" s="93"/>
      <c r="B927" s="93"/>
      <c r="C927" s="117"/>
      <c r="D927" s="93"/>
      <c r="E927" s="93"/>
      <c r="F927" s="93"/>
      <c r="G927" s="93"/>
      <c r="H927" s="93"/>
      <c r="I927" s="128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93"/>
      <c r="AF927" s="93"/>
      <c r="AG927" s="93"/>
      <c r="AH927" s="93"/>
      <c r="AI927" s="93"/>
      <c r="AJ927" s="93"/>
      <c r="AK927" s="93"/>
      <c r="AL927" s="93"/>
      <c r="AM927" s="93"/>
      <c r="AN927" s="93"/>
      <c r="AO927" s="93"/>
      <c r="AP927" s="93"/>
      <c r="AQ927" s="93"/>
    </row>
    <row r="928" spans="1:43" ht="12.75" customHeight="1">
      <c r="A928" s="93"/>
      <c r="B928" s="93"/>
      <c r="C928" s="117"/>
      <c r="D928" s="93"/>
      <c r="E928" s="93"/>
      <c r="F928" s="93"/>
      <c r="G928" s="93"/>
      <c r="H928" s="93"/>
      <c r="I928" s="128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93"/>
      <c r="AF928" s="93"/>
      <c r="AG928" s="93"/>
      <c r="AH928" s="93"/>
      <c r="AI928" s="93"/>
      <c r="AJ928" s="93"/>
      <c r="AK928" s="93"/>
      <c r="AL928" s="93"/>
      <c r="AM928" s="93"/>
      <c r="AN928" s="93"/>
      <c r="AO928" s="93"/>
      <c r="AP928" s="93"/>
      <c r="AQ928" s="93"/>
    </row>
    <row r="929" spans="1:43" ht="12.75" customHeight="1">
      <c r="A929" s="93"/>
      <c r="B929" s="93"/>
      <c r="C929" s="117"/>
      <c r="D929" s="93"/>
      <c r="E929" s="93"/>
      <c r="F929" s="93"/>
      <c r="G929" s="93"/>
      <c r="H929" s="93"/>
      <c r="I929" s="128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93"/>
      <c r="AF929" s="93"/>
      <c r="AG929" s="93"/>
      <c r="AH929" s="93"/>
      <c r="AI929" s="93"/>
      <c r="AJ929" s="93"/>
      <c r="AK929" s="93"/>
      <c r="AL929" s="93"/>
      <c r="AM929" s="93"/>
      <c r="AN929" s="93"/>
      <c r="AO929" s="93"/>
      <c r="AP929" s="93"/>
      <c r="AQ929" s="93"/>
    </row>
    <row r="930" spans="1:43" ht="12.75" customHeight="1">
      <c r="A930" s="93"/>
      <c r="B930" s="93"/>
      <c r="C930" s="117"/>
      <c r="D930" s="93"/>
      <c r="E930" s="93"/>
      <c r="F930" s="93"/>
      <c r="G930" s="93"/>
      <c r="H930" s="93"/>
      <c r="I930" s="128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  <c r="AF930" s="93"/>
      <c r="AG930" s="93"/>
      <c r="AH930" s="93"/>
      <c r="AI930" s="93"/>
      <c r="AJ930" s="93"/>
      <c r="AK930" s="93"/>
      <c r="AL930" s="93"/>
      <c r="AM930" s="93"/>
      <c r="AN930" s="93"/>
      <c r="AO930" s="93"/>
      <c r="AP930" s="93"/>
      <c r="AQ930" s="93"/>
    </row>
    <row r="931" spans="1:43" ht="12.75" customHeight="1">
      <c r="A931" s="93"/>
      <c r="B931" s="93"/>
      <c r="C931" s="117"/>
      <c r="D931" s="93"/>
      <c r="E931" s="93"/>
      <c r="F931" s="93"/>
      <c r="G931" s="93"/>
      <c r="H931" s="93"/>
      <c r="I931" s="128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93"/>
      <c r="AF931" s="93"/>
      <c r="AG931" s="93"/>
      <c r="AH931" s="93"/>
      <c r="AI931" s="93"/>
      <c r="AJ931" s="93"/>
      <c r="AK931" s="93"/>
      <c r="AL931" s="93"/>
      <c r="AM931" s="93"/>
      <c r="AN931" s="93"/>
      <c r="AO931" s="93"/>
      <c r="AP931" s="93"/>
      <c r="AQ931" s="93"/>
    </row>
    <row r="932" spans="1:43" ht="12.75" customHeight="1">
      <c r="A932" s="93"/>
      <c r="B932" s="93"/>
      <c r="C932" s="117"/>
      <c r="D932" s="93"/>
      <c r="E932" s="93"/>
      <c r="F932" s="93"/>
      <c r="G932" s="93"/>
      <c r="H932" s="93"/>
      <c r="I932" s="128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93"/>
      <c r="AF932" s="93"/>
      <c r="AG932" s="93"/>
      <c r="AH932" s="93"/>
      <c r="AI932" s="93"/>
      <c r="AJ932" s="93"/>
      <c r="AK932" s="93"/>
      <c r="AL932" s="93"/>
      <c r="AM932" s="93"/>
      <c r="AN932" s="93"/>
      <c r="AO932" s="93"/>
      <c r="AP932" s="93"/>
      <c r="AQ932" s="93"/>
    </row>
    <row r="933" spans="1:43" ht="12.75" customHeight="1">
      <c r="A933" s="93"/>
      <c r="B933" s="93"/>
      <c r="C933" s="117"/>
      <c r="D933" s="93"/>
      <c r="E933" s="93"/>
      <c r="F933" s="93"/>
      <c r="G933" s="93"/>
      <c r="H933" s="93"/>
      <c r="I933" s="128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93"/>
      <c r="AF933" s="93"/>
      <c r="AG933" s="93"/>
      <c r="AH933" s="93"/>
      <c r="AI933" s="93"/>
      <c r="AJ933" s="93"/>
      <c r="AK933" s="93"/>
      <c r="AL933" s="93"/>
      <c r="AM933" s="93"/>
      <c r="AN933" s="93"/>
      <c r="AO933" s="93"/>
      <c r="AP933" s="93"/>
      <c r="AQ933" s="93"/>
    </row>
    <row r="934" spans="1:43" ht="12.75" customHeight="1">
      <c r="A934" s="93"/>
      <c r="B934" s="93"/>
      <c r="C934" s="117"/>
      <c r="D934" s="93"/>
      <c r="E934" s="93"/>
      <c r="F934" s="93"/>
      <c r="G934" s="93"/>
      <c r="H934" s="93"/>
      <c r="I934" s="128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93"/>
      <c r="AF934" s="93"/>
      <c r="AG934" s="93"/>
      <c r="AH934" s="93"/>
      <c r="AI934" s="93"/>
      <c r="AJ934" s="93"/>
      <c r="AK934" s="93"/>
      <c r="AL934" s="93"/>
      <c r="AM934" s="93"/>
      <c r="AN934" s="93"/>
      <c r="AO934" s="93"/>
      <c r="AP934" s="93"/>
      <c r="AQ934" s="93"/>
    </row>
    <row r="935" spans="1:43" ht="12.75" customHeight="1">
      <c r="A935" s="93"/>
      <c r="B935" s="93"/>
      <c r="C935" s="117"/>
      <c r="D935" s="93"/>
      <c r="E935" s="93"/>
      <c r="F935" s="93"/>
      <c r="G935" s="93"/>
      <c r="H935" s="93"/>
      <c r="I935" s="128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  <c r="AF935" s="93"/>
      <c r="AG935" s="93"/>
      <c r="AH935" s="93"/>
      <c r="AI935" s="93"/>
      <c r="AJ935" s="93"/>
      <c r="AK935" s="93"/>
      <c r="AL935" s="93"/>
      <c r="AM935" s="93"/>
      <c r="AN935" s="93"/>
      <c r="AO935" s="93"/>
      <c r="AP935" s="93"/>
      <c r="AQ935" s="93"/>
    </row>
    <row r="936" spans="1:43" ht="12.75" customHeight="1">
      <c r="A936" s="93"/>
      <c r="B936" s="93"/>
      <c r="C936" s="117"/>
      <c r="D936" s="93"/>
      <c r="E936" s="93"/>
      <c r="F936" s="93"/>
      <c r="G936" s="93"/>
      <c r="H936" s="93"/>
      <c r="I936" s="128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93"/>
      <c r="AF936" s="93"/>
      <c r="AG936" s="93"/>
      <c r="AH936" s="93"/>
      <c r="AI936" s="93"/>
      <c r="AJ936" s="93"/>
      <c r="AK936" s="93"/>
      <c r="AL936" s="93"/>
      <c r="AM936" s="93"/>
      <c r="AN936" s="93"/>
      <c r="AO936" s="93"/>
      <c r="AP936" s="93"/>
      <c r="AQ936" s="93"/>
    </row>
    <row r="937" spans="1:43" ht="12.75" customHeight="1">
      <c r="A937" s="93"/>
      <c r="B937" s="93"/>
      <c r="C937" s="117"/>
      <c r="D937" s="93"/>
      <c r="E937" s="93"/>
      <c r="F937" s="93"/>
      <c r="G937" s="93"/>
      <c r="H937" s="93"/>
      <c r="I937" s="128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93"/>
      <c r="AF937" s="93"/>
      <c r="AG937" s="93"/>
      <c r="AH937" s="93"/>
      <c r="AI937" s="93"/>
      <c r="AJ937" s="93"/>
      <c r="AK937" s="93"/>
      <c r="AL937" s="93"/>
      <c r="AM937" s="93"/>
      <c r="AN937" s="93"/>
      <c r="AO937" s="93"/>
      <c r="AP937" s="93"/>
      <c r="AQ937" s="93"/>
    </row>
    <row r="938" spans="1:43" ht="12.75" customHeight="1">
      <c r="A938" s="93"/>
      <c r="B938" s="93"/>
      <c r="C938" s="117"/>
      <c r="D938" s="93"/>
      <c r="E938" s="93"/>
      <c r="F938" s="93"/>
      <c r="G938" s="93"/>
      <c r="H938" s="93"/>
      <c r="I938" s="128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93"/>
      <c r="AF938" s="93"/>
      <c r="AG938" s="93"/>
      <c r="AH938" s="93"/>
      <c r="AI938" s="93"/>
      <c r="AJ938" s="93"/>
      <c r="AK938" s="93"/>
      <c r="AL938" s="93"/>
      <c r="AM938" s="93"/>
      <c r="AN938" s="93"/>
      <c r="AO938" s="93"/>
      <c r="AP938" s="93"/>
      <c r="AQ938" s="93"/>
    </row>
    <row r="939" spans="1:43" ht="12.75" customHeight="1">
      <c r="A939" s="93"/>
      <c r="B939" s="93"/>
      <c r="C939" s="117"/>
      <c r="D939" s="93"/>
      <c r="E939" s="93"/>
      <c r="F939" s="93"/>
      <c r="G939" s="93"/>
      <c r="H939" s="93"/>
      <c r="I939" s="128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93"/>
      <c r="AF939" s="93"/>
      <c r="AG939" s="93"/>
      <c r="AH939" s="93"/>
      <c r="AI939" s="93"/>
      <c r="AJ939" s="93"/>
      <c r="AK939" s="93"/>
      <c r="AL939" s="93"/>
      <c r="AM939" s="93"/>
      <c r="AN939" s="93"/>
      <c r="AO939" s="93"/>
      <c r="AP939" s="93"/>
      <c r="AQ939" s="93"/>
    </row>
    <row r="940" spans="1:43" ht="12.75" customHeight="1">
      <c r="A940" s="93"/>
      <c r="B940" s="93"/>
      <c r="C940" s="117"/>
      <c r="D940" s="93"/>
      <c r="E940" s="93"/>
      <c r="F940" s="93"/>
      <c r="G940" s="93"/>
      <c r="H940" s="93"/>
      <c r="I940" s="128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  <c r="AF940" s="93"/>
      <c r="AG940" s="93"/>
      <c r="AH940" s="93"/>
      <c r="AI940" s="93"/>
      <c r="AJ940" s="93"/>
      <c r="AK940" s="93"/>
      <c r="AL940" s="93"/>
      <c r="AM940" s="93"/>
      <c r="AN940" s="93"/>
      <c r="AO940" s="93"/>
      <c r="AP940" s="93"/>
      <c r="AQ940" s="93"/>
    </row>
    <row r="941" spans="1:43" ht="12.75" customHeight="1">
      <c r="A941" s="93"/>
      <c r="B941" s="93"/>
      <c r="C941" s="117"/>
      <c r="D941" s="93"/>
      <c r="E941" s="93"/>
      <c r="F941" s="93"/>
      <c r="G941" s="93"/>
      <c r="H941" s="93"/>
      <c r="I941" s="128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93"/>
      <c r="AF941" s="93"/>
      <c r="AG941" s="93"/>
      <c r="AH941" s="93"/>
      <c r="AI941" s="93"/>
      <c r="AJ941" s="93"/>
      <c r="AK941" s="93"/>
      <c r="AL941" s="93"/>
      <c r="AM941" s="93"/>
      <c r="AN941" s="93"/>
      <c r="AO941" s="93"/>
      <c r="AP941" s="93"/>
      <c r="AQ941" s="93"/>
    </row>
    <row r="942" spans="1:43" ht="12.75" customHeight="1">
      <c r="A942" s="93"/>
      <c r="B942" s="93"/>
      <c r="C942" s="117"/>
      <c r="D942" s="93"/>
      <c r="E942" s="93"/>
      <c r="F942" s="93"/>
      <c r="G942" s="93"/>
      <c r="H942" s="93"/>
      <c r="I942" s="128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93"/>
      <c r="AF942" s="93"/>
      <c r="AG942" s="93"/>
      <c r="AH942" s="93"/>
      <c r="AI942" s="93"/>
      <c r="AJ942" s="93"/>
      <c r="AK942" s="93"/>
      <c r="AL942" s="93"/>
      <c r="AM942" s="93"/>
      <c r="AN942" s="93"/>
      <c r="AO942" s="93"/>
      <c r="AP942" s="93"/>
      <c r="AQ942" s="93"/>
    </row>
    <row r="943" spans="1:43" ht="12.75" customHeight="1">
      <c r="A943" s="93"/>
      <c r="B943" s="93"/>
      <c r="C943" s="117"/>
      <c r="D943" s="93"/>
      <c r="E943" s="93"/>
      <c r="F943" s="93"/>
      <c r="G943" s="93"/>
      <c r="H943" s="93"/>
      <c r="I943" s="128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93"/>
      <c r="AF943" s="93"/>
      <c r="AG943" s="93"/>
      <c r="AH943" s="93"/>
      <c r="AI943" s="93"/>
      <c r="AJ943" s="93"/>
      <c r="AK943" s="93"/>
      <c r="AL943" s="93"/>
      <c r="AM943" s="93"/>
      <c r="AN943" s="93"/>
      <c r="AO943" s="93"/>
      <c r="AP943" s="93"/>
      <c r="AQ943" s="93"/>
    </row>
    <row r="944" spans="1:43" ht="12.75" customHeight="1">
      <c r="A944" s="93"/>
      <c r="B944" s="93"/>
      <c r="C944" s="117"/>
      <c r="D944" s="93"/>
      <c r="E944" s="93"/>
      <c r="F944" s="93"/>
      <c r="G944" s="93"/>
      <c r="H944" s="93"/>
      <c r="I944" s="128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93"/>
      <c r="AF944" s="93"/>
      <c r="AG944" s="93"/>
      <c r="AH944" s="93"/>
      <c r="AI944" s="93"/>
      <c r="AJ944" s="93"/>
      <c r="AK944" s="93"/>
      <c r="AL944" s="93"/>
      <c r="AM944" s="93"/>
      <c r="AN944" s="93"/>
      <c r="AO944" s="93"/>
      <c r="AP944" s="93"/>
      <c r="AQ944" s="93"/>
    </row>
    <row r="945" spans="1:43" ht="12.75" customHeight="1">
      <c r="A945" s="93"/>
      <c r="B945" s="93"/>
      <c r="C945" s="117"/>
      <c r="D945" s="93"/>
      <c r="E945" s="93"/>
      <c r="F945" s="93"/>
      <c r="G945" s="93"/>
      <c r="H945" s="93"/>
      <c r="I945" s="128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  <c r="AF945" s="93"/>
      <c r="AG945" s="93"/>
      <c r="AH945" s="93"/>
      <c r="AI945" s="93"/>
      <c r="AJ945" s="93"/>
      <c r="AK945" s="93"/>
      <c r="AL945" s="93"/>
      <c r="AM945" s="93"/>
      <c r="AN945" s="93"/>
      <c r="AO945" s="93"/>
      <c r="AP945" s="93"/>
      <c r="AQ945" s="93"/>
    </row>
    <row r="946" spans="1:43" ht="12.75" customHeight="1">
      <c r="A946" s="93"/>
      <c r="B946" s="93"/>
      <c r="C946" s="117"/>
      <c r="D946" s="93"/>
      <c r="E946" s="93"/>
      <c r="F946" s="93"/>
      <c r="G946" s="93"/>
      <c r="H946" s="93"/>
      <c r="I946" s="128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93"/>
      <c r="AF946" s="93"/>
      <c r="AG946" s="93"/>
      <c r="AH946" s="93"/>
      <c r="AI946" s="93"/>
      <c r="AJ946" s="93"/>
      <c r="AK946" s="93"/>
      <c r="AL946" s="93"/>
      <c r="AM946" s="93"/>
      <c r="AN946" s="93"/>
      <c r="AO946" s="93"/>
      <c r="AP946" s="93"/>
      <c r="AQ946" s="93"/>
    </row>
    <row r="947" spans="1:43" ht="12.75" customHeight="1">
      <c r="A947" s="93"/>
      <c r="B947" s="93"/>
      <c r="C947" s="117"/>
      <c r="D947" s="93"/>
      <c r="E947" s="93"/>
      <c r="F947" s="93"/>
      <c r="G947" s="93"/>
      <c r="H947" s="93"/>
      <c r="I947" s="128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93"/>
      <c r="AF947" s="93"/>
      <c r="AG947" s="93"/>
      <c r="AH947" s="93"/>
      <c r="AI947" s="93"/>
      <c r="AJ947" s="93"/>
      <c r="AK947" s="93"/>
      <c r="AL947" s="93"/>
      <c r="AM947" s="93"/>
      <c r="AN947" s="93"/>
      <c r="AO947" s="93"/>
      <c r="AP947" s="93"/>
      <c r="AQ947" s="93"/>
    </row>
    <row r="948" spans="1:43" ht="12.75" customHeight="1">
      <c r="A948" s="93"/>
      <c r="B948" s="93"/>
      <c r="C948" s="117"/>
      <c r="D948" s="93"/>
      <c r="E948" s="93"/>
      <c r="F948" s="93"/>
      <c r="G948" s="93"/>
      <c r="H948" s="93"/>
      <c r="I948" s="128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93"/>
      <c r="AF948" s="93"/>
      <c r="AG948" s="93"/>
      <c r="AH948" s="93"/>
      <c r="AI948" s="93"/>
      <c r="AJ948" s="93"/>
      <c r="AK948" s="93"/>
      <c r="AL948" s="93"/>
      <c r="AM948" s="93"/>
      <c r="AN948" s="93"/>
      <c r="AO948" s="93"/>
      <c r="AP948" s="93"/>
      <c r="AQ948" s="93"/>
    </row>
    <row r="949" spans="1:43" ht="12.75" customHeight="1">
      <c r="A949" s="93"/>
      <c r="B949" s="93"/>
      <c r="C949" s="117"/>
      <c r="D949" s="93"/>
      <c r="E949" s="93"/>
      <c r="F949" s="93"/>
      <c r="G949" s="93"/>
      <c r="H949" s="93"/>
      <c r="I949" s="128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93"/>
      <c r="AF949" s="93"/>
      <c r="AG949" s="93"/>
      <c r="AH949" s="93"/>
      <c r="AI949" s="93"/>
      <c r="AJ949" s="93"/>
      <c r="AK949" s="93"/>
      <c r="AL949" s="93"/>
      <c r="AM949" s="93"/>
      <c r="AN949" s="93"/>
      <c r="AO949" s="93"/>
      <c r="AP949" s="93"/>
      <c r="AQ949" s="93"/>
    </row>
    <row r="950" spans="1:43" ht="12.75" customHeight="1">
      <c r="A950" s="93"/>
      <c r="B950" s="93"/>
      <c r="C950" s="117"/>
      <c r="D950" s="93"/>
      <c r="E950" s="93"/>
      <c r="F950" s="93"/>
      <c r="G950" s="93"/>
      <c r="H950" s="93"/>
      <c r="I950" s="128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  <c r="AF950" s="93"/>
      <c r="AG950" s="93"/>
      <c r="AH950" s="93"/>
      <c r="AI950" s="93"/>
      <c r="AJ950" s="93"/>
      <c r="AK950" s="93"/>
      <c r="AL950" s="93"/>
      <c r="AM950" s="93"/>
      <c r="AN950" s="93"/>
      <c r="AO950" s="93"/>
      <c r="AP950" s="93"/>
      <c r="AQ950" s="93"/>
    </row>
    <row r="951" spans="1:43" ht="12.75" customHeight="1">
      <c r="A951" s="93"/>
      <c r="B951" s="93"/>
      <c r="C951" s="117"/>
      <c r="D951" s="93"/>
      <c r="E951" s="93"/>
      <c r="F951" s="93"/>
      <c r="G951" s="93"/>
      <c r="H951" s="93"/>
      <c r="I951" s="128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93"/>
      <c r="AF951" s="93"/>
      <c r="AG951" s="93"/>
      <c r="AH951" s="93"/>
      <c r="AI951" s="93"/>
      <c r="AJ951" s="93"/>
      <c r="AK951" s="93"/>
      <c r="AL951" s="93"/>
      <c r="AM951" s="93"/>
      <c r="AN951" s="93"/>
      <c r="AO951" s="93"/>
      <c r="AP951" s="93"/>
      <c r="AQ951" s="93"/>
    </row>
    <row r="952" spans="1:43" ht="12.75" customHeight="1">
      <c r="A952" s="93"/>
      <c r="B952" s="93"/>
      <c r="C952" s="117"/>
      <c r="D952" s="93"/>
      <c r="E952" s="93"/>
      <c r="F952" s="93"/>
      <c r="G952" s="93"/>
      <c r="H952" s="93"/>
      <c r="I952" s="128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93"/>
      <c r="AF952" s="93"/>
      <c r="AG952" s="93"/>
      <c r="AH952" s="93"/>
      <c r="AI952" s="93"/>
      <c r="AJ952" s="93"/>
      <c r="AK952" s="93"/>
      <c r="AL952" s="93"/>
      <c r="AM952" s="93"/>
      <c r="AN952" s="93"/>
      <c r="AO952" s="93"/>
      <c r="AP952" s="93"/>
      <c r="AQ952" s="93"/>
    </row>
    <row r="953" spans="1:43" ht="12.75" customHeight="1">
      <c r="A953" s="93"/>
      <c r="B953" s="93"/>
      <c r="C953" s="117"/>
      <c r="D953" s="93"/>
      <c r="E953" s="93"/>
      <c r="F953" s="93"/>
      <c r="G953" s="93"/>
      <c r="H953" s="93"/>
      <c r="I953" s="128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93"/>
      <c r="AF953" s="93"/>
      <c r="AG953" s="93"/>
      <c r="AH953" s="93"/>
      <c r="AI953" s="93"/>
      <c r="AJ953" s="93"/>
      <c r="AK953" s="93"/>
      <c r="AL953" s="93"/>
      <c r="AM953" s="93"/>
      <c r="AN953" s="93"/>
      <c r="AO953" s="93"/>
      <c r="AP953" s="93"/>
      <c r="AQ953" s="93"/>
    </row>
    <row r="954" spans="1:43" ht="12.75" customHeight="1">
      <c r="A954" s="93"/>
      <c r="B954" s="93"/>
      <c r="C954" s="117"/>
      <c r="D954" s="93"/>
      <c r="E954" s="93"/>
      <c r="F954" s="93"/>
      <c r="G954" s="93"/>
      <c r="H954" s="93"/>
      <c r="I954" s="128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93"/>
      <c r="AF954" s="93"/>
      <c r="AG954" s="93"/>
      <c r="AH954" s="93"/>
      <c r="AI954" s="93"/>
      <c r="AJ954" s="93"/>
      <c r="AK954" s="93"/>
      <c r="AL954" s="93"/>
      <c r="AM954" s="93"/>
      <c r="AN954" s="93"/>
      <c r="AO954" s="93"/>
      <c r="AP954" s="93"/>
      <c r="AQ954" s="93"/>
    </row>
    <row r="955" spans="1:43" ht="12.75" customHeight="1">
      <c r="A955" s="93"/>
      <c r="B955" s="93"/>
      <c r="C955" s="117"/>
      <c r="D955" s="93"/>
      <c r="E955" s="93"/>
      <c r="F955" s="93"/>
      <c r="G955" s="93"/>
      <c r="H955" s="93"/>
      <c r="I955" s="128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  <c r="AF955" s="93"/>
      <c r="AG955" s="93"/>
      <c r="AH955" s="93"/>
      <c r="AI955" s="93"/>
      <c r="AJ955" s="93"/>
      <c r="AK955" s="93"/>
      <c r="AL955" s="93"/>
      <c r="AM955" s="93"/>
      <c r="AN955" s="93"/>
      <c r="AO955" s="93"/>
      <c r="AP955" s="93"/>
      <c r="AQ955" s="93"/>
    </row>
    <row r="956" spans="1:43" ht="12.75" customHeight="1">
      <c r="A956" s="93"/>
      <c r="B956" s="93"/>
      <c r="C956" s="117"/>
      <c r="D956" s="93"/>
      <c r="E956" s="93"/>
      <c r="F956" s="93"/>
      <c r="G956" s="93"/>
      <c r="H956" s="93"/>
      <c r="I956" s="128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93"/>
      <c r="AF956" s="93"/>
      <c r="AG956" s="93"/>
      <c r="AH956" s="93"/>
      <c r="AI956" s="93"/>
      <c r="AJ956" s="93"/>
      <c r="AK956" s="93"/>
      <c r="AL956" s="93"/>
      <c r="AM956" s="93"/>
      <c r="AN956" s="93"/>
      <c r="AO956" s="93"/>
      <c r="AP956" s="93"/>
      <c r="AQ956" s="93"/>
    </row>
    <row r="957" spans="1:43" ht="12.75" customHeight="1">
      <c r="A957" s="93"/>
      <c r="B957" s="93"/>
      <c r="C957" s="117"/>
      <c r="D957" s="93"/>
      <c r="E957" s="93"/>
      <c r="F957" s="93"/>
      <c r="G957" s="93"/>
      <c r="H957" s="93"/>
      <c r="I957" s="128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93"/>
      <c r="AF957" s="93"/>
      <c r="AG957" s="93"/>
      <c r="AH957" s="93"/>
      <c r="AI957" s="93"/>
      <c r="AJ957" s="93"/>
      <c r="AK957" s="93"/>
      <c r="AL957" s="93"/>
      <c r="AM957" s="93"/>
      <c r="AN957" s="93"/>
      <c r="AO957" s="93"/>
      <c r="AP957" s="93"/>
      <c r="AQ957" s="93"/>
    </row>
    <row r="958" spans="1:43" ht="12.75" customHeight="1">
      <c r="A958" s="93"/>
      <c r="B958" s="93"/>
      <c r="C958" s="117"/>
      <c r="D958" s="93"/>
      <c r="E958" s="93"/>
      <c r="F958" s="93"/>
      <c r="G958" s="93"/>
      <c r="H958" s="93"/>
      <c r="I958" s="128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93"/>
      <c r="AF958" s="93"/>
      <c r="AG958" s="93"/>
      <c r="AH958" s="93"/>
      <c r="AI958" s="93"/>
      <c r="AJ958" s="93"/>
      <c r="AK958" s="93"/>
      <c r="AL958" s="93"/>
      <c r="AM958" s="93"/>
      <c r="AN958" s="93"/>
      <c r="AO958" s="93"/>
      <c r="AP958" s="93"/>
      <c r="AQ958" s="93"/>
    </row>
    <row r="959" spans="1:43" ht="12.75" customHeight="1">
      <c r="A959" s="93"/>
      <c r="B959" s="93"/>
      <c r="C959" s="117"/>
      <c r="D959" s="93"/>
      <c r="E959" s="93"/>
      <c r="F959" s="93"/>
      <c r="G959" s="93"/>
      <c r="H959" s="93"/>
      <c r="I959" s="128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93"/>
      <c r="AF959" s="93"/>
      <c r="AG959" s="93"/>
      <c r="AH959" s="93"/>
      <c r="AI959" s="93"/>
      <c r="AJ959" s="93"/>
      <c r="AK959" s="93"/>
      <c r="AL959" s="93"/>
      <c r="AM959" s="93"/>
      <c r="AN959" s="93"/>
      <c r="AO959" s="93"/>
      <c r="AP959" s="93"/>
      <c r="AQ959" s="93"/>
    </row>
    <row r="960" spans="1:43" ht="12.75" customHeight="1">
      <c r="A960" s="93"/>
      <c r="B960" s="93"/>
      <c r="C960" s="117"/>
      <c r="D960" s="93"/>
      <c r="E960" s="93"/>
      <c r="F960" s="93"/>
      <c r="G960" s="93"/>
      <c r="H960" s="93"/>
      <c r="I960" s="128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  <c r="AF960" s="93"/>
      <c r="AG960" s="93"/>
      <c r="AH960" s="93"/>
      <c r="AI960" s="93"/>
      <c r="AJ960" s="93"/>
      <c r="AK960" s="93"/>
      <c r="AL960" s="93"/>
      <c r="AM960" s="93"/>
      <c r="AN960" s="93"/>
      <c r="AO960" s="93"/>
      <c r="AP960" s="93"/>
      <c r="AQ960" s="93"/>
    </row>
    <row r="961" spans="1:43" ht="12.75" customHeight="1">
      <c r="A961" s="93"/>
      <c r="B961" s="93"/>
      <c r="C961" s="117"/>
      <c r="D961" s="93"/>
      <c r="E961" s="93"/>
      <c r="F961" s="93"/>
      <c r="G961" s="93"/>
      <c r="H961" s="93"/>
      <c r="I961" s="128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93"/>
      <c r="AF961" s="93"/>
      <c r="AG961" s="93"/>
      <c r="AH961" s="93"/>
      <c r="AI961" s="93"/>
      <c r="AJ961" s="93"/>
      <c r="AK961" s="93"/>
      <c r="AL961" s="93"/>
      <c r="AM961" s="93"/>
      <c r="AN961" s="93"/>
      <c r="AO961" s="93"/>
      <c r="AP961" s="93"/>
      <c r="AQ961" s="93"/>
    </row>
    <row r="962" spans="1:43" ht="12.75" customHeight="1">
      <c r="A962" s="93"/>
      <c r="B962" s="93"/>
      <c r="C962" s="117"/>
      <c r="D962" s="93"/>
      <c r="E962" s="93"/>
      <c r="F962" s="93"/>
      <c r="G962" s="93"/>
      <c r="H962" s="93"/>
      <c r="I962" s="128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93"/>
      <c r="AF962" s="93"/>
      <c r="AG962" s="93"/>
      <c r="AH962" s="93"/>
      <c r="AI962" s="93"/>
      <c r="AJ962" s="93"/>
      <c r="AK962" s="93"/>
      <c r="AL962" s="93"/>
      <c r="AM962" s="93"/>
      <c r="AN962" s="93"/>
      <c r="AO962" s="93"/>
      <c r="AP962" s="93"/>
      <c r="AQ962" s="93"/>
    </row>
    <row r="963" spans="1:43" ht="12.75" customHeight="1">
      <c r="A963" s="93"/>
      <c r="B963" s="93"/>
      <c r="C963" s="117"/>
      <c r="D963" s="93"/>
      <c r="E963" s="93"/>
      <c r="F963" s="93"/>
      <c r="G963" s="93"/>
      <c r="H963" s="93"/>
      <c r="I963" s="128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93"/>
      <c r="AF963" s="93"/>
      <c r="AG963" s="93"/>
      <c r="AH963" s="93"/>
      <c r="AI963" s="93"/>
      <c r="AJ963" s="93"/>
      <c r="AK963" s="93"/>
      <c r="AL963" s="93"/>
      <c r="AM963" s="93"/>
      <c r="AN963" s="93"/>
      <c r="AO963" s="93"/>
      <c r="AP963" s="93"/>
      <c r="AQ963" s="93"/>
    </row>
    <row r="964" spans="1:43" ht="12.75" customHeight="1">
      <c r="A964" s="93"/>
      <c r="B964" s="93"/>
      <c r="C964" s="117"/>
      <c r="D964" s="93"/>
      <c r="E964" s="93"/>
      <c r="F964" s="93"/>
      <c r="G964" s="93"/>
      <c r="H964" s="93"/>
      <c r="I964" s="128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93"/>
      <c r="AF964" s="93"/>
      <c r="AG964" s="93"/>
      <c r="AH964" s="93"/>
      <c r="AI964" s="93"/>
      <c r="AJ964" s="93"/>
      <c r="AK964" s="93"/>
      <c r="AL964" s="93"/>
      <c r="AM964" s="93"/>
      <c r="AN964" s="93"/>
      <c r="AO964" s="93"/>
      <c r="AP964" s="93"/>
      <c r="AQ964" s="93"/>
    </row>
    <row r="965" spans="1:43" ht="12.75" customHeight="1">
      <c r="A965" s="93"/>
      <c r="B965" s="93"/>
      <c r="C965" s="117"/>
      <c r="D965" s="93"/>
      <c r="E965" s="93"/>
      <c r="F965" s="93"/>
      <c r="G965" s="93"/>
      <c r="H965" s="93"/>
      <c r="I965" s="128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  <c r="AF965" s="93"/>
      <c r="AG965" s="93"/>
      <c r="AH965" s="93"/>
      <c r="AI965" s="93"/>
      <c r="AJ965" s="93"/>
      <c r="AK965" s="93"/>
      <c r="AL965" s="93"/>
      <c r="AM965" s="93"/>
      <c r="AN965" s="93"/>
      <c r="AO965" s="93"/>
      <c r="AP965" s="93"/>
      <c r="AQ965" s="93"/>
    </row>
    <row r="966" spans="1:43" ht="12.75" customHeight="1">
      <c r="A966" s="93"/>
      <c r="B966" s="93"/>
      <c r="C966" s="117"/>
      <c r="D966" s="93"/>
      <c r="E966" s="93"/>
      <c r="F966" s="93"/>
      <c r="G966" s="93"/>
      <c r="H966" s="93"/>
      <c r="I966" s="128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93"/>
      <c r="AF966" s="93"/>
      <c r="AG966" s="93"/>
      <c r="AH966" s="93"/>
      <c r="AI966" s="93"/>
      <c r="AJ966" s="93"/>
      <c r="AK966" s="93"/>
      <c r="AL966" s="93"/>
      <c r="AM966" s="93"/>
      <c r="AN966" s="93"/>
      <c r="AO966" s="93"/>
      <c r="AP966" s="93"/>
      <c r="AQ966" s="93"/>
    </row>
    <row r="967" spans="1:43" ht="12.75" customHeight="1">
      <c r="A967" s="93"/>
      <c r="B967" s="93"/>
      <c r="C967" s="117"/>
      <c r="D967" s="93"/>
      <c r="E967" s="93"/>
      <c r="F967" s="93"/>
      <c r="G967" s="93"/>
      <c r="H967" s="93"/>
      <c r="I967" s="128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93"/>
      <c r="AF967" s="93"/>
      <c r="AG967" s="93"/>
      <c r="AH967" s="93"/>
      <c r="AI967" s="93"/>
      <c r="AJ967" s="93"/>
      <c r="AK967" s="93"/>
      <c r="AL967" s="93"/>
      <c r="AM967" s="93"/>
      <c r="AN967" s="93"/>
      <c r="AO967" s="93"/>
      <c r="AP967" s="93"/>
      <c r="AQ967" s="93"/>
    </row>
    <row r="968" spans="1:43" ht="12.75" customHeight="1">
      <c r="A968" s="93"/>
      <c r="B968" s="93"/>
      <c r="C968" s="117"/>
      <c r="D968" s="93"/>
      <c r="E968" s="93"/>
      <c r="F968" s="93"/>
      <c r="G968" s="93"/>
      <c r="H968" s="93"/>
      <c r="I968" s="128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93"/>
      <c r="AF968" s="93"/>
      <c r="AG968" s="93"/>
      <c r="AH968" s="93"/>
      <c r="AI968" s="93"/>
      <c r="AJ968" s="93"/>
      <c r="AK968" s="93"/>
      <c r="AL968" s="93"/>
      <c r="AM968" s="93"/>
      <c r="AN968" s="93"/>
      <c r="AO968" s="93"/>
      <c r="AP968" s="93"/>
      <c r="AQ968" s="93"/>
    </row>
    <row r="969" spans="1:43" ht="12.75" customHeight="1">
      <c r="A969" s="93"/>
      <c r="B969" s="93"/>
      <c r="C969" s="117"/>
      <c r="D969" s="93"/>
      <c r="E969" s="93"/>
      <c r="F969" s="93"/>
      <c r="G969" s="93"/>
      <c r="H969" s="93"/>
      <c r="I969" s="128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93"/>
      <c r="AF969" s="93"/>
      <c r="AG969" s="93"/>
      <c r="AH969" s="93"/>
      <c r="AI969" s="93"/>
      <c r="AJ969" s="93"/>
      <c r="AK969" s="93"/>
      <c r="AL969" s="93"/>
      <c r="AM969" s="93"/>
      <c r="AN969" s="93"/>
      <c r="AO969" s="93"/>
      <c r="AP969" s="93"/>
      <c r="AQ969" s="93"/>
    </row>
    <row r="970" spans="1:43" ht="12.75" customHeight="1">
      <c r="A970" s="93"/>
      <c r="B970" s="93"/>
      <c r="C970" s="117"/>
      <c r="D970" s="93"/>
      <c r="E970" s="93"/>
      <c r="F970" s="93"/>
      <c r="G970" s="93"/>
      <c r="H970" s="93"/>
      <c r="I970" s="128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  <c r="AF970" s="93"/>
      <c r="AG970" s="93"/>
      <c r="AH970" s="93"/>
      <c r="AI970" s="93"/>
      <c r="AJ970" s="93"/>
      <c r="AK970" s="93"/>
      <c r="AL970" s="93"/>
      <c r="AM970" s="93"/>
      <c r="AN970" s="93"/>
      <c r="AO970" s="93"/>
      <c r="AP970" s="93"/>
      <c r="AQ970" s="93"/>
    </row>
    <row r="971" spans="1:43" ht="12.75" customHeight="1">
      <c r="A971" s="93"/>
      <c r="B971" s="93"/>
      <c r="C971" s="117"/>
      <c r="D971" s="93"/>
      <c r="E971" s="93"/>
      <c r="F971" s="93"/>
      <c r="G971" s="93"/>
      <c r="H971" s="93"/>
      <c r="I971" s="128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  <c r="AF971" s="93"/>
      <c r="AG971" s="93"/>
      <c r="AH971" s="93"/>
      <c r="AI971" s="93"/>
      <c r="AJ971" s="93"/>
      <c r="AK971" s="93"/>
      <c r="AL971" s="93"/>
      <c r="AM971" s="93"/>
      <c r="AN971" s="93"/>
      <c r="AO971" s="93"/>
      <c r="AP971" s="93"/>
      <c r="AQ971" s="93"/>
    </row>
    <row r="972" spans="1:43" ht="12.75" customHeight="1">
      <c r="A972" s="93"/>
      <c r="B972" s="93"/>
      <c r="C972" s="117"/>
      <c r="D972" s="93"/>
      <c r="E972" s="93"/>
      <c r="F972" s="93"/>
      <c r="G972" s="93"/>
      <c r="H972" s="93"/>
      <c r="I972" s="128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93"/>
      <c r="AF972" s="93"/>
      <c r="AG972" s="93"/>
      <c r="AH972" s="93"/>
      <c r="AI972" s="93"/>
      <c r="AJ972" s="93"/>
      <c r="AK972" s="93"/>
      <c r="AL972" s="93"/>
      <c r="AM972" s="93"/>
      <c r="AN972" s="93"/>
      <c r="AO972" s="93"/>
      <c r="AP972" s="93"/>
      <c r="AQ972" s="93"/>
    </row>
    <row r="973" spans="1:43" ht="12.75" customHeight="1">
      <c r="A973" s="93"/>
      <c r="B973" s="93"/>
      <c r="C973" s="117"/>
      <c r="D973" s="93"/>
      <c r="E973" s="93"/>
      <c r="F973" s="93"/>
      <c r="G973" s="93"/>
      <c r="H973" s="93"/>
      <c r="I973" s="128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93"/>
      <c r="AF973" s="93"/>
      <c r="AG973" s="93"/>
      <c r="AH973" s="93"/>
      <c r="AI973" s="93"/>
      <c r="AJ973" s="93"/>
      <c r="AK973" s="93"/>
      <c r="AL973" s="93"/>
      <c r="AM973" s="93"/>
      <c r="AN973" s="93"/>
      <c r="AO973" s="93"/>
      <c r="AP973" s="93"/>
      <c r="AQ973" s="93"/>
    </row>
    <row r="974" spans="1:43" ht="12.75" customHeight="1">
      <c r="A974" s="93"/>
      <c r="B974" s="93"/>
      <c r="C974" s="117"/>
      <c r="D974" s="93"/>
      <c r="E974" s="93"/>
      <c r="F974" s="93"/>
      <c r="G974" s="93"/>
      <c r="H974" s="93"/>
      <c r="I974" s="128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93"/>
      <c r="AF974" s="93"/>
      <c r="AG974" s="93"/>
      <c r="AH974" s="93"/>
      <c r="AI974" s="93"/>
      <c r="AJ974" s="93"/>
      <c r="AK974" s="93"/>
      <c r="AL974" s="93"/>
      <c r="AM974" s="93"/>
      <c r="AN974" s="93"/>
      <c r="AO974" s="93"/>
      <c r="AP974" s="93"/>
      <c r="AQ974" s="93"/>
    </row>
    <row r="975" spans="1:43" ht="12.75" customHeight="1">
      <c r="A975" s="93"/>
      <c r="B975" s="93"/>
      <c r="C975" s="117"/>
      <c r="D975" s="93"/>
      <c r="E975" s="93"/>
      <c r="F975" s="93"/>
      <c r="G975" s="93"/>
      <c r="H975" s="93"/>
      <c r="I975" s="128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  <c r="AF975" s="93"/>
      <c r="AG975" s="93"/>
      <c r="AH975" s="93"/>
      <c r="AI975" s="93"/>
      <c r="AJ975" s="93"/>
      <c r="AK975" s="93"/>
      <c r="AL975" s="93"/>
      <c r="AM975" s="93"/>
      <c r="AN975" s="93"/>
      <c r="AO975" s="93"/>
      <c r="AP975" s="93"/>
      <c r="AQ975" s="93"/>
    </row>
    <row r="976" spans="1:43" ht="12.75" customHeight="1">
      <c r="A976" s="93"/>
      <c r="B976" s="93"/>
      <c r="C976" s="117"/>
      <c r="D976" s="93"/>
      <c r="E976" s="93"/>
      <c r="F976" s="93"/>
      <c r="G976" s="93"/>
      <c r="H976" s="93"/>
      <c r="I976" s="128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93"/>
      <c r="AF976" s="93"/>
      <c r="AG976" s="93"/>
      <c r="AH976" s="93"/>
      <c r="AI976" s="93"/>
      <c r="AJ976" s="93"/>
      <c r="AK976" s="93"/>
      <c r="AL976" s="93"/>
      <c r="AM976" s="93"/>
      <c r="AN976" s="93"/>
      <c r="AO976" s="93"/>
      <c r="AP976" s="93"/>
      <c r="AQ976" s="93"/>
    </row>
    <row r="977" spans="1:43" ht="12.75" customHeight="1">
      <c r="A977" s="93"/>
      <c r="B977" s="93"/>
      <c r="C977" s="117"/>
      <c r="D977" s="93"/>
      <c r="E977" s="93"/>
      <c r="F977" s="93"/>
      <c r="G977" s="93"/>
      <c r="H977" s="93"/>
      <c r="I977" s="128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  <c r="AB977" s="93"/>
      <c r="AC977" s="93"/>
      <c r="AD977" s="93"/>
      <c r="AE977" s="93"/>
      <c r="AF977" s="93"/>
      <c r="AG977" s="93"/>
      <c r="AH977" s="93"/>
      <c r="AI977" s="93"/>
      <c r="AJ977" s="93"/>
      <c r="AK977" s="93"/>
      <c r="AL977" s="93"/>
      <c r="AM977" s="93"/>
      <c r="AN977" s="93"/>
      <c r="AO977" s="93"/>
      <c r="AP977" s="93"/>
      <c r="AQ977" s="93"/>
    </row>
    <row r="978" spans="1:43" ht="12.75" customHeight="1">
      <c r="A978" s="93"/>
      <c r="B978" s="93"/>
      <c r="C978" s="117"/>
      <c r="D978" s="93"/>
      <c r="E978" s="93"/>
      <c r="F978" s="93"/>
      <c r="G978" s="93"/>
      <c r="H978" s="93"/>
      <c r="I978" s="128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  <c r="AB978" s="93"/>
      <c r="AC978" s="93"/>
      <c r="AD978" s="93"/>
      <c r="AE978" s="93"/>
      <c r="AF978" s="93"/>
      <c r="AG978" s="93"/>
      <c r="AH978" s="93"/>
      <c r="AI978" s="93"/>
      <c r="AJ978" s="93"/>
      <c r="AK978" s="93"/>
      <c r="AL978" s="93"/>
      <c r="AM978" s="93"/>
      <c r="AN978" s="93"/>
      <c r="AO978" s="93"/>
      <c r="AP978" s="93"/>
      <c r="AQ978" s="93"/>
    </row>
    <row r="979" spans="1:43" ht="12.75" customHeight="1">
      <c r="A979" s="93"/>
      <c r="B979" s="93"/>
      <c r="C979" s="117"/>
      <c r="D979" s="93"/>
      <c r="E979" s="93"/>
      <c r="F979" s="93"/>
      <c r="G979" s="93"/>
      <c r="H979" s="93"/>
      <c r="I979" s="128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  <c r="AB979" s="93"/>
      <c r="AC979" s="93"/>
      <c r="AD979" s="93"/>
      <c r="AE979" s="93"/>
      <c r="AF979" s="93"/>
      <c r="AG979" s="93"/>
      <c r="AH979" s="93"/>
      <c r="AI979" s="93"/>
      <c r="AJ979" s="93"/>
      <c r="AK979" s="93"/>
      <c r="AL979" s="93"/>
      <c r="AM979" s="93"/>
      <c r="AN979" s="93"/>
      <c r="AO979" s="93"/>
      <c r="AP979" s="93"/>
      <c r="AQ979" s="93"/>
    </row>
    <row r="980" spans="1:43" ht="12.75" customHeight="1">
      <c r="A980" s="93"/>
      <c r="B980" s="93"/>
      <c r="C980" s="117"/>
      <c r="D980" s="93"/>
      <c r="E980" s="93"/>
      <c r="F980" s="93"/>
      <c r="G980" s="93"/>
      <c r="H980" s="93"/>
      <c r="I980" s="128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  <c r="AD980" s="93"/>
      <c r="AE980" s="93"/>
      <c r="AF980" s="93"/>
      <c r="AG980" s="93"/>
      <c r="AH980" s="93"/>
      <c r="AI980" s="93"/>
      <c r="AJ980" s="93"/>
      <c r="AK980" s="93"/>
      <c r="AL980" s="93"/>
      <c r="AM980" s="93"/>
      <c r="AN980" s="93"/>
      <c r="AO980" s="93"/>
      <c r="AP980" s="93"/>
      <c r="AQ980" s="93"/>
    </row>
    <row r="981" spans="1:43" ht="12.75" customHeight="1">
      <c r="A981" s="93"/>
      <c r="B981" s="93"/>
      <c r="C981" s="117"/>
      <c r="D981" s="93"/>
      <c r="E981" s="93"/>
      <c r="F981" s="93"/>
      <c r="G981" s="93"/>
      <c r="H981" s="93"/>
      <c r="I981" s="128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  <c r="AB981" s="93"/>
      <c r="AC981" s="93"/>
      <c r="AD981" s="93"/>
      <c r="AE981" s="93"/>
      <c r="AF981" s="93"/>
      <c r="AG981" s="93"/>
      <c r="AH981" s="93"/>
      <c r="AI981" s="93"/>
      <c r="AJ981" s="93"/>
      <c r="AK981" s="93"/>
      <c r="AL981" s="93"/>
      <c r="AM981" s="93"/>
      <c r="AN981" s="93"/>
      <c r="AO981" s="93"/>
      <c r="AP981" s="93"/>
      <c r="AQ981" s="93"/>
    </row>
    <row r="982" spans="1:43" ht="12.75" customHeight="1">
      <c r="A982" s="93"/>
      <c r="B982" s="93"/>
      <c r="C982" s="117"/>
      <c r="D982" s="93"/>
      <c r="E982" s="93"/>
      <c r="F982" s="93"/>
      <c r="G982" s="93"/>
      <c r="H982" s="93"/>
      <c r="I982" s="128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  <c r="AB982" s="93"/>
      <c r="AC982" s="93"/>
      <c r="AD982" s="93"/>
      <c r="AE982" s="93"/>
      <c r="AF982" s="93"/>
      <c r="AG982" s="93"/>
      <c r="AH982" s="93"/>
      <c r="AI982" s="93"/>
      <c r="AJ982" s="93"/>
      <c r="AK982" s="93"/>
      <c r="AL982" s="93"/>
      <c r="AM982" s="93"/>
      <c r="AN982" s="93"/>
      <c r="AO982" s="93"/>
      <c r="AP982" s="93"/>
      <c r="AQ982" s="93"/>
    </row>
    <row r="983" spans="1:43" ht="12.75" customHeight="1">
      <c r="A983" s="93"/>
      <c r="B983" s="93"/>
      <c r="C983" s="117"/>
      <c r="D983" s="93"/>
      <c r="E983" s="93"/>
      <c r="F983" s="93"/>
      <c r="G983" s="93"/>
      <c r="H983" s="93"/>
      <c r="I983" s="128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  <c r="AB983" s="93"/>
      <c r="AC983" s="93"/>
      <c r="AD983" s="93"/>
      <c r="AE983" s="93"/>
      <c r="AF983" s="93"/>
      <c r="AG983" s="93"/>
      <c r="AH983" s="93"/>
      <c r="AI983" s="93"/>
      <c r="AJ983" s="93"/>
      <c r="AK983" s="93"/>
      <c r="AL983" s="93"/>
      <c r="AM983" s="93"/>
      <c r="AN983" s="93"/>
      <c r="AO983" s="93"/>
      <c r="AP983" s="93"/>
      <c r="AQ983" s="93"/>
    </row>
    <row r="984" spans="1:43" ht="12.75" customHeight="1">
      <c r="A984" s="93"/>
      <c r="B984" s="93"/>
      <c r="C984" s="117"/>
      <c r="D984" s="93"/>
      <c r="E984" s="93"/>
      <c r="F984" s="93"/>
      <c r="G984" s="93"/>
      <c r="H984" s="93"/>
      <c r="I984" s="128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  <c r="AB984" s="93"/>
      <c r="AC984" s="93"/>
      <c r="AD984" s="93"/>
      <c r="AE984" s="93"/>
      <c r="AF984" s="93"/>
      <c r="AG984" s="93"/>
      <c r="AH984" s="93"/>
      <c r="AI984" s="93"/>
      <c r="AJ984" s="93"/>
      <c r="AK984" s="93"/>
      <c r="AL984" s="93"/>
      <c r="AM984" s="93"/>
      <c r="AN984" s="93"/>
      <c r="AO984" s="93"/>
      <c r="AP984" s="93"/>
      <c r="AQ984" s="93"/>
    </row>
    <row r="985" spans="1:43" ht="12.75" customHeight="1">
      <c r="A985" s="93"/>
      <c r="B985" s="93"/>
      <c r="C985" s="117"/>
      <c r="D985" s="93"/>
      <c r="E985" s="93"/>
      <c r="F985" s="93"/>
      <c r="G985" s="93"/>
      <c r="H985" s="93"/>
      <c r="I985" s="128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  <c r="AB985" s="93"/>
      <c r="AC985" s="93"/>
      <c r="AD985" s="93"/>
      <c r="AE985" s="93"/>
      <c r="AF985" s="93"/>
      <c r="AG985" s="93"/>
      <c r="AH985" s="93"/>
      <c r="AI985" s="93"/>
      <c r="AJ985" s="93"/>
      <c r="AK985" s="93"/>
      <c r="AL985" s="93"/>
      <c r="AM985" s="93"/>
      <c r="AN985" s="93"/>
      <c r="AO985" s="93"/>
      <c r="AP985" s="93"/>
      <c r="AQ985" s="93"/>
    </row>
    <row r="986" spans="1:43" ht="12.75" customHeight="1">
      <c r="A986" s="93"/>
      <c r="B986" s="93"/>
      <c r="C986" s="117"/>
      <c r="D986" s="93"/>
      <c r="E986" s="93"/>
      <c r="F986" s="93"/>
      <c r="G986" s="93"/>
      <c r="H986" s="93"/>
      <c r="I986" s="128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  <c r="AB986" s="93"/>
      <c r="AC986" s="93"/>
      <c r="AD986" s="93"/>
      <c r="AE986" s="93"/>
      <c r="AF986" s="93"/>
      <c r="AG986" s="93"/>
      <c r="AH986" s="93"/>
      <c r="AI986" s="93"/>
      <c r="AJ986" s="93"/>
      <c r="AK986" s="93"/>
      <c r="AL986" s="93"/>
      <c r="AM986" s="93"/>
      <c r="AN986" s="93"/>
      <c r="AO986" s="93"/>
      <c r="AP986" s="93"/>
      <c r="AQ986" s="93"/>
    </row>
    <row r="987" spans="1:43" ht="12.75" customHeight="1">
      <c r="A987" s="93"/>
      <c r="B987" s="93"/>
      <c r="C987" s="117"/>
      <c r="D987" s="93"/>
      <c r="E987" s="93"/>
      <c r="F987" s="93"/>
      <c r="G987" s="93"/>
      <c r="H987" s="93"/>
      <c r="I987" s="128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  <c r="AB987" s="93"/>
      <c r="AC987" s="93"/>
      <c r="AD987" s="93"/>
      <c r="AE987" s="93"/>
      <c r="AF987" s="93"/>
      <c r="AG987" s="93"/>
      <c r="AH987" s="93"/>
      <c r="AI987" s="93"/>
      <c r="AJ987" s="93"/>
      <c r="AK987" s="93"/>
      <c r="AL987" s="93"/>
      <c r="AM987" s="93"/>
      <c r="AN987" s="93"/>
      <c r="AO987" s="93"/>
      <c r="AP987" s="93"/>
      <c r="AQ987" s="93"/>
    </row>
    <row r="988" spans="1:43" ht="12.75" customHeight="1">
      <c r="A988" s="93"/>
      <c r="B988" s="93"/>
      <c r="C988" s="117"/>
      <c r="D988" s="93"/>
      <c r="E988" s="93"/>
      <c r="F988" s="93"/>
      <c r="G988" s="93"/>
      <c r="H988" s="93"/>
      <c r="I988" s="128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  <c r="AB988" s="93"/>
      <c r="AC988" s="93"/>
      <c r="AD988" s="93"/>
      <c r="AE988" s="93"/>
      <c r="AF988" s="93"/>
      <c r="AG988" s="93"/>
      <c r="AH988" s="93"/>
      <c r="AI988" s="93"/>
      <c r="AJ988" s="93"/>
      <c r="AK988" s="93"/>
      <c r="AL988" s="93"/>
      <c r="AM988" s="93"/>
      <c r="AN988" s="93"/>
      <c r="AO988" s="93"/>
      <c r="AP988" s="93"/>
      <c r="AQ988" s="93"/>
    </row>
    <row r="989" spans="1:43" ht="12.75" customHeight="1">
      <c r="A989" s="93"/>
      <c r="B989" s="93"/>
      <c r="C989" s="117"/>
      <c r="D989" s="93"/>
      <c r="E989" s="93"/>
      <c r="F989" s="93"/>
      <c r="G989" s="93"/>
      <c r="H989" s="93"/>
      <c r="I989" s="128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  <c r="AB989" s="93"/>
      <c r="AC989" s="93"/>
      <c r="AD989" s="93"/>
      <c r="AE989" s="93"/>
      <c r="AF989" s="93"/>
      <c r="AG989" s="93"/>
      <c r="AH989" s="93"/>
      <c r="AI989" s="93"/>
      <c r="AJ989" s="93"/>
      <c r="AK989" s="93"/>
      <c r="AL989" s="93"/>
      <c r="AM989" s="93"/>
      <c r="AN989" s="93"/>
      <c r="AO989" s="93"/>
      <c r="AP989" s="93"/>
      <c r="AQ989" s="93"/>
    </row>
    <row r="990" spans="1:43" ht="12.75" customHeight="1">
      <c r="A990" s="93"/>
      <c r="B990" s="93"/>
      <c r="C990" s="117"/>
      <c r="D990" s="93"/>
      <c r="E990" s="93"/>
      <c r="F990" s="93"/>
      <c r="G990" s="93"/>
      <c r="H990" s="93"/>
      <c r="I990" s="128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  <c r="AB990" s="93"/>
      <c r="AC990" s="93"/>
      <c r="AD990" s="93"/>
      <c r="AE990" s="93"/>
      <c r="AF990" s="93"/>
      <c r="AG990" s="93"/>
      <c r="AH990" s="93"/>
      <c r="AI990" s="93"/>
      <c r="AJ990" s="93"/>
      <c r="AK990" s="93"/>
      <c r="AL990" s="93"/>
      <c r="AM990" s="93"/>
      <c r="AN990" s="93"/>
      <c r="AO990" s="93"/>
      <c r="AP990" s="93"/>
      <c r="AQ990" s="93"/>
    </row>
    <row r="991" spans="1:43" ht="12.75" customHeight="1">
      <c r="A991" s="93"/>
      <c r="B991" s="93"/>
      <c r="C991" s="117"/>
      <c r="D991" s="93"/>
      <c r="E991" s="93"/>
      <c r="F991" s="93"/>
      <c r="G991" s="93"/>
      <c r="H991" s="93"/>
      <c r="I991" s="128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  <c r="AB991" s="93"/>
      <c r="AC991" s="93"/>
      <c r="AD991" s="93"/>
      <c r="AE991" s="93"/>
      <c r="AF991" s="93"/>
      <c r="AG991" s="93"/>
      <c r="AH991" s="93"/>
      <c r="AI991" s="93"/>
      <c r="AJ991" s="93"/>
      <c r="AK991" s="93"/>
      <c r="AL991" s="93"/>
      <c r="AM991" s="93"/>
      <c r="AN991" s="93"/>
      <c r="AO991" s="93"/>
      <c r="AP991" s="93"/>
      <c r="AQ991" s="93"/>
    </row>
    <row r="992" spans="1:43" ht="12.75" customHeight="1">
      <c r="A992" s="93"/>
      <c r="B992" s="93"/>
      <c r="C992" s="117"/>
      <c r="D992" s="93"/>
      <c r="E992" s="93"/>
      <c r="F992" s="93"/>
      <c r="G992" s="93"/>
      <c r="H992" s="93"/>
      <c r="I992" s="128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  <c r="AB992" s="93"/>
      <c r="AC992" s="93"/>
      <c r="AD992" s="93"/>
      <c r="AE992" s="93"/>
      <c r="AF992" s="93"/>
      <c r="AG992" s="93"/>
      <c r="AH992" s="93"/>
      <c r="AI992" s="93"/>
      <c r="AJ992" s="93"/>
      <c r="AK992" s="93"/>
      <c r="AL992" s="93"/>
      <c r="AM992" s="93"/>
      <c r="AN992" s="93"/>
      <c r="AO992" s="93"/>
      <c r="AP992" s="93"/>
      <c r="AQ992" s="93"/>
    </row>
    <row r="993" spans="1:43" ht="12.75" customHeight="1">
      <c r="A993" s="93"/>
      <c r="B993" s="93"/>
      <c r="C993" s="117"/>
      <c r="D993" s="93"/>
      <c r="E993" s="93"/>
      <c r="F993" s="93"/>
      <c r="G993" s="93"/>
      <c r="H993" s="93"/>
      <c r="I993" s="128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  <c r="AB993" s="93"/>
      <c r="AC993" s="93"/>
      <c r="AD993" s="93"/>
      <c r="AE993" s="93"/>
      <c r="AF993" s="93"/>
      <c r="AG993" s="93"/>
      <c r="AH993" s="93"/>
      <c r="AI993" s="93"/>
      <c r="AJ993" s="93"/>
      <c r="AK993" s="93"/>
      <c r="AL993" s="93"/>
      <c r="AM993" s="93"/>
      <c r="AN993" s="93"/>
      <c r="AO993" s="93"/>
      <c r="AP993" s="93"/>
      <c r="AQ993" s="93"/>
    </row>
    <row r="994" spans="1:43" ht="12.75" customHeight="1">
      <c r="A994" s="93"/>
      <c r="B994" s="93"/>
      <c r="C994" s="117"/>
      <c r="D994" s="93"/>
      <c r="E994" s="93"/>
      <c r="F994" s="93"/>
      <c r="G994" s="93"/>
      <c r="H994" s="93"/>
      <c r="I994" s="128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  <c r="AB994" s="93"/>
      <c r="AC994" s="93"/>
      <c r="AD994" s="93"/>
      <c r="AE994" s="93"/>
      <c r="AF994" s="93"/>
      <c r="AG994" s="93"/>
      <c r="AH994" s="93"/>
      <c r="AI994" s="93"/>
      <c r="AJ994" s="93"/>
      <c r="AK994" s="93"/>
      <c r="AL994" s="93"/>
      <c r="AM994" s="93"/>
      <c r="AN994" s="93"/>
      <c r="AO994" s="93"/>
      <c r="AP994" s="93"/>
      <c r="AQ994" s="93"/>
    </row>
    <row r="995" spans="1:43" ht="12.75" customHeight="1">
      <c r="A995" s="93"/>
      <c r="B995" s="93"/>
      <c r="C995" s="117"/>
      <c r="D995" s="93"/>
      <c r="E995" s="93"/>
      <c r="F995" s="93"/>
      <c r="G995" s="93"/>
      <c r="H995" s="93"/>
      <c r="I995" s="128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93"/>
      <c r="AF995" s="93"/>
      <c r="AG995" s="93"/>
      <c r="AH995" s="93"/>
      <c r="AI995" s="93"/>
      <c r="AJ995" s="93"/>
      <c r="AK995" s="93"/>
      <c r="AL995" s="93"/>
      <c r="AM995" s="93"/>
      <c r="AN995" s="93"/>
      <c r="AO995" s="93"/>
      <c r="AP995" s="93"/>
      <c r="AQ995" s="93"/>
    </row>
    <row r="996" spans="1:43" ht="12.75" customHeight="1">
      <c r="A996" s="93"/>
      <c r="B996" s="93"/>
      <c r="C996" s="117"/>
      <c r="D996" s="93"/>
      <c r="E996" s="93"/>
      <c r="F996" s="93"/>
      <c r="G996" s="93"/>
      <c r="H996" s="93"/>
      <c r="I996" s="128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  <c r="AD996" s="93"/>
      <c r="AE996" s="93"/>
      <c r="AF996" s="93"/>
      <c r="AG996" s="93"/>
      <c r="AH996" s="93"/>
      <c r="AI996" s="93"/>
      <c r="AJ996" s="93"/>
      <c r="AK996" s="93"/>
      <c r="AL996" s="93"/>
      <c r="AM996" s="93"/>
      <c r="AN996" s="93"/>
      <c r="AO996" s="93"/>
      <c r="AP996" s="93"/>
      <c r="AQ996" s="93"/>
    </row>
    <row r="997" spans="1:43" ht="12.75" customHeight="1">
      <c r="A997" s="93"/>
      <c r="B997" s="93"/>
      <c r="C997" s="117"/>
      <c r="D997" s="93"/>
      <c r="E997" s="93"/>
      <c r="F997" s="93"/>
      <c r="G997" s="93"/>
      <c r="H997" s="93"/>
      <c r="I997" s="128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  <c r="AD997" s="93"/>
      <c r="AE997" s="93"/>
      <c r="AF997" s="93"/>
      <c r="AG997" s="93"/>
      <c r="AH997" s="93"/>
      <c r="AI997" s="93"/>
      <c r="AJ997" s="93"/>
      <c r="AK997" s="93"/>
      <c r="AL997" s="93"/>
      <c r="AM997" s="93"/>
      <c r="AN997" s="93"/>
      <c r="AO997" s="93"/>
      <c r="AP997" s="93"/>
      <c r="AQ997" s="93"/>
    </row>
    <row r="998" spans="1:43" ht="12.75" customHeight="1">
      <c r="A998" s="93"/>
      <c r="B998" s="93"/>
      <c r="C998" s="117"/>
      <c r="D998" s="93"/>
      <c r="E998" s="93"/>
      <c r="F998" s="93"/>
      <c r="G998" s="93"/>
      <c r="H998" s="93"/>
      <c r="I998" s="128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  <c r="AD998" s="93"/>
      <c r="AE998" s="93"/>
      <c r="AF998" s="93"/>
      <c r="AG998" s="93"/>
      <c r="AH998" s="93"/>
      <c r="AI998" s="93"/>
      <c r="AJ998" s="93"/>
      <c r="AK998" s="93"/>
      <c r="AL998" s="93"/>
      <c r="AM998" s="93"/>
      <c r="AN998" s="93"/>
      <c r="AO998" s="93"/>
      <c r="AP998" s="93"/>
      <c r="AQ998" s="93"/>
    </row>
    <row r="999" spans="1:43" ht="12.75" customHeight="1">
      <c r="A999" s="93"/>
      <c r="B999" s="93"/>
      <c r="C999" s="117"/>
      <c r="D999" s="93"/>
      <c r="E999" s="93"/>
      <c r="F999" s="93"/>
      <c r="G999" s="93"/>
      <c r="H999" s="93"/>
      <c r="I999" s="128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  <c r="AD999" s="93"/>
      <c r="AE999" s="93"/>
      <c r="AF999" s="93"/>
      <c r="AG999" s="93"/>
      <c r="AH999" s="93"/>
      <c r="AI999" s="93"/>
      <c r="AJ999" s="93"/>
      <c r="AK999" s="93"/>
      <c r="AL999" s="93"/>
      <c r="AM999" s="93"/>
      <c r="AN999" s="93"/>
      <c r="AO999" s="93"/>
      <c r="AP999" s="93"/>
      <c r="AQ999" s="93"/>
    </row>
    <row r="1000" spans="1:43" ht="12.75" customHeight="1">
      <c r="A1000" s="93"/>
      <c r="B1000" s="93"/>
      <c r="C1000" s="117"/>
      <c r="D1000" s="93"/>
      <c r="E1000" s="93"/>
      <c r="F1000" s="93"/>
      <c r="G1000" s="93"/>
      <c r="H1000" s="93"/>
      <c r="I1000" s="128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93"/>
      <c r="AF1000" s="93"/>
      <c r="AG1000" s="93"/>
      <c r="AH1000" s="93"/>
      <c r="AI1000" s="93"/>
      <c r="AJ1000" s="93"/>
      <c r="AK1000" s="93"/>
      <c r="AL1000" s="93"/>
      <c r="AM1000" s="93"/>
      <c r="AN1000" s="93"/>
      <c r="AO1000" s="93"/>
      <c r="AP1000" s="93"/>
      <c r="AQ1000" s="93"/>
    </row>
  </sheetData>
  <mergeCells count="7">
    <mergeCell ref="B26:C26"/>
    <mergeCell ref="D26:U26"/>
    <mergeCell ref="B2:V2"/>
    <mergeCell ref="B4:C4"/>
    <mergeCell ref="D4:U4"/>
    <mergeCell ref="B15:C15"/>
    <mergeCell ref="D15:U15"/>
  </mergeCells>
  <pageMargins left="0.31496062992125984" right="0.31496062992125984" top="0.55118110236220474" bottom="0.55118110236220474" header="0" footer="0"/>
  <pageSetup scale="5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14" customWidth="1"/>
    <col min="2" max="2" width="41.42578125" customWidth="1"/>
    <col min="3" max="3" width="8.7109375" customWidth="1"/>
    <col min="4" max="4" width="62.7109375" customWidth="1"/>
    <col min="5" max="5" width="9.140625" customWidth="1"/>
    <col min="6" max="6" width="43.140625" customWidth="1"/>
    <col min="7" max="8" width="9.28515625" customWidth="1"/>
    <col min="9" max="26" width="8.7109375" customWidth="1"/>
  </cols>
  <sheetData>
    <row r="1" spans="1:26">
      <c r="A1" s="181" t="s">
        <v>3788</v>
      </c>
      <c r="B1" s="181" t="s">
        <v>36</v>
      </c>
      <c r="E1" s="82"/>
      <c r="G1" s="182"/>
      <c r="H1" s="182"/>
    </row>
    <row r="2" spans="1:26">
      <c r="A2" s="183" t="s">
        <v>3789</v>
      </c>
      <c r="B2" s="72" t="s">
        <v>3790</v>
      </c>
      <c r="C2" s="51"/>
      <c r="D2" s="51"/>
      <c r="E2" s="82"/>
      <c r="F2" s="51"/>
      <c r="G2" s="182"/>
      <c r="H2" s="182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>
      <c r="A3" s="72" t="s">
        <v>3791</v>
      </c>
      <c r="B3" s="72" t="s">
        <v>3792</v>
      </c>
      <c r="C3" s="72" t="s">
        <v>3793</v>
      </c>
      <c r="D3" s="72" t="s">
        <v>3792</v>
      </c>
      <c r="E3" s="184" t="s">
        <v>3794</v>
      </c>
      <c r="F3" s="72" t="s">
        <v>3792</v>
      </c>
      <c r="G3" s="185" t="s">
        <v>3792</v>
      </c>
      <c r="H3" s="185" t="s">
        <v>3792</v>
      </c>
    </row>
    <row r="4" spans="1:26">
      <c r="A4" s="72" t="s">
        <v>26</v>
      </c>
      <c r="B4" s="72" t="s">
        <v>3795</v>
      </c>
      <c r="C4" s="72" t="s">
        <v>632</v>
      </c>
      <c r="D4" s="72" t="s">
        <v>633</v>
      </c>
      <c r="E4" s="184" t="s">
        <v>634</v>
      </c>
      <c r="F4" s="72" t="s">
        <v>635</v>
      </c>
      <c r="G4" s="185" t="s">
        <v>636</v>
      </c>
      <c r="H4" s="185" t="s">
        <v>637</v>
      </c>
    </row>
    <row r="5" spans="1:26">
      <c r="A5" s="72" t="s">
        <v>26</v>
      </c>
      <c r="B5" s="72" t="s">
        <v>3795</v>
      </c>
      <c r="C5" s="72" t="s">
        <v>639</v>
      </c>
      <c r="D5" s="72" t="s">
        <v>640</v>
      </c>
      <c r="E5" s="184" t="s">
        <v>641</v>
      </c>
      <c r="F5" s="72" t="s">
        <v>642</v>
      </c>
      <c r="G5" s="185" t="s">
        <v>643</v>
      </c>
      <c r="H5" s="185" t="s">
        <v>644</v>
      </c>
    </row>
    <row r="6" spans="1:26">
      <c r="A6" s="72" t="s">
        <v>26</v>
      </c>
      <c r="B6" s="72" t="s">
        <v>3795</v>
      </c>
      <c r="C6" s="72" t="s">
        <v>646</v>
      </c>
      <c r="D6" s="72" t="s">
        <v>647</v>
      </c>
      <c r="E6" s="184" t="s">
        <v>648</v>
      </c>
      <c r="F6" s="72" t="s">
        <v>649</v>
      </c>
      <c r="G6" s="185" t="s">
        <v>636</v>
      </c>
      <c r="H6" s="185" t="s">
        <v>650</v>
      </c>
    </row>
    <row r="7" spans="1:26">
      <c r="A7" s="72" t="s">
        <v>26</v>
      </c>
      <c r="B7" s="72" t="s">
        <v>3795</v>
      </c>
      <c r="C7" s="72" t="s">
        <v>652</v>
      </c>
      <c r="D7" s="72" t="s">
        <v>653</v>
      </c>
      <c r="E7" s="184" t="s">
        <v>648</v>
      </c>
      <c r="F7" s="72" t="s">
        <v>649</v>
      </c>
      <c r="G7" s="185" t="s">
        <v>636</v>
      </c>
      <c r="H7" s="185" t="s">
        <v>650</v>
      </c>
    </row>
    <row r="8" spans="1:26">
      <c r="A8" s="72" t="s">
        <v>26</v>
      </c>
      <c r="B8" s="72" t="s">
        <v>3795</v>
      </c>
      <c r="C8" s="72" t="s">
        <v>652</v>
      </c>
      <c r="D8" s="72" t="s">
        <v>653</v>
      </c>
      <c r="E8" s="184" t="s">
        <v>656</v>
      </c>
      <c r="F8" s="72" t="s">
        <v>657</v>
      </c>
      <c r="G8" s="185" t="s">
        <v>636</v>
      </c>
      <c r="H8" s="185" t="s">
        <v>658</v>
      </c>
    </row>
    <row r="9" spans="1:26">
      <c r="A9" s="72" t="s">
        <v>26</v>
      </c>
      <c r="B9" s="72" t="s">
        <v>3795</v>
      </c>
      <c r="C9" s="72" t="s">
        <v>660</v>
      </c>
      <c r="D9" s="72" t="s">
        <v>661</v>
      </c>
      <c r="E9" s="184" t="s">
        <v>648</v>
      </c>
      <c r="F9" s="72" t="s">
        <v>649</v>
      </c>
      <c r="G9" s="185" t="s">
        <v>636</v>
      </c>
      <c r="H9" s="185" t="s">
        <v>650</v>
      </c>
    </row>
    <row r="10" spans="1:26">
      <c r="A10" s="72" t="s">
        <v>26</v>
      </c>
      <c r="B10" s="72" t="s">
        <v>3795</v>
      </c>
      <c r="C10" s="72" t="s">
        <v>663</v>
      </c>
      <c r="D10" s="72" t="s">
        <v>664</v>
      </c>
      <c r="E10" s="184" t="s">
        <v>648</v>
      </c>
      <c r="F10" s="72" t="s">
        <v>649</v>
      </c>
      <c r="G10" s="185" t="s">
        <v>636</v>
      </c>
      <c r="H10" s="185" t="s">
        <v>650</v>
      </c>
    </row>
    <row r="11" spans="1:26">
      <c r="A11" s="72" t="s">
        <v>26</v>
      </c>
      <c r="B11" s="72" t="s">
        <v>3795</v>
      </c>
      <c r="C11" s="72" t="s">
        <v>666</v>
      </c>
      <c r="D11" s="72" t="s">
        <v>667</v>
      </c>
      <c r="E11" s="184" t="s">
        <v>668</v>
      </c>
      <c r="F11" s="72" t="s">
        <v>669</v>
      </c>
      <c r="G11" s="185" t="s">
        <v>636</v>
      </c>
      <c r="H11" s="185" t="s">
        <v>670</v>
      </c>
    </row>
    <row r="12" spans="1:26">
      <c r="A12" s="72" t="s">
        <v>26</v>
      </c>
      <c r="B12" s="72" t="s">
        <v>3795</v>
      </c>
      <c r="C12" s="72" t="s">
        <v>672</v>
      </c>
      <c r="D12" s="72" t="s">
        <v>673</v>
      </c>
      <c r="E12" s="184" t="s">
        <v>634</v>
      </c>
      <c r="F12" s="72" t="s">
        <v>635</v>
      </c>
      <c r="G12" s="185" t="s">
        <v>636</v>
      </c>
      <c r="H12" s="185" t="s">
        <v>637</v>
      </c>
    </row>
    <row r="13" spans="1:26">
      <c r="A13" s="72" t="s">
        <v>26</v>
      </c>
      <c r="B13" s="72" t="s">
        <v>3795</v>
      </c>
      <c r="C13" s="72" t="s">
        <v>675</v>
      </c>
      <c r="D13" s="72" t="s">
        <v>676</v>
      </c>
      <c r="E13" s="184" t="s">
        <v>677</v>
      </c>
      <c r="F13" s="72" t="s">
        <v>678</v>
      </c>
      <c r="G13" s="185" t="s">
        <v>679</v>
      </c>
      <c r="H13" s="185" t="s">
        <v>680</v>
      </c>
    </row>
    <row r="14" spans="1:26">
      <c r="A14" s="72" t="s">
        <v>26</v>
      </c>
      <c r="B14" s="72" t="s">
        <v>3795</v>
      </c>
      <c r="C14" s="72" t="s">
        <v>682</v>
      </c>
      <c r="D14" s="72" t="s">
        <v>683</v>
      </c>
      <c r="E14" s="184" t="s">
        <v>648</v>
      </c>
      <c r="F14" s="72" t="s">
        <v>649</v>
      </c>
      <c r="G14" s="185" t="s">
        <v>636</v>
      </c>
      <c r="H14" s="185" t="s">
        <v>650</v>
      </c>
    </row>
    <row r="15" spans="1:26">
      <c r="A15" s="72" t="s">
        <v>26</v>
      </c>
      <c r="B15" s="72" t="s">
        <v>3795</v>
      </c>
      <c r="C15" s="72" t="s">
        <v>685</v>
      </c>
      <c r="D15" s="72" t="s">
        <v>686</v>
      </c>
      <c r="E15" s="184" t="s">
        <v>648</v>
      </c>
      <c r="F15" s="72" t="s">
        <v>649</v>
      </c>
      <c r="G15" s="185" t="s">
        <v>636</v>
      </c>
      <c r="H15" s="185" t="s">
        <v>650</v>
      </c>
    </row>
    <row r="16" spans="1:26">
      <c r="A16" s="72" t="s">
        <v>26</v>
      </c>
      <c r="B16" s="72" t="s">
        <v>3795</v>
      </c>
      <c r="C16" s="72" t="s">
        <v>688</v>
      </c>
      <c r="D16" s="72" t="s">
        <v>689</v>
      </c>
      <c r="E16" s="184" t="s">
        <v>648</v>
      </c>
      <c r="F16" s="72" t="s">
        <v>649</v>
      </c>
      <c r="G16" s="185" t="s">
        <v>636</v>
      </c>
      <c r="H16" s="185" t="s">
        <v>650</v>
      </c>
    </row>
    <row r="17" spans="1:8">
      <c r="A17" s="72" t="s">
        <v>26</v>
      </c>
      <c r="B17" s="72" t="s">
        <v>3795</v>
      </c>
      <c r="C17" s="72" t="s">
        <v>691</v>
      </c>
      <c r="D17" s="72" t="s">
        <v>692</v>
      </c>
      <c r="E17" s="184" t="s">
        <v>648</v>
      </c>
      <c r="F17" s="72" t="s">
        <v>649</v>
      </c>
      <c r="G17" s="185" t="s">
        <v>636</v>
      </c>
      <c r="H17" s="185" t="s">
        <v>650</v>
      </c>
    </row>
    <row r="18" spans="1:8">
      <c r="A18" s="72" t="s">
        <v>26</v>
      </c>
      <c r="B18" s="72" t="s">
        <v>3795</v>
      </c>
      <c r="C18" s="72" t="s">
        <v>694</v>
      </c>
      <c r="D18" s="72" t="s">
        <v>695</v>
      </c>
      <c r="E18" s="184" t="s">
        <v>634</v>
      </c>
      <c r="F18" s="72" t="s">
        <v>635</v>
      </c>
      <c r="G18" s="185" t="s">
        <v>636</v>
      </c>
      <c r="H18" s="185" t="s">
        <v>637</v>
      </c>
    </row>
    <row r="19" spans="1:8">
      <c r="A19" s="72" t="s">
        <v>26</v>
      </c>
      <c r="B19" s="72" t="s">
        <v>3795</v>
      </c>
      <c r="C19" s="72" t="s">
        <v>697</v>
      </c>
      <c r="D19" s="72" t="s">
        <v>698</v>
      </c>
      <c r="E19" s="184" t="s">
        <v>648</v>
      </c>
      <c r="F19" s="72" t="s">
        <v>649</v>
      </c>
      <c r="G19" s="185" t="s">
        <v>636</v>
      </c>
      <c r="H19" s="185" t="s">
        <v>650</v>
      </c>
    </row>
    <row r="20" spans="1:8">
      <c r="A20" s="72" t="s">
        <v>26</v>
      </c>
      <c r="B20" s="72" t="s">
        <v>3795</v>
      </c>
      <c r="C20" s="72" t="s">
        <v>700</v>
      </c>
      <c r="D20" s="72" t="s">
        <v>701</v>
      </c>
      <c r="E20" s="184" t="s">
        <v>656</v>
      </c>
      <c r="F20" s="72" t="s">
        <v>657</v>
      </c>
      <c r="G20" s="185" t="s">
        <v>636</v>
      </c>
      <c r="H20" s="185" t="s">
        <v>658</v>
      </c>
    </row>
    <row r="21" spans="1:8" ht="15.75" customHeight="1">
      <c r="A21" s="72" t="s">
        <v>26</v>
      </c>
      <c r="B21" s="72" t="s">
        <v>3795</v>
      </c>
      <c r="C21" s="72" t="s">
        <v>703</v>
      </c>
      <c r="D21" s="72" t="s">
        <v>704</v>
      </c>
      <c r="E21" s="184" t="s">
        <v>705</v>
      </c>
      <c r="F21" s="72" t="s">
        <v>706</v>
      </c>
      <c r="G21" s="185" t="s">
        <v>636</v>
      </c>
      <c r="H21" s="185" t="s">
        <v>637</v>
      </c>
    </row>
    <row r="22" spans="1:8" ht="15.75" customHeight="1">
      <c r="A22" s="72" t="s">
        <v>26</v>
      </c>
      <c r="B22" s="72" t="s">
        <v>3795</v>
      </c>
      <c r="C22" s="72" t="s">
        <v>708</v>
      </c>
      <c r="D22" s="72" t="s">
        <v>709</v>
      </c>
      <c r="E22" s="184" t="s">
        <v>705</v>
      </c>
      <c r="F22" s="72" t="s">
        <v>706</v>
      </c>
      <c r="G22" s="185" t="s">
        <v>636</v>
      </c>
      <c r="H22" s="185" t="s">
        <v>637</v>
      </c>
    </row>
    <row r="23" spans="1:8" ht="15.75" customHeight="1">
      <c r="A23" s="72" t="s">
        <v>26</v>
      </c>
      <c r="B23" s="72" t="s">
        <v>3795</v>
      </c>
      <c r="C23" s="72" t="s">
        <v>711</v>
      </c>
      <c r="D23" s="72" t="s">
        <v>712</v>
      </c>
      <c r="E23" s="184" t="s">
        <v>705</v>
      </c>
      <c r="F23" s="72" t="s">
        <v>706</v>
      </c>
      <c r="G23" s="185" t="s">
        <v>636</v>
      </c>
      <c r="H23" s="185" t="s">
        <v>637</v>
      </c>
    </row>
    <row r="24" spans="1:8" ht="15.75" customHeight="1">
      <c r="A24" s="72" t="s">
        <v>26</v>
      </c>
      <c r="B24" s="72" t="s">
        <v>3795</v>
      </c>
      <c r="C24" s="72" t="s">
        <v>714</v>
      </c>
      <c r="D24" s="72" t="s">
        <v>715</v>
      </c>
      <c r="E24" s="184" t="s">
        <v>705</v>
      </c>
      <c r="F24" s="72" t="s">
        <v>706</v>
      </c>
      <c r="G24" s="185" t="s">
        <v>636</v>
      </c>
      <c r="H24" s="185" t="s">
        <v>637</v>
      </c>
    </row>
    <row r="25" spans="1:8" ht="15.75" customHeight="1">
      <c r="A25" s="72" t="s">
        <v>26</v>
      </c>
      <c r="B25" s="72" t="s">
        <v>3795</v>
      </c>
      <c r="C25" s="72" t="s">
        <v>717</v>
      </c>
      <c r="D25" s="72" t="s">
        <v>718</v>
      </c>
      <c r="E25" s="184" t="s">
        <v>648</v>
      </c>
      <c r="F25" s="72" t="s">
        <v>649</v>
      </c>
      <c r="G25" s="185" t="s">
        <v>636</v>
      </c>
      <c r="H25" s="185" t="s">
        <v>650</v>
      </c>
    </row>
    <row r="26" spans="1:8" ht="15.75" customHeight="1">
      <c r="A26" s="72" t="s">
        <v>26</v>
      </c>
      <c r="B26" s="72" t="s">
        <v>3795</v>
      </c>
      <c r="C26" s="72" t="s">
        <v>720</v>
      </c>
      <c r="D26" s="72" t="s">
        <v>721</v>
      </c>
      <c r="E26" s="184" t="s">
        <v>656</v>
      </c>
      <c r="F26" s="72" t="s">
        <v>657</v>
      </c>
      <c r="G26" s="185" t="s">
        <v>636</v>
      </c>
      <c r="H26" s="185" t="s">
        <v>658</v>
      </c>
    </row>
    <row r="27" spans="1:8" ht="15.75" customHeight="1">
      <c r="A27" s="72" t="s">
        <v>26</v>
      </c>
      <c r="B27" s="72" t="s">
        <v>3795</v>
      </c>
      <c r="C27" s="72" t="s">
        <v>723</v>
      </c>
      <c r="D27" s="72" t="s">
        <v>724</v>
      </c>
      <c r="E27" s="184" t="s">
        <v>648</v>
      </c>
      <c r="F27" s="72" t="s">
        <v>649</v>
      </c>
      <c r="G27" s="185" t="s">
        <v>636</v>
      </c>
      <c r="H27" s="185" t="s">
        <v>650</v>
      </c>
    </row>
    <row r="28" spans="1:8" ht="15.75" customHeight="1">
      <c r="A28" s="72" t="s">
        <v>26</v>
      </c>
      <c r="B28" s="72" t="s">
        <v>3795</v>
      </c>
      <c r="C28" s="72" t="s">
        <v>726</v>
      </c>
      <c r="D28" s="72" t="s">
        <v>727</v>
      </c>
      <c r="E28" s="184" t="s">
        <v>641</v>
      </c>
      <c r="F28" s="72" t="s">
        <v>642</v>
      </c>
      <c r="G28" s="185" t="s">
        <v>643</v>
      </c>
      <c r="H28" s="185" t="s">
        <v>644</v>
      </c>
    </row>
    <row r="29" spans="1:8" ht="15.75" customHeight="1">
      <c r="A29" s="72" t="s">
        <v>26</v>
      </c>
      <c r="B29" s="72" t="s">
        <v>3795</v>
      </c>
      <c r="C29" s="72" t="s">
        <v>729</v>
      </c>
      <c r="D29" s="72" t="s">
        <v>730</v>
      </c>
      <c r="E29" s="184" t="s">
        <v>641</v>
      </c>
      <c r="F29" s="72" t="s">
        <v>642</v>
      </c>
      <c r="G29" s="185" t="s">
        <v>643</v>
      </c>
      <c r="H29" s="185" t="s">
        <v>644</v>
      </c>
    </row>
    <row r="30" spans="1:8" ht="15.75" customHeight="1">
      <c r="A30" s="72" t="s">
        <v>26</v>
      </c>
      <c r="B30" s="72" t="s">
        <v>3795</v>
      </c>
      <c r="C30" s="72" t="s">
        <v>732</v>
      </c>
      <c r="D30" s="72" t="s">
        <v>733</v>
      </c>
      <c r="E30" s="184" t="s">
        <v>648</v>
      </c>
      <c r="F30" s="72" t="s">
        <v>649</v>
      </c>
      <c r="G30" s="185" t="s">
        <v>636</v>
      </c>
      <c r="H30" s="185" t="s">
        <v>650</v>
      </c>
    </row>
    <row r="31" spans="1:8" ht="15.75" customHeight="1">
      <c r="A31" s="72" t="s">
        <v>26</v>
      </c>
      <c r="B31" s="72" t="s">
        <v>3795</v>
      </c>
      <c r="C31" s="72" t="s">
        <v>735</v>
      </c>
      <c r="D31" s="72" t="s">
        <v>736</v>
      </c>
      <c r="E31" s="184" t="s">
        <v>641</v>
      </c>
      <c r="F31" s="72" t="s">
        <v>642</v>
      </c>
      <c r="G31" s="185" t="s">
        <v>643</v>
      </c>
      <c r="H31" s="185" t="s">
        <v>644</v>
      </c>
    </row>
    <row r="32" spans="1:8" ht="15.75" customHeight="1">
      <c r="A32" s="72" t="s">
        <v>26</v>
      </c>
      <c r="B32" s="72" t="s">
        <v>3795</v>
      </c>
      <c r="C32" s="72" t="s">
        <v>738</v>
      </c>
      <c r="D32" s="72" t="s">
        <v>739</v>
      </c>
      <c r="E32" s="184" t="s">
        <v>648</v>
      </c>
      <c r="F32" s="72" t="s">
        <v>649</v>
      </c>
      <c r="G32" s="185" t="s">
        <v>636</v>
      </c>
      <c r="H32" s="185" t="s">
        <v>650</v>
      </c>
    </row>
    <row r="33" spans="1:8" ht="15.75" customHeight="1">
      <c r="A33" s="72" t="s">
        <v>26</v>
      </c>
      <c r="B33" s="72" t="s">
        <v>3795</v>
      </c>
      <c r="C33" s="72" t="s">
        <v>741</v>
      </c>
      <c r="D33" s="72" t="s">
        <v>742</v>
      </c>
      <c r="E33" s="184" t="s">
        <v>648</v>
      </c>
      <c r="F33" s="72" t="s">
        <v>649</v>
      </c>
      <c r="G33" s="185" t="s">
        <v>636</v>
      </c>
      <c r="H33" s="185" t="s">
        <v>650</v>
      </c>
    </row>
    <row r="34" spans="1:8" ht="15.75" customHeight="1">
      <c r="A34" s="72" t="s">
        <v>26</v>
      </c>
      <c r="B34" s="72" t="s">
        <v>3795</v>
      </c>
      <c r="C34" s="72" t="s">
        <v>744</v>
      </c>
      <c r="D34" s="72" t="s">
        <v>745</v>
      </c>
      <c r="E34" s="184" t="s">
        <v>648</v>
      </c>
      <c r="F34" s="72" t="s">
        <v>649</v>
      </c>
      <c r="G34" s="185" t="s">
        <v>636</v>
      </c>
      <c r="H34" s="185" t="s">
        <v>650</v>
      </c>
    </row>
    <row r="35" spans="1:8" ht="15.75" customHeight="1">
      <c r="A35" s="72" t="s">
        <v>26</v>
      </c>
      <c r="B35" s="72" t="s">
        <v>3795</v>
      </c>
      <c r="C35" s="72" t="s">
        <v>747</v>
      </c>
      <c r="D35" s="72" t="s">
        <v>748</v>
      </c>
      <c r="E35" s="184" t="s">
        <v>749</v>
      </c>
      <c r="F35" s="72" t="s">
        <v>750</v>
      </c>
      <c r="G35" s="185" t="s">
        <v>643</v>
      </c>
      <c r="H35" s="185" t="s">
        <v>751</v>
      </c>
    </row>
    <row r="36" spans="1:8" ht="15.75" customHeight="1">
      <c r="A36" s="72" t="s">
        <v>26</v>
      </c>
      <c r="B36" s="72" t="s">
        <v>3795</v>
      </c>
      <c r="C36" s="72" t="s">
        <v>747</v>
      </c>
      <c r="D36" s="72" t="s">
        <v>748</v>
      </c>
      <c r="E36" s="184" t="s">
        <v>634</v>
      </c>
      <c r="F36" s="72" t="s">
        <v>635</v>
      </c>
      <c r="G36" s="185" t="s">
        <v>636</v>
      </c>
      <c r="H36" s="185" t="s">
        <v>637</v>
      </c>
    </row>
    <row r="37" spans="1:8" ht="15.75" customHeight="1">
      <c r="A37" s="72" t="s">
        <v>26</v>
      </c>
      <c r="B37" s="72" t="s">
        <v>3795</v>
      </c>
      <c r="C37" s="72" t="s">
        <v>754</v>
      </c>
      <c r="D37" s="72" t="s">
        <v>755</v>
      </c>
      <c r="E37" s="184" t="s">
        <v>634</v>
      </c>
      <c r="F37" s="72" t="s">
        <v>635</v>
      </c>
      <c r="G37" s="185" t="s">
        <v>636</v>
      </c>
      <c r="H37" s="185" t="s">
        <v>637</v>
      </c>
    </row>
    <row r="38" spans="1:8" ht="15.75" customHeight="1">
      <c r="A38" s="72" t="s">
        <v>26</v>
      </c>
      <c r="B38" s="72" t="s">
        <v>3795</v>
      </c>
      <c r="C38" s="72" t="s">
        <v>757</v>
      </c>
      <c r="D38" s="72" t="s">
        <v>758</v>
      </c>
      <c r="E38" s="184" t="s">
        <v>648</v>
      </c>
      <c r="F38" s="72" t="s">
        <v>649</v>
      </c>
      <c r="G38" s="185" t="s">
        <v>636</v>
      </c>
      <c r="H38" s="185" t="s">
        <v>650</v>
      </c>
    </row>
    <row r="39" spans="1:8" ht="15.75" customHeight="1">
      <c r="A39" s="72" t="s">
        <v>26</v>
      </c>
      <c r="B39" s="72" t="s">
        <v>3795</v>
      </c>
      <c r="C39" s="72" t="s">
        <v>759</v>
      </c>
      <c r="D39" s="72" t="s">
        <v>760</v>
      </c>
      <c r="E39" s="184" t="s">
        <v>749</v>
      </c>
      <c r="F39" s="72" t="s">
        <v>750</v>
      </c>
      <c r="G39" s="185" t="s">
        <v>643</v>
      </c>
      <c r="H39" s="185" t="s">
        <v>751</v>
      </c>
    </row>
    <row r="40" spans="1:8" ht="15.75" customHeight="1">
      <c r="A40" s="72" t="s">
        <v>26</v>
      </c>
      <c r="B40" s="72" t="s">
        <v>3795</v>
      </c>
      <c r="C40" s="72" t="s">
        <v>759</v>
      </c>
      <c r="D40" s="72" t="s">
        <v>760</v>
      </c>
      <c r="E40" s="184" t="s">
        <v>634</v>
      </c>
      <c r="F40" s="72" t="s">
        <v>635</v>
      </c>
      <c r="G40" s="185" t="s">
        <v>636</v>
      </c>
      <c r="H40" s="185" t="s">
        <v>637</v>
      </c>
    </row>
    <row r="41" spans="1:8" ht="15.75" customHeight="1">
      <c r="A41" s="72" t="s">
        <v>26</v>
      </c>
      <c r="B41" s="72" t="s">
        <v>3795</v>
      </c>
      <c r="C41" s="72" t="s">
        <v>764</v>
      </c>
      <c r="D41" s="72" t="s">
        <v>765</v>
      </c>
      <c r="E41" s="184" t="s">
        <v>634</v>
      </c>
      <c r="F41" s="72" t="s">
        <v>635</v>
      </c>
      <c r="G41" s="185" t="s">
        <v>636</v>
      </c>
      <c r="H41" s="185" t="s">
        <v>637</v>
      </c>
    </row>
    <row r="42" spans="1:8" ht="15.75" customHeight="1">
      <c r="A42" s="72" t="s">
        <v>26</v>
      </c>
      <c r="B42" s="72" t="s">
        <v>3795</v>
      </c>
      <c r="C42" s="72" t="s">
        <v>767</v>
      </c>
      <c r="D42" s="72" t="s">
        <v>768</v>
      </c>
      <c r="E42" s="184" t="s">
        <v>749</v>
      </c>
      <c r="F42" s="72" t="s">
        <v>750</v>
      </c>
      <c r="G42" s="185" t="s">
        <v>643</v>
      </c>
      <c r="H42" s="185" t="s">
        <v>751</v>
      </c>
    </row>
    <row r="43" spans="1:8" ht="15.75" customHeight="1">
      <c r="A43" s="72" t="s">
        <v>26</v>
      </c>
      <c r="B43" s="72" t="s">
        <v>3795</v>
      </c>
      <c r="C43" s="72" t="s">
        <v>767</v>
      </c>
      <c r="D43" s="72" t="s">
        <v>768</v>
      </c>
      <c r="E43" s="184" t="s">
        <v>770</v>
      </c>
      <c r="F43" s="72" t="s">
        <v>771</v>
      </c>
      <c r="G43" s="185" t="s">
        <v>636</v>
      </c>
      <c r="H43" s="185" t="s">
        <v>772</v>
      </c>
    </row>
    <row r="44" spans="1:8" ht="15.75" customHeight="1">
      <c r="A44" s="72" t="s">
        <v>26</v>
      </c>
      <c r="B44" s="72" t="s">
        <v>3795</v>
      </c>
      <c r="C44" s="72" t="s">
        <v>774</v>
      </c>
      <c r="D44" s="72" t="s">
        <v>775</v>
      </c>
      <c r="E44" s="184" t="s">
        <v>770</v>
      </c>
      <c r="F44" s="72" t="s">
        <v>771</v>
      </c>
      <c r="G44" s="185" t="s">
        <v>636</v>
      </c>
      <c r="H44" s="185" t="s">
        <v>772</v>
      </c>
    </row>
    <row r="45" spans="1:8" ht="15.75" customHeight="1">
      <c r="A45" s="72" t="s">
        <v>26</v>
      </c>
      <c r="B45" s="72" t="s">
        <v>3795</v>
      </c>
      <c r="C45" s="72" t="s">
        <v>777</v>
      </c>
      <c r="D45" s="72" t="s">
        <v>778</v>
      </c>
      <c r="E45" s="184" t="s">
        <v>770</v>
      </c>
      <c r="F45" s="72" t="s">
        <v>771</v>
      </c>
      <c r="G45" s="185" t="s">
        <v>636</v>
      </c>
      <c r="H45" s="185" t="s">
        <v>772</v>
      </c>
    </row>
    <row r="46" spans="1:8" ht="15.75" customHeight="1">
      <c r="A46" s="72" t="s">
        <v>26</v>
      </c>
      <c r="B46" s="72" t="s">
        <v>3795</v>
      </c>
      <c r="C46" s="72" t="s">
        <v>781</v>
      </c>
      <c r="D46" s="72" t="s">
        <v>760</v>
      </c>
      <c r="E46" s="184" t="s">
        <v>749</v>
      </c>
      <c r="F46" s="72" t="s">
        <v>750</v>
      </c>
      <c r="G46" s="185" t="s">
        <v>643</v>
      </c>
      <c r="H46" s="185" t="s">
        <v>751</v>
      </c>
    </row>
    <row r="47" spans="1:8" ht="15.75" customHeight="1">
      <c r="A47" s="72" t="s">
        <v>26</v>
      </c>
      <c r="B47" s="72" t="s">
        <v>3795</v>
      </c>
      <c r="C47" s="72" t="s">
        <v>783</v>
      </c>
      <c r="D47" s="72" t="s">
        <v>784</v>
      </c>
      <c r="E47" s="184" t="s">
        <v>770</v>
      </c>
      <c r="F47" s="72" t="s">
        <v>771</v>
      </c>
      <c r="G47" s="185" t="s">
        <v>636</v>
      </c>
      <c r="H47" s="185" t="s">
        <v>772</v>
      </c>
    </row>
    <row r="48" spans="1:8" ht="15.75" customHeight="1">
      <c r="A48" s="72" t="s">
        <v>26</v>
      </c>
      <c r="B48" s="72" t="s">
        <v>3795</v>
      </c>
      <c r="C48" s="72" t="s">
        <v>786</v>
      </c>
      <c r="D48" s="72" t="s">
        <v>787</v>
      </c>
      <c r="E48" s="184" t="s">
        <v>770</v>
      </c>
      <c r="F48" s="72" t="s">
        <v>771</v>
      </c>
      <c r="G48" s="185" t="s">
        <v>636</v>
      </c>
      <c r="H48" s="185" t="s">
        <v>772</v>
      </c>
    </row>
    <row r="49" spans="1:8" ht="15.75" customHeight="1">
      <c r="A49" s="72" t="s">
        <v>26</v>
      </c>
      <c r="B49" s="72" t="s">
        <v>3795</v>
      </c>
      <c r="C49" s="72" t="s">
        <v>789</v>
      </c>
      <c r="D49" s="72" t="s">
        <v>790</v>
      </c>
      <c r="E49" s="184" t="s">
        <v>770</v>
      </c>
      <c r="F49" s="72" t="s">
        <v>771</v>
      </c>
      <c r="G49" s="185" t="s">
        <v>636</v>
      </c>
      <c r="H49" s="185" t="s">
        <v>772</v>
      </c>
    </row>
    <row r="50" spans="1:8" ht="15.75" customHeight="1">
      <c r="A50" s="72" t="s">
        <v>26</v>
      </c>
      <c r="B50" s="72" t="s">
        <v>3795</v>
      </c>
      <c r="C50" s="72" t="s">
        <v>792</v>
      </c>
      <c r="D50" s="72" t="s">
        <v>793</v>
      </c>
      <c r="E50" s="184" t="s">
        <v>794</v>
      </c>
      <c r="F50" s="72" t="s">
        <v>795</v>
      </c>
      <c r="G50" s="185" t="s">
        <v>636</v>
      </c>
      <c r="H50" s="185" t="s">
        <v>796</v>
      </c>
    </row>
    <row r="51" spans="1:8" ht="15.75" customHeight="1">
      <c r="A51" s="72" t="s">
        <v>26</v>
      </c>
      <c r="B51" s="72" t="s">
        <v>3795</v>
      </c>
      <c r="C51" s="72" t="s">
        <v>798</v>
      </c>
      <c r="D51" s="72" t="s">
        <v>799</v>
      </c>
      <c r="E51" s="184" t="s">
        <v>794</v>
      </c>
      <c r="F51" s="72" t="s">
        <v>795</v>
      </c>
      <c r="G51" s="185" t="s">
        <v>636</v>
      </c>
      <c r="H51" s="185" t="s">
        <v>796</v>
      </c>
    </row>
    <row r="52" spans="1:8" ht="15.75" customHeight="1">
      <c r="A52" s="72" t="s">
        <v>26</v>
      </c>
      <c r="B52" s="72" t="s">
        <v>3795</v>
      </c>
      <c r="C52" s="72" t="s">
        <v>801</v>
      </c>
      <c r="D52" s="72" t="s">
        <v>802</v>
      </c>
      <c r="E52" s="184" t="s">
        <v>794</v>
      </c>
      <c r="F52" s="72" t="s">
        <v>795</v>
      </c>
      <c r="G52" s="185" t="s">
        <v>636</v>
      </c>
      <c r="H52" s="185" t="s">
        <v>796</v>
      </c>
    </row>
    <row r="53" spans="1:8" ht="15.75" customHeight="1">
      <c r="A53" s="72" t="s">
        <v>26</v>
      </c>
      <c r="B53" s="72" t="s">
        <v>3795</v>
      </c>
      <c r="C53" s="72" t="s">
        <v>804</v>
      </c>
      <c r="D53" s="72" t="s">
        <v>805</v>
      </c>
      <c r="E53" s="184" t="s">
        <v>794</v>
      </c>
      <c r="F53" s="72" t="s">
        <v>795</v>
      </c>
      <c r="G53" s="185" t="s">
        <v>636</v>
      </c>
      <c r="H53" s="185" t="s">
        <v>796</v>
      </c>
    </row>
    <row r="54" spans="1:8" ht="15.75" customHeight="1">
      <c r="A54" s="72" t="s">
        <v>26</v>
      </c>
      <c r="B54" s="72" t="s">
        <v>3795</v>
      </c>
      <c r="C54" s="72" t="s">
        <v>807</v>
      </c>
      <c r="D54" s="72" t="s">
        <v>808</v>
      </c>
      <c r="E54" s="184" t="s">
        <v>794</v>
      </c>
      <c r="F54" s="72" t="s">
        <v>795</v>
      </c>
      <c r="G54" s="185" t="s">
        <v>636</v>
      </c>
      <c r="H54" s="185" t="s">
        <v>796</v>
      </c>
    </row>
    <row r="55" spans="1:8" ht="15.75" customHeight="1">
      <c r="A55" s="72" t="s">
        <v>26</v>
      </c>
      <c r="B55" s="72" t="s">
        <v>3795</v>
      </c>
      <c r="C55" s="72" t="s">
        <v>810</v>
      </c>
      <c r="D55" s="72" t="s">
        <v>811</v>
      </c>
      <c r="E55" s="184" t="s">
        <v>794</v>
      </c>
      <c r="F55" s="72" t="s">
        <v>795</v>
      </c>
      <c r="G55" s="185" t="s">
        <v>636</v>
      </c>
      <c r="H55" s="185" t="s">
        <v>796</v>
      </c>
    </row>
    <row r="56" spans="1:8" ht="15.75" customHeight="1">
      <c r="A56" s="72" t="s">
        <v>26</v>
      </c>
      <c r="B56" s="72" t="s">
        <v>3795</v>
      </c>
      <c r="C56" s="72" t="s">
        <v>813</v>
      </c>
      <c r="D56" s="72" t="s">
        <v>814</v>
      </c>
      <c r="E56" s="184" t="s">
        <v>794</v>
      </c>
      <c r="F56" s="72" t="s">
        <v>795</v>
      </c>
      <c r="G56" s="185" t="s">
        <v>636</v>
      </c>
      <c r="H56" s="185" t="s">
        <v>796</v>
      </c>
    </row>
    <row r="57" spans="1:8" ht="15.75" customHeight="1">
      <c r="A57" s="72" t="s">
        <v>26</v>
      </c>
      <c r="B57" s="72" t="s">
        <v>3795</v>
      </c>
      <c r="C57" s="72" t="s">
        <v>816</v>
      </c>
      <c r="D57" s="72" t="s">
        <v>817</v>
      </c>
      <c r="E57" s="184" t="s">
        <v>794</v>
      </c>
      <c r="F57" s="72" t="s">
        <v>795</v>
      </c>
      <c r="G57" s="185" t="s">
        <v>636</v>
      </c>
      <c r="H57" s="185" t="s">
        <v>796</v>
      </c>
    </row>
    <row r="58" spans="1:8" ht="15.75" customHeight="1">
      <c r="A58" s="72" t="s">
        <v>26</v>
      </c>
      <c r="B58" s="72" t="s">
        <v>3795</v>
      </c>
      <c r="C58" s="72" t="s">
        <v>819</v>
      </c>
      <c r="D58" s="72" t="s">
        <v>820</v>
      </c>
      <c r="E58" s="184" t="s">
        <v>794</v>
      </c>
      <c r="F58" s="72" t="s">
        <v>795</v>
      </c>
      <c r="G58" s="185" t="s">
        <v>636</v>
      </c>
      <c r="H58" s="185" t="s">
        <v>796</v>
      </c>
    </row>
    <row r="59" spans="1:8" ht="15.75" customHeight="1">
      <c r="A59" s="72" t="s">
        <v>26</v>
      </c>
      <c r="B59" s="72" t="s">
        <v>3795</v>
      </c>
      <c r="C59" s="72" t="s">
        <v>821</v>
      </c>
      <c r="D59" s="72" t="s">
        <v>822</v>
      </c>
      <c r="E59" s="184" t="s">
        <v>668</v>
      </c>
      <c r="F59" s="72" t="s">
        <v>669</v>
      </c>
      <c r="G59" s="185" t="s">
        <v>636</v>
      </c>
      <c r="H59" s="185" t="s">
        <v>670</v>
      </c>
    </row>
    <row r="60" spans="1:8" ht="15.75" customHeight="1">
      <c r="A60" s="72" t="s">
        <v>26</v>
      </c>
      <c r="B60" s="72" t="s">
        <v>3795</v>
      </c>
      <c r="C60" s="72" t="s">
        <v>823</v>
      </c>
      <c r="D60" s="72" t="s">
        <v>824</v>
      </c>
      <c r="E60" s="184" t="s">
        <v>668</v>
      </c>
      <c r="F60" s="72" t="s">
        <v>669</v>
      </c>
      <c r="G60" s="185" t="s">
        <v>636</v>
      </c>
      <c r="H60" s="185" t="s">
        <v>670</v>
      </c>
    </row>
    <row r="61" spans="1:8" ht="15.75" customHeight="1">
      <c r="A61" s="72" t="s">
        <v>26</v>
      </c>
      <c r="B61" s="72" t="s">
        <v>3795</v>
      </c>
      <c r="C61" s="72" t="s">
        <v>826</v>
      </c>
      <c r="D61" s="72" t="s">
        <v>827</v>
      </c>
      <c r="E61" s="184" t="s">
        <v>668</v>
      </c>
      <c r="F61" s="72" t="s">
        <v>669</v>
      </c>
      <c r="G61" s="185" t="s">
        <v>636</v>
      </c>
      <c r="H61" s="185" t="s">
        <v>670</v>
      </c>
    </row>
    <row r="62" spans="1:8" ht="15.75" customHeight="1">
      <c r="A62" s="72" t="s">
        <v>26</v>
      </c>
      <c r="B62" s="72" t="s">
        <v>3795</v>
      </c>
      <c r="C62" s="72" t="s">
        <v>829</v>
      </c>
      <c r="D62" s="72" t="s">
        <v>830</v>
      </c>
      <c r="E62" s="184" t="s">
        <v>794</v>
      </c>
      <c r="F62" s="72" t="s">
        <v>795</v>
      </c>
      <c r="G62" s="185" t="s">
        <v>636</v>
      </c>
      <c r="H62" s="185" t="s">
        <v>796</v>
      </c>
    </row>
    <row r="63" spans="1:8" ht="15.75" customHeight="1">
      <c r="A63" s="72" t="s">
        <v>26</v>
      </c>
      <c r="B63" s="72" t="s">
        <v>3795</v>
      </c>
      <c r="C63" s="72" t="s">
        <v>832</v>
      </c>
      <c r="D63" s="72" t="s">
        <v>833</v>
      </c>
      <c r="E63" s="184" t="s">
        <v>668</v>
      </c>
      <c r="F63" s="72" t="s">
        <v>669</v>
      </c>
      <c r="G63" s="185" t="s">
        <v>636</v>
      </c>
      <c r="H63" s="185" t="s">
        <v>670</v>
      </c>
    </row>
    <row r="64" spans="1:8" ht="15.75" customHeight="1">
      <c r="A64" s="72" t="s">
        <v>26</v>
      </c>
      <c r="B64" s="72" t="s">
        <v>3795</v>
      </c>
      <c r="C64" s="72" t="s">
        <v>835</v>
      </c>
      <c r="D64" s="72" t="s">
        <v>836</v>
      </c>
      <c r="E64" s="184" t="s">
        <v>641</v>
      </c>
      <c r="F64" s="72" t="s">
        <v>642</v>
      </c>
      <c r="G64" s="185" t="s">
        <v>643</v>
      </c>
      <c r="H64" s="185" t="s">
        <v>644</v>
      </c>
    </row>
    <row r="65" spans="1:8" ht="15.75" customHeight="1">
      <c r="A65" s="72" t="s">
        <v>26</v>
      </c>
      <c r="B65" s="72" t="s">
        <v>3795</v>
      </c>
      <c r="C65" s="72" t="s">
        <v>838</v>
      </c>
      <c r="D65" s="72" t="s">
        <v>839</v>
      </c>
      <c r="E65" s="184" t="s">
        <v>641</v>
      </c>
      <c r="F65" s="72" t="s">
        <v>642</v>
      </c>
      <c r="G65" s="185" t="s">
        <v>643</v>
      </c>
      <c r="H65" s="185" t="s">
        <v>644</v>
      </c>
    </row>
    <row r="66" spans="1:8" ht="15.75" customHeight="1">
      <c r="A66" s="72" t="s">
        <v>26</v>
      </c>
      <c r="B66" s="72" t="s">
        <v>3795</v>
      </c>
      <c r="C66" s="72" t="s">
        <v>841</v>
      </c>
      <c r="D66" s="72" t="s">
        <v>842</v>
      </c>
      <c r="E66" s="184" t="s">
        <v>641</v>
      </c>
      <c r="F66" s="72" t="s">
        <v>642</v>
      </c>
      <c r="G66" s="185" t="s">
        <v>643</v>
      </c>
      <c r="H66" s="185" t="s">
        <v>644</v>
      </c>
    </row>
    <row r="67" spans="1:8" ht="15.75" customHeight="1">
      <c r="A67" s="72" t="s">
        <v>26</v>
      </c>
      <c r="B67" s="72" t="s">
        <v>3795</v>
      </c>
      <c r="C67" s="72" t="s">
        <v>844</v>
      </c>
      <c r="D67" s="72" t="s">
        <v>845</v>
      </c>
      <c r="E67" s="184" t="s">
        <v>641</v>
      </c>
      <c r="F67" s="72" t="s">
        <v>642</v>
      </c>
      <c r="G67" s="185" t="s">
        <v>643</v>
      </c>
      <c r="H67" s="185" t="s">
        <v>644</v>
      </c>
    </row>
    <row r="68" spans="1:8" ht="15.75" customHeight="1">
      <c r="A68" s="72" t="s">
        <v>26</v>
      </c>
      <c r="B68" s="72" t="s">
        <v>3795</v>
      </c>
      <c r="C68" s="72" t="s">
        <v>847</v>
      </c>
      <c r="D68" s="72" t="s">
        <v>848</v>
      </c>
      <c r="E68" s="184" t="s">
        <v>641</v>
      </c>
      <c r="F68" s="72" t="s">
        <v>642</v>
      </c>
      <c r="G68" s="185" t="s">
        <v>643</v>
      </c>
      <c r="H68" s="185" t="s">
        <v>644</v>
      </c>
    </row>
    <row r="69" spans="1:8" ht="15.75" customHeight="1">
      <c r="A69" s="72" t="s">
        <v>26</v>
      </c>
      <c r="B69" s="72" t="s">
        <v>3795</v>
      </c>
      <c r="C69" s="72" t="s">
        <v>850</v>
      </c>
      <c r="D69" s="72" t="s">
        <v>851</v>
      </c>
      <c r="E69" s="184" t="s">
        <v>641</v>
      </c>
      <c r="F69" s="72" t="s">
        <v>642</v>
      </c>
      <c r="G69" s="185" t="s">
        <v>643</v>
      </c>
      <c r="H69" s="185" t="s">
        <v>644</v>
      </c>
    </row>
    <row r="70" spans="1:8" ht="15.75" customHeight="1">
      <c r="A70" s="72" t="s">
        <v>26</v>
      </c>
      <c r="B70" s="72" t="s">
        <v>3795</v>
      </c>
      <c r="C70" s="72" t="s">
        <v>853</v>
      </c>
      <c r="D70" s="72" t="s">
        <v>854</v>
      </c>
      <c r="E70" s="184" t="s">
        <v>641</v>
      </c>
      <c r="F70" s="72" t="s">
        <v>642</v>
      </c>
      <c r="G70" s="185" t="s">
        <v>643</v>
      </c>
      <c r="H70" s="185" t="s">
        <v>644</v>
      </c>
    </row>
    <row r="71" spans="1:8" ht="15.75" customHeight="1">
      <c r="A71" s="72" t="s">
        <v>26</v>
      </c>
      <c r="B71" s="72" t="s">
        <v>3795</v>
      </c>
      <c r="C71" s="72" t="s">
        <v>856</v>
      </c>
      <c r="D71" s="72" t="s">
        <v>857</v>
      </c>
      <c r="E71" s="184" t="s">
        <v>648</v>
      </c>
      <c r="F71" s="72" t="s">
        <v>649</v>
      </c>
      <c r="G71" s="185" t="s">
        <v>636</v>
      </c>
      <c r="H71" s="185" t="s">
        <v>650</v>
      </c>
    </row>
    <row r="72" spans="1:8" ht="15.75" customHeight="1">
      <c r="A72" s="72" t="s">
        <v>26</v>
      </c>
      <c r="B72" s="72" t="s">
        <v>3795</v>
      </c>
      <c r="C72" s="72" t="s">
        <v>859</v>
      </c>
      <c r="D72" s="72" t="s">
        <v>860</v>
      </c>
      <c r="E72" s="184" t="s">
        <v>648</v>
      </c>
      <c r="F72" s="72" t="s">
        <v>649</v>
      </c>
      <c r="G72" s="185" t="s">
        <v>636</v>
      </c>
      <c r="H72" s="185" t="s">
        <v>650</v>
      </c>
    </row>
    <row r="73" spans="1:8" ht="15.75" customHeight="1">
      <c r="A73" s="72" t="s">
        <v>26</v>
      </c>
      <c r="B73" s="72" t="s">
        <v>3795</v>
      </c>
      <c r="C73" s="72" t="s">
        <v>862</v>
      </c>
      <c r="D73" s="72" t="s">
        <v>863</v>
      </c>
      <c r="E73" s="184" t="s">
        <v>641</v>
      </c>
      <c r="F73" s="72" t="s">
        <v>642</v>
      </c>
      <c r="G73" s="185" t="s">
        <v>643</v>
      </c>
      <c r="H73" s="185" t="s">
        <v>644</v>
      </c>
    </row>
    <row r="74" spans="1:8" ht="15.75" customHeight="1">
      <c r="A74" s="72" t="s">
        <v>26</v>
      </c>
      <c r="B74" s="72" t="s">
        <v>3795</v>
      </c>
      <c r="C74" s="72" t="s">
        <v>865</v>
      </c>
      <c r="D74" s="72" t="s">
        <v>866</v>
      </c>
      <c r="E74" s="184" t="s">
        <v>648</v>
      </c>
      <c r="F74" s="72" t="s">
        <v>649</v>
      </c>
      <c r="G74" s="185" t="s">
        <v>636</v>
      </c>
      <c r="H74" s="185" t="s">
        <v>650</v>
      </c>
    </row>
    <row r="75" spans="1:8" ht="15.75" customHeight="1">
      <c r="A75" s="72" t="s">
        <v>26</v>
      </c>
      <c r="B75" s="72" t="s">
        <v>3795</v>
      </c>
      <c r="C75" s="72" t="s">
        <v>868</v>
      </c>
      <c r="D75" s="72" t="s">
        <v>869</v>
      </c>
      <c r="E75" s="184" t="s">
        <v>648</v>
      </c>
      <c r="F75" s="72" t="s">
        <v>649</v>
      </c>
      <c r="G75" s="185" t="s">
        <v>636</v>
      </c>
      <c r="H75" s="185" t="s">
        <v>650</v>
      </c>
    </row>
    <row r="76" spans="1:8" ht="15.75" customHeight="1">
      <c r="A76" s="72" t="s">
        <v>26</v>
      </c>
      <c r="B76" s="72" t="s">
        <v>3795</v>
      </c>
      <c r="C76" s="72" t="s">
        <v>871</v>
      </c>
      <c r="D76" s="72" t="s">
        <v>872</v>
      </c>
      <c r="E76" s="184" t="s">
        <v>641</v>
      </c>
      <c r="F76" s="72" t="s">
        <v>642</v>
      </c>
      <c r="G76" s="185" t="s">
        <v>643</v>
      </c>
      <c r="H76" s="185" t="s">
        <v>644</v>
      </c>
    </row>
    <row r="77" spans="1:8" ht="15.75" customHeight="1">
      <c r="A77" s="72" t="s">
        <v>26</v>
      </c>
      <c r="B77" s="72" t="s">
        <v>3795</v>
      </c>
      <c r="C77" s="72" t="s">
        <v>874</v>
      </c>
      <c r="D77" s="72" t="s">
        <v>875</v>
      </c>
      <c r="E77" s="184" t="s">
        <v>648</v>
      </c>
      <c r="F77" s="72" t="s">
        <v>649</v>
      </c>
      <c r="G77" s="185" t="s">
        <v>636</v>
      </c>
      <c r="H77" s="185" t="s">
        <v>650</v>
      </c>
    </row>
    <row r="78" spans="1:8" ht="15.75" customHeight="1">
      <c r="A78" s="72" t="s">
        <v>26</v>
      </c>
      <c r="B78" s="72" t="s">
        <v>3795</v>
      </c>
      <c r="C78" s="72" t="s">
        <v>877</v>
      </c>
      <c r="D78" s="72" t="s">
        <v>878</v>
      </c>
      <c r="E78" s="184" t="s">
        <v>668</v>
      </c>
      <c r="F78" s="72" t="s">
        <v>669</v>
      </c>
      <c r="G78" s="185" t="s">
        <v>636</v>
      </c>
      <c r="H78" s="185" t="s">
        <v>670</v>
      </c>
    </row>
    <row r="79" spans="1:8" ht="15.75" customHeight="1">
      <c r="A79" s="72" t="s">
        <v>26</v>
      </c>
      <c r="B79" s="72" t="s">
        <v>3795</v>
      </c>
      <c r="C79" s="72" t="s">
        <v>880</v>
      </c>
      <c r="D79" s="72" t="s">
        <v>881</v>
      </c>
      <c r="E79" s="184" t="s">
        <v>668</v>
      </c>
      <c r="F79" s="72" t="s">
        <v>669</v>
      </c>
      <c r="G79" s="185" t="s">
        <v>636</v>
      </c>
      <c r="H79" s="185" t="s">
        <v>670</v>
      </c>
    </row>
    <row r="80" spans="1:8" ht="15.75" customHeight="1">
      <c r="A80" s="72" t="s">
        <v>26</v>
      </c>
      <c r="B80" s="72" t="s">
        <v>3795</v>
      </c>
      <c r="C80" s="72" t="s">
        <v>883</v>
      </c>
      <c r="D80" s="72" t="s">
        <v>884</v>
      </c>
      <c r="E80" s="184" t="s">
        <v>668</v>
      </c>
      <c r="F80" s="72" t="s">
        <v>669</v>
      </c>
      <c r="G80" s="185" t="s">
        <v>636</v>
      </c>
      <c r="H80" s="185" t="s">
        <v>670</v>
      </c>
    </row>
    <row r="81" spans="1:8" ht="15.75" customHeight="1">
      <c r="A81" s="72" t="s">
        <v>26</v>
      </c>
      <c r="B81" s="72" t="s">
        <v>3795</v>
      </c>
      <c r="C81" s="72" t="s">
        <v>886</v>
      </c>
      <c r="D81" s="72" t="s">
        <v>887</v>
      </c>
      <c r="E81" s="184" t="s">
        <v>668</v>
      </c>
      <c r="F81" s="72" t="s">
        <v>669</v>
      </c>
      <c r="G81" s="185" t="s">
        <v>636</v>
      </c>
      <c r="H81" s="185" t="s">
        <v>670</v>
      </c>
    </row>
    <row r="82" spans="1:8" ht="15.75" customHeight="1">
      <c r="A82" s="72" t="s">
        <v>26</v>
      </c>
      <c r="B82" s="72" t="s">
        <v>3795</v>
      </c>
      <c r="C82" s="72" t="s">
        <v>889</v>
      </c>
      <c r="D82" s="72" t="s">
        <v>890</v>
      </c>
      <c r="E82" s="184" t="s">
        <v>668</v>
      </c>
      <c r="F82" s="72" t="s">
        <v>669</v>
      </c>
      <c r="G82" s="185" t="s">
        <v>636</v>
      </c>
      <c r="H82" s="185" t="s">
        <v>670</v>
      </c>
    </row>
    <row r="83" spans="1:8" ht="15.75" customHeight="1">
      <c r="A83" s="72" t="s">
        <v>26</v>
      </c>
      <c r="B83" s="72" t="s">
        <v>3795</v>
      </c>
      <c r="C83" s="72" t="s">
        <v>892</v>
      </c>
      <c r="D83" s="72" t="s">
        <v>893</v>
      </c>
      <c r="E83" s="184" t="s">
        <v>648</v>
      </c>
      <c r="F83" s="72" t="s">
        <v>649</v>
      </c>
      <c r="G83" s="185" t="s">
        <v>636</v>
      </c>
      <c r="H83" s="185" t="s">
        <v>650</v>
      </c>
    </row>
    <row r="84" spans="1:8" ht="15.75" customHeight="1">
      <c r="A84" s="72" t="s">
        <v>26</v>
      </c>
      <c r="B84" s="72" t="s">
        <v>3795</v>
      </c>
      <c r="C84" s="72" t="s">
        <v>895</v>
      </c>
      <c r="D84" s="72" t="s">
        <v>896</v>
      </c>
      <c r="E84" s="184" t="s">
        <v>641</v>
      </c>
      <c r="F84" s="72" t="s">
        <v>642</v>
      </c>
      <c r="G84" s="185" t="s">
        <v>643</v>
      </c>
      <c r="H84" s="185" t="s">
        <v>644</v>
      </c>
    </row>
    <row r="85" spans="1:8" ht="15.75" customHeight="1">
      <c r="A85" s="72" t="s">
        <v>26</v>
      </c>
      <c r="B85" s="72" t="s">
        <v>3795</v>
      </c>
      <c r="C85" s="72" t="s">
        <v>895</v>
      </c>
      <c r="D85" s="72" t="s">
        <v>896</v>
      </c>
      <c r="E85" s="184" t="s">
        <v>648</v>
      </c>
      <c r="F85" s="72" t="s">
        <v>649</v>
      </c>
      <c r="G85" s="185" t="s">
        <v>636</v>
      </c>
      <c r="H85" s="185" t="s">
        <v>650</v>
      </c>
    </row>
    <row r="86" spans="1:8" ht="15.75" customHeight="1">
      <c r="A86" s="72" t="s">
        <v>26</v>
      </c>
      <c r="B86" s="72" t="s">
        <v>3795</v>
      </c>
      <c r="C86" s="72" t="s">
        <v>899</v>
      </c>
      <c r="D86" s="72" t="s">
        <v>900</v>
      </c>
      <c r="E86" s="184" t="s">
        <v>648</v>
      </c>
      <c r="F86" s="72" t="s">
        <v>649</v>
      </c>
      <c r="G86" s="185" t="s">
        <v>636</v>
      </c>
      <c r="H86" s="185" t="s">
        <v>650</v>
      </c>
    </row>
    <row r="87" spans="1:8" ht="15.75" customHeight="1">
      <c r="A87" s="72" t="s">
        <v>26</v>
      </c>
      <c r="B87" s="72" t="s">
        <v>3795</v>
      </c>
      <c r="C87" s="72" t="s">
        <v>902</v>
      </c>
      <c r="D87" s="72" t="s">
        <v>903</v>
      </c>
      <c r="E87" s="184" t="s">
        <v>648</v>
      </c>
      <c r="F87" s="72" t="s">
        <v>649</v>
      </c>
      <c r="G87" s="185" t="s">
        <v>636</v>
      </c>
      <c r="H87" s="185" t="s">
        <v>650</v>
      </c>
    </row>
    <row r="88" spans="1:8" ht="15.75" customHeight="1">
      <c r="A88" s="72" t="s">
        <v>26</v>
      </c>
      <c r="B88" s="72" t="s">
        <v>3795</v>
      </c>
      <c r="C88" s="72" t="s">
        <v>905</v>
      </c>
      <c r="D88" s="72" t="s">
        <v>906</v>
      </c>
      <c r="E88" s="184" t="s">
        <v>641</v>
      </c>
      <c r="F88" s="72" t="s">
        <v>642</v>
      </c>
      <c r="G88" s="185" t="s">
        <v>643</v>
      </c>
      <c r="H88" s="185" t="s">
        <v>644</v>
      </c>
    </row>
    <row r="89" spans="1:8" ht="15.75" customHeight="1">
      <c r="A89" s="72" t="s">
        <v>26</v>
      </c>
      <c r="B89" s="72" t="s">
        <v>3795</v>
      </c>
      <c r="C89" s="72" t="s">
        <v>908</v>
      </c>
      <c r="D89" s="72" t="s">
        <v>909</v>
      </c>
      <c r="E89" s="184" t="s">
        <v>641</v>
      </c>
      <c r="F89" s="72" t="s">
        <v>642</v>
      </c>
      <c r="G89" s="185" t="s">
        <v>643</v>
      </c>
      <c r="H89" s="185" t="s">
        <v>644</v>
      </c>
    </row>
    <row r="90" spans="1:8" ht="15.75" customHeight="1">
      <c r="A90" s="72" t="s">
        <v>26</v>
      </c>
      <c r="B90" s="72" t="s">
        <v>3795</v>
      </c>
      <c r="C90" s="72" t="s">
        <v>911</v>
      </c>
      <c r="D90" s="72" t="s">
        <v>912</v>
      </c>
      <c r="E90" s="184" t="s">
        <v>641</v>
      </c>
      <c r="F90" s="72" t="s">
        <v>642</v>
      </c>
      <c r="G90" s="185" t="s">
        <v>643</v>
      </c>
      <c r="H90" s="185" t="s">
        <v>644</v>
      </c>
    </row>
    <row r="91" spans="1:8" ht="15.75" customHeight="1">
      <c r="A91" s="72" t="s">
        <v>26</v>
      </c>
      <c r="B91" s="72" t="s">
        <v>3795</v>
      </c>
      <c r="C91" s="72" t="s">
        <v>914</v>
      </c>
      <c r="D91" s="72" t="s">
        <v>915</v>
      </c>
      <c r="E91" s="184" t="s">
        <v>648</v>
      </c>
      <c r="F91" s="72" t="s">
        <v>649</v>
      </c>
      <c r="G91" s="185" t="s">
        <v>636</v>
      </c>
      <c r="H91" s="185" t="s">
        <v>650</v>
      </c>
    </row>
    <row r="92" spans="1:8" ht="15.75" customHeight="1">
      <c r="A92" s="72" t="s">
        <v>26</v>
      </c>
      <c r="B92" s="72" t="s">
        <v>3795</v>
      </c>
      <c r="C92" s="72" t="s">
        <v>917</v>
      </c>
      <c r="D92" s="72" t="s">
        <v>918</v>
      </c>
      <c r="E92" s="184" t="s">
        <v>648</v>
      </c>
      <c r="F92" s="72" t="s">
        <v>649</v>
      </c>
      <c r="G92" s="185" t="s">
        <v>636</v>
      </c>
      <c r="H92" s="185" t="s">
        <v>650</v>
      </c>
    </row>
    <row r="93" spans="1:8" ht="15.75" customHeight="1">
      <c r="A93" s="72" t="s">
        <v>26</v>
      </c>
      <c r="B93" s="72" t="s">
        <v>3795</v>
      </c>
      <c r="C93" s="72" t="s">
        <v>920</v>
      </c>
      <c r="D93" s="72" t="s">
        <v>921</v>
      </c>
      <c r="E93" s="184" t="s">
        <v>648</v>
      </c>
      <c r="F93" s="72" t="s">
        <v>649</v>
      </c>
      <c r="G93" s="185" t="s">
        <v>636</v>
      </c>
      <c r="H93" s="185" t="s">
        <v>650</v>
      </c>
    </row>
    <row r="94" spans="1:8" ht="15.75" customHeight="1">
      <c r="A94" s="72" t="s">
        <v>26</v>
      </c>
      <c r="B94" s="72" t="s">
        <v>3795</v>
      </c>
      <c r="C94" s="72" t="s">
        <v>923</v>
      </c>
      <c r="D94" s="72" t="s">
        <v>924</v>
      </c>
      <c r="E94" s="184" t="s">
        <v>648</v>
      </c>
      <c r="F94" s="72" t="s">
        <v>649</v>
      </c>
      <c r="G94" s="185" t="s">
        <v>636</v>
      </c>
      <c r="H94" s="185" t="s">
        <v>650</v>
      </c>
    </row>
    <row r="95" spans="1:8" ht="15.75" customHeight="1">
      <c r="A95" s="72" t="s">
        <v>26</v>
      </c>
      <c r="B95" s="72" t="s">
        <v>3795</v>
      </c>
      <c r="C95" s="72" t="s">
        <v>926</v>
      </c>
      <c r="D95" s="72" t="s">
        <v>927</v>
      </c>
      <c r="E95" s="184" t="s">
        <v>648</v>
      </c>
      <c r="F95" s="72" t="s">
        <v>649</v>
      </c>
      <c r="G95" s="185" t="s">
        <v>636</v>
      </c>
      <c r="H95" s="185" t="s">
        <v>650</v>
      </c>
    </row>
    <row r="96" spans="1:8" ht="15.75" customHeight="1">
      <c r="A96" s="72" t="s">
        <v>26</v>
      </c>
      <c r="B96" s="72" t="s">
        <v>3795</v>
      </c>
      <c r="C96" s="72" t="s">
        <v>929</v>
      </c>
      <c r="D96" s="72" t="s">
        <v>930</v>
      </c>
      <c r="E96" s="184" t="s">
        <v>648</v>
      </c>
      <c r="F96" s="72" t="s">
        <v>649</v>
      </c>
      <c r="G96" s="185" t="s">
        <v>636</v>
      </c>
      <c r="H96" s="185" t="s">
        <v>650</v>
      </c>
    </row>
    <row r="97" spans="1:8" ht="15.75" customHeight="1">
      <c r="A97" s="72" t="s">
        <v>26</v>
      </c>
      <c r="B97" s="72" t="s">
        <v>3795</v>
      </c>
      <c r="C97" s="72" t="s">
        <v>932</v>
      </c>
      <c r="D97" s="72" t="s">
        <v>933</v>
      </c>
      <c r="E97" s="184" t="s">
        <v>648</v>
      </c>
      <c r="F97" s="72" t="s">
        <v>649</v>
      </c>
      <c r="G97" s="185" t="s">
        <v>636</v>
      </c>
      <c r="H97" s="185" t="s">
        <v>650</v>
      </c>
    </row>
    <row r="98" spans="1:8" ht="15.75" customHeight="1">
      <c r="A98" s="72" t="s">
        <v>26</v>
      </c>
      <c r="B98" s="72" t="s">
        <v>3795</v>
      </c>
      <c r="C98" s="72" t="s">
        <v>935</v>
      </c>
      <c r="D98" s="72" t="s">
        <v>936</v>
      </c>
      <c r="E98" s="184" t="s">
        <v>648</v>
      </c>
      <c r="F98" s="72" t="s">
        <v>649</v>
      </c>
      <c r="G98" s="185" t="s">
        <v>636</v>
      </c>
      <c r="H98" s="185" t="s">
        <v>650</v>
      </c>
    </row>
    <row r="99" spans="1:8" ht="15.75" customHeight="1">
      <c r="A99" s="72" t="s">
        <v>26</v>
      </c>
      <c r="B99" s="72" t="s">
        <v>3795</v>
      </c>
      <c r="C99" s="72" t="s">
        <v>938</v>
      </c>
      <c r="D99" s="72" t="s">
        <v>939</v>
      </c>
      <c r="E99" s="184" t="s">
        <v>641</v>
      </c>
      <c r="F99" s="72" t="s">
        <v>642</v>
      </c>
      <c r="G99" s="185" t="s">
        <v>643</v>
      </c>
      <c r="H99" s="185" t="s">
        <v>644</v>
      </c>
    </row>
    <row r="100" spans="1:8" ht="15.75" customHeight="1">
      <c r="A100" s="72" t="s">
        <v>26</v>
      </c>
      <c r="B100" s="72" t="s">
        <v>3795</v>
      </c>
      <c r="C100" s="72" t="s">
        <v>941</v>
      </c>
      <c r="D100" s="72" t="s">
        <v>942</v>
      </c>
      <c r="E100" s="184" t="s">
        <v>770</v>
      </c>
      <c r="F100" s="72" t="s">
        <v>771</v>
      </c>
      <c r="G100" s="185" t="s">
        <v>636</v>
      </c>
      <c r="H100" s="185" t="s">
        <v>772</v>
      </c>
    </row>
    <row r="101" spans="1:8" ht="15.75" customHeight="1">
      <c r="A101" s="72" t="s">
        <v>26</v>
      </c>
      <c r="B101" s="72" t="s">
        <v>3795</v>
      </c>
      <c r="C101" s="72" t="s">
        <v>944</v>
      </c>
      <c r="D101" s="72" t="s">
        <v>945</v>
      </c>
      <c r="E101" s="184" t="s">
        <v>648</v>
      </c>
      <c r="F101" s="72" t="s">
        <v>649</v>
      </c>
      <c r="G101" s="185" t="s">
        <v>636</v>
      </c>
      <c r="H101" s="185" t="s">
        <v>650</v>
      </c>
    </row>
    <row r="102" spans="1:8" ht="15.75" customHeight="1">
      <c r="A102" s="72" t="s">
        <v>26</v>
      </c>
      <c r="B102" s="72" t="s">
        <v>3795</v>
      </c>
      <c r="C102" s="72" t="s">
        <v>947</v>
      </c>
      <c r="D102" s="72" t="s">
        <v>948</v>
      </c>
      <c r="E102" s="184" t="s">
        <v>641</v>
      </c>
      <c r="F102" s="72" t="s">
        <v>642</v>
      </c>
      <c r="G102" s="185" t="s">
        <v>643</v>
      </c>
      <c r="H102" s="185" t="s">
        <v>644</v>
      </c>
    </row>
    <row r="103" spans="1:8" ht="15.75" customHeight="1">
      <c r="A103" s="72" t="s">
        <v>26</v>
      </c>
      <c r="B103" s="72" t="s">
        <v>3795</v>
      </c>
      <c r="C103" s="72" t="s">
        <v>950</v>
      </c>
      <c r="D103" s="72" t="s">
        <v>951</v>
      </c>
      <c r="E103" s="184" t="s">
        <v>641</v>
      </c>
      <c r="F103" s="72" t="s">
        <v>642</v>
      </c>
      <c r="G103" s="185" t="s">
        <v>643</v>
      </c>
      <c r="H103" s="185" t="s">
        <v>644</v>
      </c>
    </row>
    <row r="104" spans="1:8" ht="15.75" customHeight="1">
      <c r="A104" s="72" t="s">
        <v>26</v>
      </c>
      <c r="B104" s="72" t="s">
        <v>3795</v>
      </c>
      <c r="C104" s="72" t="s">
        <v>953</v>
      </c>
      <c r="D104" s="72" t="s">
        <v>954</v>
      </c>
      <c r="E104" s="184" t="s">
        <v>648</v>
      </c>
      <c r="F104" s="72" t="s">
        <v>649</v>
      </c>
      <c r="G104" s="185" t="s">
        <v>636</v>
      </c>
      <c r="H104" s="185" t="s">
        <v>650</v>
      </c>
    </row>
    <row r="105" spans="1:8" ht="15.75" customHeight="1">
      <c r="A105" s="72" t="s">
        <v>26</v>
      </c>
      <c r="B105" s="72" t="s">
        <v>3795</v>
      </c>
      <c r="C105" s="72" t="s">
        <v>956</v>
      </c>
      <c r="D105" s="72" t="s">
        <v>957</v>
      </c>
      <c r="E105" s="184" t="s">
        <v>668</v>
      </c>
      <c r="F105" s="72" t="s">
        <v>669</v>
      </c>
      <c r="G105" s="185" t="s">
        <v>636</v>
      </c>
      <c r="H105" s="185" t="s">
        <v>670</v>
      </c>
    </row>
    <row r="106" spans="1:8" ht="15.75" customHeight="1">
      <c r="A106" s="72" t="s">
        <v>26</v>
      </c>
      <c r="B106" s="72" t="s">
        <v>3795</v>
      </c>
      <c r="C106" s="72" t="s">
        <v>959</v>
      </c>
      <c r="D106" s="72" t="s">
        <v>960</v>
      </c>
      <c r="E106" s="184" t="s">
        <v>641</v>
      </c>
      <c r="F106" s="72" t="s">
        <v>642</v>
      </c>
      <c r="G106" s="185" t="s">
        <v>643</v>
      </c>
      <c r="H106" s="185" t="s">
        <v>644</v>
      </c>
    </row>
    <row r="107" spans="1:8" ht="15.75" customHeight="1">
      <c r="A107" s="72" t="s">
        <v>26</v>
      </c>
      <c r="B107" s="72" t="s">
        <v>3795</v>
      </c>
      <c r="C107" s="72" t="s">
        <v>962</v>
      </c>
      <c r="D107" s="72" t="s">
        <v>963</v>
      </c>
      <c r="E107" s="184" t="s">
        <v>648</v>
      </c>
      <c r="F107" s="72" t="s">
        <v>649</v>
      </c>
      <c r="G107" s="185" t="s">
        <v>636</v>
      </c>
      <c r="H107" s="185" t="s">
        <v>650</v>
      </c>
    </row>
    <row r="108" spans="1:8" ht="15.75" customHeight="1">
      <c r="A108" s="72" t="s">
        <v>26</v>
      </c>
      <c r="B108" s="72" t="s">
        <v>3795</v>
      </c>
      <c r="C108" s="72" t="s">
        <v>965</v>
      </c>
      <c r="D108" s="72" t="s">
        <v>966</v>
      </c>
      <c r="E108" s="184" t="s">
        <v>648</v>
      </c>
      <c r="F108" s="72" t="s">
        <v>649</v>
      </c>
      <c r="G108" s="185" t="s">
        <v>636</v>
      </c>
      <c r="H108" s="185" t="s">
        <v>650</v>
      </c>
    </row>
    <row r="109" spans="1:8" ht="15.75" customHeight="1">
      <c r="A109" s="72" t="s">
        <v>26</v>
      </c>
      <c r="B109" s="72" t="s">
        <v>3795</v>
      </c>
      <c r="C109" s="72" t="s">
        <v>968</v>
      </c>
      <c r="D109" s="72" t="s">
        <v>969</v>
      </c>
      <c r="E109" s="184" t="s">
        <v>648</v>
      </c>
      <c r="F109" s="72" t="s">
        <v>649</v>
      </c>
      <c r="G109" s="185" t="s">
        <v>636</v>
      </c>
      <c r="H109" s="185" t="s">
        <v>650</v>
      </c>
    </row>
    <row r="110" spans="1:8" ht="15.75" customHeight="1">
      <c r="A110" s="72" t="s">
        <v>26</v>
      </c>
      <c r="B110" s="72" t="s">
        <v>3795</v>
      </c>
      <c r="C110" s="72" t="s">
        <v>971</v>
      </c>
      <c r="D110" s="72" t="s">
        <v>972</v>
      </c>
      <c r="E110" s="184" t="s">
        <v>648</v>
      </c>
      <c r="F110" s="72" t="s">
        <v>649</v>
      </c>
      <c r="G110" s="185" t="s">
        <v>636</v>
      </c>
      <c r="H110" s="185" t="s">
        <v>650</v>
      </c>
    </row>
    <row r="111" spans="1:8" ht="15.75" customHeight="1">
      <c r="A111" s="72" t="s">
        <v>26</v>
      </c>
      <c r="B111" s="72" t="s">
        <v>3795</v>
      </c>
      <c r="C111" s="72" t="s">
        <v>974</v>
      </c>
      <c r="D111" s="72" t="s">
        <v>975</v>
      </c>
      <c r="E111" s="184" t="s">
        <v>648</v>
      </c>
      <c r="F111" s="72" t="s">
        <v>649</v>
      </c>
      <c r="G111" s="185" t="s">
        <v>636</v>
      </c>
      <c r="H111" s="185" t="s">
        <v>650</v>
      </c>
    </row>
    <row r="112" spans="1:8" ht="15.75" customHeight="1">
      <c r="A112" s="72" t="s">
        <v>26</v>
      </c>
      <c r="B112" s="72" t="s">
        <v>3795</v>
      </c>
      <c r="C112" s="72" t="s">
        <v>977</v>
      </c>
      <c r="D112" s="72" t="s">
        <v>978</v>
      </c>
      <c r="E112" s="184" t="s">
        <v>648</v>
      </c>
      <c r="F112" s="72" t="s">
        <v>649</v>
      </c>
      <c r="G112" s="185" t="s">
        <v>636</v>
      </c>
      <c r="H112" s="185" t="s">
        <v>650</v>
      </c>
    </row>
    <row r="113" spans="1:8" ht="15.75" customHeight="1">
      <c r="A113" s="72" t="s">
        <v>26</v>
      </c>
      <c r="B113" s="72" t="s">
        <v>3795</v>
      </c>
      <c r="C113" s="72" t="s">
        <v>980</v>
      </c>
      <c r="D113" s="72" t="s">
        <v>981</v>
      </c>
      <c r="E113" s="184" t="s">
        <v>641</v>
      </c>
      <c r="F113" s="72" t="s">
        <v>642</v>
      </c>
      <c r="G113" s="185" t="s">
        <v>643</v>
      </c>
      <c r="H113" s="185" t="s">
        <v>644</v>
      </c>
    </row>
    <row r="114" spans="1:8" ht="15.75" customHeight="1">
      <c r="A114" s="72" t="s">
        <v>26</v>
      </c>
      <c r="B114" s="72" t="s">
        <v>3795</v>
      </c>
      <c r="C114" s="72" t="s">
        <v>983</v>
      </c>
      <c r="D114" s="72" t="s">
        <v>984</v>
      </c>
      <c r="E114" s="184" t="s">
        <v>634</v>
      </c>
      <c r="F114" s="72" t="s">
        <v>635</v>
      </c>
      <c r="G114" s="185" t="s">
        <v>636</v>
      </c>
      <c r="H114" s="185" t="s">
        <v>637</v>
      </c>
    </row>
    <row r="115" spans="1:8" ht="15.75" customHeight="1">
      <c r="A115" s="72" t="s">
        <v>26</v>
      </c>
      <c r="B115" s="72" t="s">
        <v>3795</v>
      </c>
      <c r="C115" s="72" t="s">
        <v>986</v>
      </c>
      <c r="D115" s="72" t="s">
        <v>987</v>
      </c>
      <c r="E115" s="184" t="s">
        <v>648</v>
      </c>
      <c r="F115" s="72" t="s">
        <v>649</v>
      </c>
      <c r="G115" s="185" t="s">
        <v>636</v>
      </c>
      <c r="H115" s="185" t="s">
        <v>650</v>
      </c>
    </row>
    <row r="116" spans="1:8" ht="15.75" customHeight="1">
      <c r="A116" s="72" t="s">
        <v>26</v>
      </c>
      <c r="B116" s="72" t="s">
        <v>3795</v>
      </c>
      <c r="C116" s="72" t="s">
        <v>989</v>
      </c>
      <c r="D116" s="72" t="s">
        <v>990</v>
      </c>
      <c r="E116" s="184" t="s">
        <v>648</v>
      </c>
      <c r="F116" s="72" t="s">
        <v>649</v>
      </c>
      <c r="G116" s="185" t="s">
        <v>636</v>
      </c>
      <c r="H116" s="185" t="s">
        <v>650</v>
      </c>
    </row>
    <row r="117" spans="1:8" ht="15.75" customHeight="1">
      <c r="A117" s="72" t="s">
        <v>26</v>
      </c>
      <c r="B117" s="72" t="s">
        <v>3795</v>
      </c>
      <c r="C117" s="72" t="s">
        <v>992</v>
      </c>
      <c r="D117" s="72" t="s">
        <v>993</v>
      </c>
      <c r="E117" s="184" t="s">
        <v>641</v>
      </c>
      <c r="F117" s="72" t="s">
        <v>642</v>
      </c>
      <c r="G117" s="185" t="s">
        <v>643</v>
      </c>
      <c r="H117" s="185" t="s">
        <v>644</v>
      </c>
    </row>
    <row r="118" spans="1:8" ht="15.75" customHeight="1">
      <c r="A118" s="72" t="s">
        <v>26</v>
      </c>
      <c r="B118" s="72" t="s">
        <v>3795</v>
      </c>
      <c r="C118" s="72" t="s">
        <v>995</v>
      </c>
      <c r="D118" s="72" t="s">
        <v>996</v>
      </c>
      <c r="E118" s="184" t="s">
        <v>634</v>
      </c>
      <c r="F118" s="72" t="s">
        <v>635</v>
      </c>
      <c r="G118" s="185" t="s">
        <v>636</v>
      </c>
      <c r="H118" s="185" t="s">
        <v>637</v>
      </c>
    </row>
    <row r="119" spans="1:8" ht="15.75" customHeight="1">
      <c r="A119" s="72" t="s">
        <v>26</v>
      </c>
      <c r="B119" s="72" t="s">
        <v>3795</v>
      </c>
      <c r="C119" s="72" t="s">
        <v>998</v>
      </c>
      <c r="D119" s="72" t="s">
        <v>999</v>
      </c>
      <c r="E119" s="184" t="s">
        <v>770</v>
      </c>
      <c r="F119" s="72" t="s">
        <v>771</v>
      </c>
      <c r="G119" s="185" t="s">
        <v>636</v>
      </c>
      <c r="H119" s="185" t="s">
        <v>772</v>
      </c>
    </row>
    <row r="120" spans="1:8" ht="15.75" customHeight="1">
      <c r="A120" s="72" t="s">
        <v>26</v>
      </c>
      <c r="B120" s="72" t="s">
        <v>3795</v>
      </c>
      <c r="C120" s="72" t="s">
        <v>1001</v>
      </c>
      <c r="D120" s="72" t="s">
        <v>1002</v>
      </c>
      <c r="E120" s="184" t="s">
        <v>656</v>
      </c>
      <c r="F120" s="72" t="s">
        <v>657</v>
      </c>
      <c r="G120" s="185" t="s">
        <v>636</v>
      </c>
      <c r="H120" s="185" t="s">
        <v>658</v>
      </c>
    </row>
    <row r="121" spans="1:8" ht="15.75" customHeight="1">
      <c r="A121" s="72" t="s">
        <v>26</v>
      </c>
      <c r="B121" s="72" t="s">
        <v>3795</v>
      </c>
      <c r="C121" s="72" t="s">
        <v>1004</v>
      </c>
      <c r="D121" s="72" t="s">
        <v>1005</v>
      </c>
      <c r="E121" s="184" t="s">
        <v>705</v>
      </c>
      <c r="F121" s="72" t="s">
        <v>706</v>
      </c>
      <c r="G121" s="185" t="s">
        <v>636</v>
      </c>
      <c r="H121" s="185" t="s">
        <v>637</v>
      </c>
    </row>
    <row r="122" spans="1:8" ht="15.75" customHeight="1">
      <c r="A122" s="72" t="s">
        <v>26</v>
      </c>
      <c r="B122" s="72" t="s">
        <v>3795</v>
      </c>
      <c r="C122" s="72" t="s">
        <v>1007</v>
      </c>
      <c r="D122" s="72" t="s">
        <v>1008</v>
      </c>
      <c r="E122" s="184" t="s">
        <v>641</v>
      </c>
      <c r="F122" s="72" t="s">
        <v>642</v>
      </c>
      <c r="G122" s="185" t="s">
        <v>643</v>
      </c>
      <c r="H122" s="185" t="s">
        <v>644</v>
      </c>
    </row>
    <row r="123" spans="1:8" ht="15.75" customHeight="1">
      <c r="A123" s="72" t="s">
        <v>26</v>
      </c>
      <c r="B123" s="72" t="s">
        <v>3795</v>
      </c>
      <c r="C123" s="72" t="s">
        <v>1010</v>
      </c>
      <c r="D123" s="72" t="s">
        <v>1011</v>
      </c>
      <c r="E123" s="184" t="s">
        <v>648</v>
      </c>
      <c r="F123" s="72" t="s">
        <v>649</v>
      </c>
      <c r="G123" s="185" t="s">
        <v>636</v>
      </c>
      <c r="H123" s="185" t="s">
        <v>650</v>
      </c>
    </row>
    <row r="124" spans="1:8" ht="15.75" customHeight="1">
      <c r="A124" s="72" t="s">
        <v>26</v>
      </c>
      <c r="B124" s="72" t="s">
        <v>3795</v>
      </c>
      <c r="C124" s="72" t="s">
        <v>1013</v>
      </c>
      <c r="D124" s="72" t="s">
        <v>1014</v>
      </c>
      <c r="E124" s="184" t="s">
        <v>634</v>
      </c>
      <c r="F124" s="72" t="s">
        <v>635</v>
      </c>
      <c r="G124" s="185" t="s">
        <v>636</v>
      </c>
      <c r="H124" s="185" t="s">
        <v>637</v>
      </c>
    </row>
    <row r="125" spans="1:8" ht="15.75" customHeight="1">
      <c r="A125" s="72" t="s">
        <v>26</v>
      </c>
      <c r="B125" s="72" t="s">
        <v>3795</v>
      </c>
      <c r="C125" s="72" t="s">
        <v>1016</v>
      </c>
      <c r="D125" s="72" t="s">
        <v>1017</v>
      </c>
      <c r="E125" s="184" t="s">
        <v>770</v>
      </c>
      <c r="F125" s="72" t="s">
        <v>771</v>
      </c>
      <c r="G125" s="185" t="s">
        <v>636</v>
      </c>
      <c r="H125" s="185" t="s">
        <v>772</v>
      </c>
    </row>
    <row r="126" spans="1:8" ht="15.75" customHeight="1">
      <c r="A126" s="72" t="s">
        <v>26</v>
      </c>
      <c r="B126" s="72" t="s">
        <v>3795</v>
      </c>
      <c r="C126" s="72" t="s">
        <v>1019</v>
      </c>
      <c r="D126" s="72" t="s">
        <v>1020</v>
      </c>
      <c r="E126" s="184" t="s">
        <v>641</v>
      </c>
      <c r="F126" s="72" t="s">
        <v>642</v>
      </c>
      <c r="G126" s="185" t="s">
        <v>643</v>
      </c>
      <c r="H126" s="185" t="s">
        <v>644</v>
      </c>
    </row>
    <row r="127" spans="1:8" ht="15.75" customHeight="1">
      <c r="A127" s="72" t="s">
        <v>26</v>
      </c>
      <c r="B127" s="72" t="s">
        <v>3795</v>
      </c>
      <c r="C127" s="72" t="s">
        <v>1021</v>
      </c>
      <c r="D127" s="72" t="s">
        <v>1022</v>
      </c>
      <c r="E127" s="184" t="s">
        <v>648</v>
      </c>
      <c r="F127" s="72" t="s">
        <v>649</v>
      </c>
      <c r="G127" s="185" t="s">
        <v>636</v>
      </c>
      <c r="H127" s="185" t="s">
        <v>650</v>
      </c>
    </row>
    <row r="128" spans="1:8" ht="15.75" customHeight="1">
      <c r="A128" s="72" t="s">
        <v>26</v>
      </c>
      <c r="B128" s="72" t="s">
        <v>3795</v>
      </c>
      <c r="C128" s="72" t="s">
        <v>1023</v>
      </c>
      <c r="D128" s="72" t="s">
        <v>1024</v>
      </c>
      <c r="E128" s="184" t="s">
        <v>668</v>
      </c>
      <c r="F128" s="72" t="s">
        <v>669</v>
      </c>
      <c r="G128" s="185" t="s">
        <v>636</v>
      </c>
      <c r="H128" s="185" t="s">
        <v>670</v>
      </c>
    </row>
    <row r="129" spans="1:8" ht="15.75" customHeight="1">
      <c r="A129" s="72" t="s">
        <v>26</v>
      </c>
      <c r="B129" s="72" t="s">
        <v>3795</v>
      </c>
      <c r="C129" s="72" t="s">
        <v>1025</v>
      </c>
      <c r="D129" s="72" t="s">
        <v>1026</v>
      </c>
      <c r="E129" s="184" t="s">
        <v>641</v>
      </c>
      <c r="F129" s="72" t="s">
        <v>642</v>
      </c>
      <c r="G129" s="185" t="s">
        <v>643</v>
      </c>
      <c r="H129" s="185" t="s">
        <v>644</v>
      </c>
    </row>
    <row r="130" spans="1:8" ht="15.75" customHeight="1">
      <c r="A130" s="72" t="s">
        <v>26</v>
      </c>
      <c r="B130" s="72" t="s">
        <v>3795</v>
      </c>
      <c r="C130" s="72" t="s">
        <v>1027</v>
      </c>
      <c r="D130" s="72" t="s">
        <v>1028</v>
      </c>
      <c r="E130" s="184" t="s">
        <v>770</v>
      </c>
      <c r="F130" s="72" t="s">
        <v>771</v>
      </c>
      <c r="G130" s="185" t="s">
        <v>636</v>
      </c>
      <c r="H130" s="185" t="s">
        <v>772</v>
      </c>
    </row>
    <row r="131" spans="1:8" ht="15.75" customHeight="1">
      <c r="A131" s="72" t="s">
        <v>26</v>
      </c>
      <c r="B131" s="72" t="s">
        <v>3795</v>
      </c>
      <c r="C131" s="72" t="s">
        <v>1029</v>
      </c>
      <c r="D131" s="72" t="s">
        <v>1030</v>
      </c>
      <c r="E131" s="184" t="s">
        <v>770</v>
      </c>
      <c r="F131" s="72" t="s">
        <v>771</v>
      </c>
      <c r="G131" s="185" t="s">
        <v>636</v>
      </c>
      <c r="H131" s="185" t="s">
        <v>772</v>
      </c>
    </row>
    <row r="132" spans="1:8" ht="15.75" customHeight="1">
      <c r="A132" s="72" t="s">
        <v>26</v>
      </c>
      <c r="B132" s="72" t="s">
        <v>3795</v>
      </c>
      <c r="C132" s="72" t="s">
        <v>1029</v>
      </c>
      <c r="D132" s="72" t="s">
        <v>1030</v>
      </c>
      <c r="E132" s="184" t="s">
        <v>648</v>
      </c>
      <c r="F132" s="72" t="s">
        <v>649</v>
      </c>
      <c r="G132" s="185" t="s">
        <v>636</v>
      </c>
      <c r="H132" s="185" t="s">
        <v>650</v>
      </c>
    </row>
    <row r="133" spans="1:8" ht="15.75" customHeight="1">
      <c r="A133" s="72" t="s">
        <v>26</v>
      </c>
      <c r="B133" s="72" t="s">
        <v>3795</v>
      </c>
      <c r="C133" s="72" t="s">
        <v>1031</v>
      </c>
      <c r="D133" s="72" t="s">
        <v>1032</v>
      </c>
      <c r="E133" s="184" t="s">
        <v>648</v>
      </c>
      <c r="F133" s="72" t="s">
        <v>649</v>
      </c>
      <c r="G133" s="185" t="s">
        <v>636</v>
      </c>
      <c r="H133" s="185" t="s">
        <v>650</v>
      </c>
    </row>
    <row r="134" spans="1:8" ht="15.75" customHeight="1">
      <c r="A134" s="72" t="s">
        <v>26</v>
      </c>
      <c r="B134" s="72" t="s">
        <v>3795</v>
      </c>
      <c r="C134" s="72" t="s">
        <v>1033</v>
      </c>
      <c r="D134" s="72" t="s">
        <v>1034</v>
      </c>
      <c r="E134" s="184" t="s">
        <v>705</v>
      </c>
      <c r="F134" s="72" t="s">
        <v>706</v>
      </c>
      <c r="G134" s="185" t="s">
        <v>636</v>
      </c>
      <c r="H134" s="185" t="s">
        <v>637</v>
      </c>
    </row>
    <row r="135" spans="1:8" ht="15.75" customHeight="1">
      <c r="A135" s="72" t="s">
        <v>26</v>
      </c>
      <c r="B135" s="72" t="s">
        <v>3795</v>
      </c>
      <c r="C135" s="72" t="s">
        <v>1035</v>
      </c>
      <c r="D135" s="72" t="s">
        <v>1036</v>
      </c>
      <c r="E135" s="184" t="s">
        <v>641</v>
      </c>
      <c r="F135" s="72" t="s">
        <v>642</v>
      </c>
      <c r="G135" s="185" t="s">
        <v>643</v>
      </c>
      <c r="H135" s="185" t="s">
        <v>644</v>
      </c>
    </row>
    <row r="136" spans="1:8" ht="15.75" customHeight="1">
      <c r="A136" s="72" t="s">
        <v>26</v>
      </c>
      <c r="B136" s="72" t="s">
        <v>3795</v>
      </c>
      <c r="C136" s="72" t="s">
        <v>1037</v>
      </c>
      <c r="D136" s="72" t="s">
        <v>1038</v>
      </c>
      <c r="E136" s="184" t="s">
        <v>634</v>
      </c>
      <c r="F136" s="72" t="s">
        <v>635</v>
      </c>
      <c r="G136" s="185" t="s">
        <v>636</v>
      </c>
      <c r="H136" s="185" t="s">
        <v>637</v>
      </c>
    </row>
    <row r="137" spans="1:8" ht="15.75" customHeight="1">
      <c r="A137" s="72" t="s">
        <v>26</v>
      </c>
      <c r="B137" s="72" t="s">
        <v>3795</v>
      </c>
      <c r="C137" s="72" t="s">
        <v>1039</v>
      </c>
      <c r="D137" s="72" t="s">
        <v>1040</v>
      </c>
      <c r="E137" s="184" t="s">
        <v>1041</v>
      </c>
      <c r="F137" s="72" t="s">
        <v>1042</v>
      </c>
      <c r="G137" s="185" t="s">
        <v>636</v>
      </c>
      <c r="H137" s="185" t="s">
        <v>1043</v>
      </c>
    </row>
    <row r="138" spans="1:8" ht="15.75" customHeight="1">
      <c r="A138" s="72" t="s">
        <v>26</v>
      </c>
      <c r="B138" s="72" t="s">
        <v>3795</v>
      </c>
      <c r="C138" s="72" t="s">
        <v>1044</v>
      </c>
      <c r="D138" s="72" t="s">
        <v>1045</v>
      </c>
      <c r="E138" s="184" t="s">
        <v>634</v>
      </c>
      <c r="F138" s="72" t="s">
        <v>635</v>
      </c>
      <c r="G138" s="185" t="s">
        <v>636</v>
      </c>
      <c r="H138" s="185" t="s">
        <v>637</v>
      </c>
    </row>
    <row r="139" spans="1:8" ht="15.75" customHeight="1">
      <c r="A139" s="72" t="s">
        <v>26</v>
      </c>
      <c r="B139" s="72" t="s">
        <v>3795</v>
      </c>
      <c r="C139" s="72" t="s">
        <v>1046</v>
      </c>
      <c r="D139" s="72" t="s">
        <v>1047</v>
      </c>
      <c r="E139" s="184" t="s">
        <v>770</v>
      </c>
      <c r="F139" s="72" t="s">
        <v>771</v>
      </c>
      <c r="G139" s="185" t="s">
        <v>636</v>
      </c>
      <c r="H139" s="185" t="s">
        <v>772</v>
      </c>
    </row>
    <row r="140" spans="1:8" ht="15.75" customHeight="1">
      <c r="A140" s="72" t="s">
        <v>26</v>
      </c>
      <c r="B140" s="72" t="s">
        <v>3795</v>
      </c>
      <c r="C140" s="72" t="s">
        <v>1048</v>
      </c>
      <c r="D140" s="72" t="s">
        <v>1049</v>
      </c>
      <c r="E140" s="184" t="s">
        <v>648</v>
      </c>
      <c r="F140" s="72" t="s">
        <v>649</v>
      </c>
      <c r="G140" s="185" t="s">
        <v>636</v>
      </c>
      <c r="H140" s="185" t="s">
        <v>650</v>
      </c>
    </row>
    <row r="141" spans="1:8" ht="15.75" customHeight="1">
      <c r="A141" s="72" t="s">
        <v>26</v>
      </c>
      <c r="B141" s="72" t="s">
        <v>3795</v>
      </c>
      <c r="C141" s="72" t="s">
        <v>1050</v>
      </c>
      <c r="D141" s="72" t="s">
        <v>1051</v>
      </c>
      <c r="E141" s="184" t="s">
        <v>634</v>
      </c>
      <c r="F141" s="72" t="s">
        <v>635</v>
      </c>
      <c r="G141" s="185" t="s">
        <v>636</v>
      </c>
      <c r="H141" s="185" t="s">
        <v>637</v>
      </c>
    </row>
    <row r="142" spans="1:8" ht="15.75" customHeight="1">
      <c r="A142" s="72" t="s">
        <v>26</v>
      </c>
      <c r="B142" s="72" t="s">
        <v>3795</v>
      </c>
      <c r="C142" s="72" t="s">
        <v>1052</v>
      </c>
      <c r="D142" s="72" t="s">
        <v>1053</v>
      </c>
      <c r="E142" s="184" t="s">
        <v>641</v>
      </c>
      <c r="F142" s="72" t="s">
        <v>642</v>
      </c>
      <c r="G142" s="185" t="s">
        <v>643</v>
      </c>
      <c r="H142" s="185" t="s">
        <v>644</v>
      </c>
    </row>
    <row r="143" spans="1:8" ht="15.75" customHeight="1">
      <c r="A143" s="72" t="s">
        <v>26</v>
      </c>
      <c r="B143" s="72" t="s">
        <v>3795</v>
      </c>
      <c r="C143" s="72" t="s">
        <v>1055</v>
      </c>
      <c r="D143" s="72" t="s">
        <v>1056</v>
      </c>
      <c r="E143" s="184" t="s">
        <v>648</v>
      </c>
      <c r="F143" s="72" t="s">
        <v>649</v>
      </c>
      <c r="G143" s="185" t="s">
        <v>636</v>
      </c>
      <c r="H143" s="185" t="s">
        <v>650</v>
      </c>
    </row>
    <row r="144" spans="1:8" ht="15.75" customHeight="1">
      <c r="A144" s="72" t="s">
        <v>26</v>
      </c>
      <c r="B144" s="72" t="s">
        <v>3795</v>
      </c>
      <c r="C144" s="72" t="s">
        <v>1057</v>
      </c>
      <c r="D144" s="72" t="s">
        <v>1058</v>
      </c>
      <c r="E144" s="184" t="s">
        <v>1041</v>
      </c>
      <c r="F144" s="72" t="s">
        <v>1042</v>
      </c>
      <c r="G144" s="185" t="s">
        <v>636</v>
      </c>
      <c r="H144" s="185" t="s">
        <v>1043</v>
      </c>
    </row>
    <row r="145" spans="1:8" ht="15.75" customHeight="1">
      <c r="A145" s="72" t="s">
        <v>26</v>
      </c>
      <c r="B145" s="72" t="s">
        <v>3795</v>
      </c>
      <c r="C145" s="72" t="s">
        <v>1059</v>
      </c>
      <c r="D145" s="72" t="s">
        <v>1060</v>
      </c>
      <c r="E145" s="184" t="s">
        <v>648</v>
      </c>
      <c r="F145" s="72" t="s">
        <v>649</v>
      </c>
      <c r="G145" s="185" t="s">
        <v>636</v>
      </c>
      <c r="H145" s="185" t="s">
        <v>650</v>
      </c>
    </row>
    <row r="146" spans="1:8" ht="15.75" customHeight="1">
      <c r="A146" s="72" t="s">
        <v>33</v>
      </c>
      <c r="B146" s="72" t="s">
        <v>32</v>
      </c>
      <c r="C146" s="72" t="s">
        <v>1061</v>
      </c>
      <c r="D146" s="72" t="s">
        <v>1062</v>
      </c>
      <c r="E146" s="184" t="s">
        <v>668</v>
      </c>
      <c r="F146" s="72" t="s">
        <v>669</v>
      </c>
      <c r="G146" s="185" t="s">
        <v>636</v>
      </c>
      <c r="H146" s="185" t="s">
        <v>670</v>
      </c>
    </row>
    <row r="147" spans="1:8" ht="15.75" customHeight="1">
      <c r="A147" s="72" t="s">
        <v>33</v>
      </c>
      <c r="B147" s="72" t="s">
        <v>32</v>
      </c>
      <c r="C147" s="72" t="s">
        <v>1063</v>
      </c>
      <c r="D147" s="72" t="s">
        <v>1064</v>
      </c>
      <c r="E147" s="184" t="s">
        <v>668</v>
      </c>
      <c r="F147" s="72" t="s">
        <v>669</v>
      </c>
      <c r="G147" s="185" t="s">
        <v>636</v>
      </c>
      <c r="H147" s="185" t="s">
        <v>670</v>
      </c>
    </row>
    <row r="148" spans="1:8" ht="15.75" customHeight="1">
      <c r="A148" s="72" t="s">
        <v>33</v>
      </c>
      <c r="B148" s="72" t="s">
        <v>32</v>
      </c>
      <c r="C148" s="72" t="s">
        <v>1065</v>
      </c>
      <c r="D148" s="72" t="s">
        <v>1066</v>
      </c>
      <c r="E148" s="184" t="s">
        <v>668</v>
      </c>
      <c r="F148" s="72" t="s">
        <v>669</v>
      </c>
      <c r="G148" s="185" t="s">
        <v>636</v>
      </c>
      <c r="H148" s="185" t="s">
        <v>670</v>
      </c>
    </row>
    <row r="149" spans="1:8" ht="15.75" customHeight="1">
      <c r="A149" s="72" t="s">
        <v>33</v>
      </c>
      <c r="B149" s="72" t="s">
        <v>32</v>
      </c>
      <c r="C149" s="72" t="s">
        <v>1067</v>
      </c>
      <c r="D149" s="72" t="s">
        <v>1068</v>
      </c>
      <c r="E149" s="184" t="s">
        <v>668</v>
      </c>
      <c r="F149" s="72" t="s">
        <v>669</v>
      </c>
      <c r="G149" s="185" t="s">
        <v>636</v>
      </c>
      <c r="H149" s="185" t="s">
        <v>670</v>
      </c>
    </row>
    <row r="150" spans="1:8" ht="15.75" customHeight="1">
      <c r="A150" s="72" t="s">
        <v>33</v>
      </c>
      <c r="B150" s="72" t="s">
        <v>32</v>
      </c>
      <c r="C150" s="72" t="s">
        <v>1069</v>
      </c>
      <c r="D150" s="72" t="s">
        <v>1070</v>
      </c>
      <c r="E150" s="184" t="s">
        <v>668</v>
      </c>
      <c r="F150" s="72" t="s">
        <v>669</v>
      </c>
      <c r="G150" s="185" t="s">
        <v>636</v>
      </c>
      <c r="H150" s="185" t="s">
        <v>670</v>
      </c>
    </row>
    <row r="151" spans="1:8" ht="15.75" customHeight="1">
      <c r="A151" s="72" t="s">
        <v>33</v>
      </c>
      <c r="B151" s="72" t="s">
        <v>32</v>
      </c>
      <c r="C151" s="72" t="s">
        <v>1071</v>
      </c>
      <c r="D151" s="72" t="s">
        <v>1072</v>
      </c>
      <c r="E151" s="184" t="s">
        <v>668</v>
      </c>
      <c r="F151" s="72" t="s">
        <v>669</v>
      </c>
      <c r="G151" s="185" t="s">
        <v>636</v>
      </c>
      <c r="H151" s="185" t="s">
        <v>670</v>
      </c>
    </row>
    <row r="152" spans="1:8" ht="15.75" customHeight="1">
      <c r="A152" s="72" t="s">
        <v>33</v>
      </c>
      <c r="B152" s="72" t="s">
        <v>32</v>
      </c>
      <c r="C152" s="72" t="s">
        <v>1073</v>
      </c>
      <c r="D152" s="72" t="s">
        <v>1074</v>
      </c>
      <c r="E152" s="184" t="s">
        <v>668</v>
      </c>
      <c r="F152" s="72" t="s">
        <v>669</v>
      </c>
      <c r="G152" s="185" t="s">
        <v>636</v>
      </c>
      <c r="H152" s="185" t="s">
        <v>670</v>
      </c>
    </row>
    <row r="153" spans="1:8" ht="15.75" customHeight="1">
      <c r="A153" s="72" t="s">
        <v>33</v>
      </c>
      <c r="B153" s="72" t="s">
        <v>32</v>
      </c>
      <c r="C153" s="72" t="s">
        <v>1075</v>
      </c>
      <c r="D153" s="72" t="s">
        <v>1076</v>
      </c>
      <c r="E153" s="184" t="s">
        <v>668</v>
      </c>
      <c r="F153" s="72" t="s">
        <v>669</v>
      </c>
      <c r="G153" s="185" t="s">
        <v>636</v>
      </c>
      <c r="H153" s="185" t="s">
        <v>670</v>
      </c>
    </row>
    <row r="154" spans="1:8" ht="15.75" customHeight="1">
      <c r="A154" s="72" t="s">
        <v>33</v>
      </c>
      <c r="B154" s="72" t="s">
        <v>32</v>
      </c>
      <c r="C154" s="72" t="s">
        <v>1077</v>
      </c>
      <c r="D154" s="72" t="s">
        <v>1078</v>
      </c>
      <c r="E154" s="184" t="s">
        <v>668</v>
      </c>
      <c r="F154" s="72" t="s">
        <v>669</v>
      </c>
      <c r="G154" s="185" t="s">
        <v>636</v>
      </c>
      <c r="H154" s="185" t="s">
        <v>670</v>
      </c>
    </row>
    <row r="155" spans="1:8" ht="15.75" customHeight="1">
      <c r="A155" s="72" t="s">
        <v>33</v>
      </c>
      <c r="B155" s="72" t="s">
        <v>32</v>
      </c>
      <c r="C155" s="72" t="s">
        <v>1079</v>
      </c>
      <c r="D155" s="72" t="s">
        <v>1080</v>
      </c>
      <c r="E155" s="184" t="s">
        <v>668</v>
      </c>
      <c r="F155" s="72" t="s">
        <v>669</v>
      </c>
      <c r="G155" s="185" t="s">
        <v>636</v>
      </c>
      <c r="H155" s="185" t="s">
        <v>670</v>
      </c>
    </row>
    <row r="156" spans="1:8" ht="15.75" customHeight="1">
      <c r="A156" s="72" t="s">
        <v>33</v>
      </c>
      <c r="B156" s="72" t="s">
        <v>32</v>
      </c>
      <c r="C156" s="72" t="s">
        <v>1081</v>
      </c>
      <c r="D156" s="72" t="s">
        <v>760</v>
      </c>
      <c r="E156" s="184" t="s">
        <v>668</v>
      </c>
      <c r="F156" s="72" t="s">
        <v>669</v>
      </c>
      <c r="G156" s="185" t="s">
        <v>636</v>
      </c>
      <c r="H156" s="185" t="s">
        <v>670</v>
      </c>
    </row>
    <row r="157" spans="1:8" ht="15.75" customHeight="1">
      <c r="A157" s="72" t="s">
        <v>33</v>
      </c>
      <c r="B157" s="72" t="s">
        <v>32</v>
      </c>
      <c r="C157" s="72" t="s">
        <v>1082</v>
      </c>
      <c r="D157" s="72" t="s">
        <v>1083</v>
      </c>
      <c r="E157" s="184" t="s">
        <v>668</v>
      </c>
      <c r="F157" s="72" t="s">
        <v>669</v>
      </c>
      <c r="G157" s="185" t="s">
        <v>636</v>
      </c>
      <c r="H157" s="185" t="s">
        <v>670</v>
      </c>
    </row>
    <row r="158" spans="1:8" ht="15.75" customHeight="1">
      <c r="A158" s="72" t="s">
        <v>33</v>
      </c>
      <c r="B158" s="72" t="s">
        <v>32</v>
      </c>
      <c r="C158" s="72" t="s">
        <v>1084</v>
      </c>
      <c r="D158" s="72" t="s">
        <v>1085</v>
      </c>
      <c r="E158" s="184" t="s">
        <v>668</v>
      </c>
      <c r="F158" s="72" t="s">
        <v>669</v>
      </c>
      <c r="G158" s="185" t="s">
        <v>636</v>
      </c>
      <c r="H158" s="185" t="s">
        <v>670</v>
      </c>
    </row>
    <row r="159" spans="1:8" ht="15.75" customHeight="1">
      <c r="A159" s="72" t="s">
        <v>33</v>
      </c>
      <c r="B159" s="72" t="s">
        <v>32</v>
      </c>
      <c r="C159" s="72" t="s">
        <v>1086</v>
      </c>
      <c r="D159" s="72" t="s">
        <v>1087</v>
      </c>
      <c r="E159" s="184" t="s">
        <v>668</v>
      </c>
      <c r="F159" s="72" t="s">
        <v>669</v>
      </c>
      <c r="G159" s="185" t="s">
        <v>636</v>
      </c>
      <c r="H159" s="185" t="s">
        <v>670</v>
      </c>
    </row>
    <row r="160" spans="1:8" ht="15.75" customHeight="1">
      <c r="A160" s="72" t="s">
        <v>33</v>
      </c>
      <c r="B160" s="72" t="s">
        <v>32</v>
      </c>
      <c r="C160" s="72" t="s">
        <v>1088</v>
      </c>
      <c r="D160" s="72" t="s">
        <v>1089</v>
      </c>
      <c r="E160" s="184" t="s">
        <v>668</v>
      </c>
      <c r="F160" s="72" t="s">
        <v>669</v>
      </c>
      <c r="G160" s="185" t="s">
        <v>636</v>
      </c>
      <c r="H160" s="185" t="s">
        <v>670</v>
      </c>
    </row>
    <row r="161" spans="1:8" ht="15.75" customHeight="1">
      <c r="A161" s="72" t="s">
        <v>33</v>
      </c>
      <c r="B161" s="72" t="s">
        <v>32</v>
      </c>
      <c r="C161" s="72" t="s">
        <v>1090</v>
      </c>
      <c r="D161" s="72" t="s">
        <v>1091</v>
      </c>
      <c r="E161" s="184" t="s">
        <v>668</v>
      </c>
      <c r="F161" s="72" t="s">
        <v>669</v>
      </c>
      <c r="G161" s="185" t="s">
        <v>636</v>
      </c>
      <c r="H161" s="185" t="s">
        <v>670</v>
      </c>
    </row>
    <row r="162" spans="1:8" ht="15.75" customHeight="1">
      <c r="A162" s="72" t="s">
        <v>33</v>
      </c>
      <c r="B162" s="72" t="s">
        <v>32</v>
      </c>
      <c r="C162" s="72" t="s">
        <v>1092</v>
      </c>
      <c r="D162" s="72" t="s">
        <v>1093</v>
      </c>
      <c r="E162" s="184" t="s">
        <v>668</v>
      </c>
      <c r="F162" s="72" t="s">
        <v>669</v>
      </c>
      <c r="G162" s="185" t="s">
        <v>636</v>
      </c>
      <c r="H162" s="185" t="s">
        <v>670</v>
      </c>
    </row>
    <row r="163" spans="1:8" ht="15.75" customHeight="1">
      <c r="A163" s="72" t="s">
        <v>33</v>
      </c>
      <c r="B163" s="72" t="s">
        <v>32</v>
      </c>
      <c r="C163" s="72" t="s">
        <v>1094</v>
      </c>
      <c r="D163" s="72" t="s">
        <v>1095</v>
      </c>
      <c r="E163" s="184" t="s">
        <v>668</v>
      </c>
      <c r="F163" s="72" t="s">
        <v>669</v>
      </c>
      <c r="G163" s="185" t="s">
        <v>636</v>
      </c>
      <c r="H163" s="185" t="s">
        <v>670</v>
      </c>
    </row>
    <row r="164" spans="1:8" ht="15.75" customHeight="1">
      <c r="A164" s="72" t="s">
        <v>33</v>
      </c>
      <c r="B164" s="72" t="s">
        <v>32</v>
      </c>
      <c r="C164" s="72" t="s">
        <v>1096</v>
      </c>
      <c r="D164" s="72" t="s">
        <v>1097</v>
      </c>
      <c r="E164" s="184" t="s">
        <v>668</v>
      </c>
      <c r="F164" s="72" t="s">
        <v>669</v>
      </c>
      <c r="G164" s="185" t="s">
        <v>636</v>
      </c>
      <c r="H164" s="185" t="s">
        <v>670</v>
      </c>
    </row>
    <row r="165" spans="1:8" ht="15.75" customHeight="1">
      <c r="A165" s="72" t="s">
        <v>33</v>
      </c>
      <c r="B165" s="72" t="s">
        <v>32</v>
      </c>
      <c r="C165" s="72" t="s">
        <v>1098</v>
      </c>
      <c r="D165" s="72" t="s">
        <v>1099</v>
      </c>
      <c r="E165" s="184" t="s">
        <v>668</v>
      </c>
      <c r="F165" s="72" t="s">
        <v>669</v>
      </c>
      <c r="G165" s="185" t="s">
        <v>636</v>
      </c>
      <c r="H165" s="185" t="s">
        <v>670</v>
      </c>
    </row>
    <row r="166" spans="1:8" ht="15.75" customHeight="1">
      <c r="A166" s="72" t="s">
        <v>33</v>
      </c>
      <c r="B166" s="72" t="s">
        <v>32</v>
      </c>
      <c r="C166" s="72" t="s">
        <v>1100</v>
      </c>
      <c r="D166" s="72" t="s">
        <v>1101</v>
      </c>
      <c r="E166" s="184" t="s">
        <v>668</v>
      </c>
      <c r="F166" s="72" t="s">
        <v>669</v>
      </c>
      <c r="G166" s="185" t="s">
        <v>636</v>
      </c>
      <c r="H166" s="185" t="s">
        <v>670</v>
      </c>
    </row>
    <row r="167" spans="1:8" ht="15.75" customHeight="1">
      <c r="A167" s="72" t="s">
        <v>33</v>
      </c>
      <c r="B167" s="72" t="s">
        <v>32</v>
      </c>
      <c r="C167" s="72" t="s">
        <v>1102</v>
      </c>
      <c r="D167" s="72" t="s">
        <v>1103</v>
      </c>
      <c r="E167" s="184" t="s">
        <v>668</v>
      </c>
      <c r="F167" s="72" t="s">
        <v>669</v>
      </c>
      <c r="G167" s="185" t="s">
        <v>636</v>
      </c>
      <c r="H167" s="185" t="s">
        <v>670</v>
      </c>
    </row>
    <row r="168" spans="1:8" ht="15.75" customHeight="1">
      <c r="A168" s="72" t="s">
        <v>33</v>
      </c>
      <c r="B168" s="72" t="s">
        <v>32</v>
      </c>
      <c r="C168" s="72" t="s">
        <v>1104</v>
      </c>
      <c r="D168" s="72" t="s">
        <v>1105</v>
      </c>
      <c r="E168" s="184" t="s">
        <v>668</v>
      </c>
      <c r="F168" s="72" t="s">
        <v>669</v>
      </c>
      <c r="G168" s="185" t="s">
        <v>636</v>
      </c>
      <c r="H168" s="185" t="s">
        <v>670</v>
      </c>
    </row>
    <row r="169" spans="1:8" ht="15.75" customHeight="1">
      <c r="A169" s="72" t="s">
        <v>33</v>
      </c>
      <c r="B169" s="72" t="s">
        <v>32</v>
      </c>
      <c r="C169" s="72" t="s">
        <v>1106</v>
      </c>
      <c r="D169" s="72" t="s">
        <v>1107</v>
      </c>
      <c r="E169" s="184" t="s">
        <v>668</v>
      </c>
      <c r="F169" s="72" t="s">
        <v>669</v>
      </c>
      <c r="G169" s="185" t="s">
        <v>636</v>
      </c>
      <c r="H169" s="185" t="s">
        <v>670</v>
      </c>
    </row>
    <row r="170" spans="1:8" ht="15.75" customHeight="1">
      <c r="A170" s="72" t="s">
        <v>33</v>
      </c>
      <c r="B170" s="72" t="s">
        <v>32</v>
      </c>
      <c r="C170" s="72" t="s">
        <v>1106</v>
      </c>
      <c r="D170" s="72" t="s">
        <v>1107</v>
      </c>
      <c r="E170" s="184" t="s">
        <v>794</v>
      </c>
      <c r="F170" s="72" t="s">
        <v>795</v>
      </c>
      <c r="G170" s="185" t="s">
        <v>636</v>
      </c>
      <c r="H170" s="185" t="s">
        <v>796</v>
      </c>
    </row>
    <row r="171" spans="1:8" ht="15.75" customHeight="1">
      <c r="A171" s="72" t="s">
        <v>33</v>
      </c>
      <c r="B171" s="72" t="s">
        <v>32</v>
      </c>
      <c r="C171" s="72" t="s">
        <v>1108</v>
      </c>
      <c r="D171" s="72" t="s">
        <v>1109</v>
      </c>
      <c r="E171" s="184" t="s">
        <v>668</v>
      </c>
      <c r="F171" s="72" t="s">
        <v>669</v>
      </c>
      <c r="G171" s="185" t="s">
        <v>636</v>
      </c>
      <c r="H171" s="185" t="s">
        <v>670</v>
      </c>
    </row>
    <row r="172" spans="1:8" ht="15.75" customHeight="1">
      <c r="A172" s="72" t="s">
        <v>33</v>
      </c>
      <c r="B172" s="72" t="s">
        <v>32</v>
      </c>
      <c r="C172" s="72" t="s">
        <v>1110</v>
      </c>
      <c r="D172" s="72" t="s">
        <v>1111</v>
      </c>
      <c r="E172" s="184" t="s">
        <v>668</v>
      </c>
      <c r="F172" s="72" t="s">
        <v>669</v>
      </c>
      <c r="G172" s="185" t="s">
        <v>636</v>
      </c>
      <c r="H172" s="185" t="s">
        <v>670</v>
      </c>
    </row>
    <row r="173" spans="1:8" ht="15.75" customHeight="1">
      <c r="A173" s="72" t="s">
        <v>33</v>
      </c>
      <c r="B173" s="72" t="s">
        <v>32</v>
      </c>
      <c r="C173" s="72" t="s">
        <v>1112</v>
      </c>
      <c r="D173" s="72" t="s">
        <v>1113</v>
      </c>
      <c r="E173" s="184" t="s">
        <v>668</v>
      </c>
      <c r="F173" s="72" t="s">
        <v>669</v>
      </c>
      <c r="G173" s="185" t="s">
        <v>636</v>
      </c>
      <c r="H173" s="185" t="s">
        <v>670</v>
      </c>
    </row>
    <row r="174" spans="1:8" ht="15.75" customHeight="1">
      <c r="A174" s="72" t="s">
        <v>33</v>
      </c>
      <c r="B174" s="72" t="s">
        <v>32</v>
      </c>
      <c r="C174" s="72" t="s">
        <v>1114</v>
      </c>
      <c r="D174" s="72" t="s">
        <v>1115</v>
      </c>
      <c r="E174" s="184" t="s">
        <v>668</v>
      </c>
      <c r="F174" s="72" t="s">
        <v>669</v>
      </c>
      <c r="G174" s="185" t="s">
        <v>636</v>
      </c>
      <c r="H174" s="185" t="s">
        <v>670</v>
      </c>
    </row>
    <row r="175" spans="1:8" ht="15.75" customHeight="1">
      <c r="A175" s="72" t="s">
        <v>33</v>
      </c>
      <c r="B175" s="72" t="s">
        <v>32</v>
      </c>
      <c r="C175" s="72" t="s">
        <v>1116</v>
      </c>
      <c r="D175" s="72" t="s">
        <v>1117</v>
      </c>
      <c r="E175" s="184" t="s">
        <v>668</v>
      </c>
      <c r="F175" s="72" t="s">
        <v>669</v>
      </c>
      <c r="G175" s="185" t="s">
        <v>636</v>
      </c>
      <c r="H175" s="185" t="s">
        <v>670</v>
      </c>
    </row>
    <row r="176" spans="1:8" ht="15.75" customHeight="1">
      <c r="A176" s="72" t="s">
        <v>33</v>
      </c>
      <c r="B176" s="72" t="s">
        <v>32</v>
      </c>
      <c r="C176" s="72" t="s">
        <v>1118</v>
      </c>
      <c r="D176" s="72" t="s">
        <v>1119</v>
      </c>
      <c r="E176" s="184" t="s">
        <v>668</v>
      </c>
      <c r="F176" s="72" t="s">
        <v>669</v>
      </c>
      <c r="G176" s="185" t="s">
        <v>636</v>
      </c>
      <c r="H176" s="185" t="s">
        <v>670</v>
      </c>
    </row>
    <row r="177" spans="1:8" ht="15.75" customHeight="1">
      <c r="A177" s="72" t="s">
        <v>33</v>
      </c>
      <c r="B177" s="72" t="s">
        <v>32</v>
      </c>
      <c r="C177" s="72" t="s">
        <v>1120</v>
      </c>
      <c r="D177" s="72" t="s">
        <v>1121</v>
      </c>
      <c r="E177" s="184" t="s">
        <v>668</v>
      </c>
      <c r="F177" s="72" t="s">
        <v>669</v>
      </c>
      <c r="G177" s="185" t="s">
        <v>636</v>
      </c>
      <c r="H177" s="185" t="s">
        <v>670</v>
      </c>
    </row>
    <row r="178" spans="1:8" ht="15.75" customHeight="1">
      <c r="A178" s="72" t="s">
        <v>33</v>
      </c>
      <c r="B178" s="72" t="s">
        <v>32</v>
      </c>
      <c r="C178" s="72" t="s">
        <v>1122</v>
      </c>
      <c r="D178" s="72" t="s">
        <v>1123</v>
      </c>
      <c r="E178" s="184" t="s">
        <v>668</v>
      </c>
      <c r="F178" s="72" t="s">
        <v>669</v>
      </c>
      <c r="G178" s="185" t="s">
        <v>636</v>
      </c>
      <c r="H178" s="185" t="s">
        <v>670</v>
      </c>
    </row>
    <row r="179" spans="1:8" ht="15.75" customHeight="1">
      <c r="A179" s="72" t="s">
        <v>33</v>
      </c>
      <c r="B179" s="72" t="s">
        <v>32</v>
      </c>
      <c r="C179" s="72" t="s">
        <v>1124</v>
      </c>
      <c r="D179" s="72" t="s">
        <v>1125</v>
      </c>
      <c r="E179" s="184" t="s">
        <v>668</v>
      </c>
      <c r="F179" s="72" t="s">
        <v>669</v>
      </c>
      <c r="G179" s="185" t="s">
        <v>636</v>
      </c>
      <c r="H179" s="185" t="s">
        <v>670</v>
      </c>
    </row>
    <row r="180" spans="1:8" ht="15.75" customHeight="1">
      <c r="A180" s="72" t="s">
        <v>33</v>
      </c>
      <c r="B180" s="72" t="s">
        <v>32</v>
      </c>
      <c r="C180" s="72" t="s">
        <v>1126</v>
      </c>
      <c r="D180" s="72" t="s">
        <v>1127</v>
      </c>
      <c r="E180" s="184" t="s">
        <v>668</v>
      </c>
      <c r="F180" s="72" t="s">
        <v>669</v>
      </c>
      <c r="G180" s="185" t="s">
        <v>636</v>
      </c>
      <c r="H180" s="185" t="s">
        <v>670</v>
      </c>
    </row>
    <row r="181" spans="1:8" ht="15.75" customHeight="1">
      <c r="A181" s="72" t="s">
        <v>33</v>
      </c>
      <c r="B181" s="72" t="s">
        <v>32</v>
      </c>
      <c r="C181" s="72" t="s">
        <v>1128</v>
      </c>
      <c r="D181" s="72" t="s">
        <v>1129</v>
      </c>
      <c r="E181" s="184" t="s">
        <v>668</v>
      </c>
      <c r="F181" s="72" t="s">
        <v>669</v>
      </c>
      <c r="G181" s="185" t="s">
        <v>636</v>
      </c>
      <c r="H181" s="185" t="s">
        <v>670</v>
      </c>
    </row>
    <row r="182" spans="1:8" ht="15.75" customHeight="1">
      <c r="A182" s="72" t="s">
        <v>33</v>
      </c>
      <c r="B182" s="72" t="s">
        <v>32</v>
      </c>
      <c r="C182" s="72" t="s">
        <v>1130</v>
      </c>
      <c r="D182" s="72" t="s">
        <v>1131</v>
      </c>
      <c r="E182" s="184" t="s">
        <v>668</v>
      </c>
      <c r="F182" s="72" t="s">
        <v>669</v>
      </c>
      <c r="G182" s="185" t="s">
        <v>636</v>
      </c>
      <c r="H182" s="185" t="s">
        <v>670</v>
      </c>
    </row>
    <row r="183" spans="1:8" ht="15.75" customHeight="1">
      <c r="A183" s="72" t="s">
        <v>33</v>
      </c>
      <c r="B183" s="72" t="s">
        <v>32</v>
      </c>
      <c r="C183" s="72" t="s">
        <v>1132</v>
      </c>
      <c r="D183" s="72" t="s">
        <v>1133</v>
      </c>
      <c r="E183" s="184" t="s">
        <v>668</v>
      </c>
      <c r="F183" s="72" t="s">
        <v>669</v>
      </c>
      <c r="G183" s="185" t="s">
        <v>636</v>
      </c>
      <c r="H183" s="185" t="s">
        <v>670</v>
      </c>
    </row>
    <row r="184" spans="1:8" ht="15.75" customHeight="1">
      <c r="A184" s="72" t="s">
        <v>33</v>
      </c>
      <c r="B184" s="72" t="s">
        <v>32</v>
      </c>
      <c r="C184" s="72" t="s">
        <v>1134</v>
      </c>
      <c r="D184" s="72" t="s">
        <v>1135</v>
      </c>
      <c r="E184" s="184" t="s">
        <v>668</v>
      </c>
      <c r="F184" s="72" t="s">
        <v>669</v>
      </c>
      <c r="G184" s="185" t="s">
        <v>636</v>
      </c>
      <c r="H184" s="185" t="s">
        <v>670</v>
      </c>
    </row>
    <row r="185" spans="1:8" ht="15.75" customHeight="1">
      <c r="A185" s="72" t="s">
        <v>33</v>
      </c>
      <c r="B185" s="72" t="s">
        <v>32</v>
      </c>
      <c r="C185" s="72" t="s">
        <v>1136</v>
      </c>
      <c r="D185" s="72" t="s">
        <v>1137</v>
      </c>
      <c r="E185" s="184" t="s">
        <v>668</v>
      </c>
      <c r="F185" s="72" t="s">
        <v>669</v>
      </c>
      <c r="G185" s="185" t="s">
        <v>636</v>
      </c>
      <c r="H185" s="185" t="s">
        <v>670</v>
      </c>
    </row>
    <row r="186" spans="1:8" ht="15.75" customHeight="1">
      <c r="A186" s="72" t="s">
        <v>33</v>
      </c>
      <c r="B186" s="72" t="s">
        <v>32</v>
      </c>
      <c r="C186" s="72" t="s">
        <v>1138</v>
      </c>
      <c r="D186" s="72" t="s">
        <v>1139</v>
      </c>
      <c r="E186" s="184" t="s">
        <v>668</v>
      </c>
      <c r="F186" s="72" t="s">
        <v>669</v>
      </c>
      <c r="G186" s="185" t="s">
        <v>636</v>
      </c>
      <c r="H186" s="185" t="s">
        <v>670</v>
      </c>
    </row>
    <row r="187" spans="1:8" ht="15.75" customHeight="1">
      <c r="A187" s="72" t="s">
        <v>33</v>
      </c>
      <c r="B187" s="72" t="s">
        <v>32</v>
      </c>
      <c r="C187" s="72" t="s">
        <v>1140</v>
      </c>
      <c r="D187" s="72" t="s">
        <v>1141</v>
      </c>
      <c r="E187" s="184" t="s">
        <v>668</v>
      </c>
      <c r="F187" s="72" t="s">
        <v>669</v>
      </c>
      <c r="G187" s="185" t="s">
        <v>636</v>
      </c>
      <c r="H187" s="185" t="s">
        <v>670</v>
      </c>
    </row>
    <row r="188" spans="1:8" ht="15.75" customHeight="1">
      <c r="A188" s="72" t="s">
        <v>33</v>
      </c>
      <c r="B188" s="72" t="s">
        <v>32</v>
      </c>
      <c r="C188" s="72" t="s">
        <v>1142</v>
      </c>
      <c r="D188" s="72" t="s">
        <v>1143</v>
      </c>
      <c r="E188" s="184" t="s">
        <v>668</v>
      </c>
      <c r="F188" s="72" t="s">
        <v>669</v>
      </c>
      <c r="G188" s="185" t="s">
        <v>636</v>
      </c>
      <c r="H188" s="185" t="s">
        <v>670</v>
      </c>
    </row>
    <row r="189" spans="1:8" ht="15.75" customHeight="1">
      <c r="A189" s="72" t="s">
        <v>33</v>
      </c>
      <c r="B189" s="72" t="s">
        <v>32</v>
      </c>
      <c r="C189" s="72" t="s">
        <v>1144</v>
      </c>
      <c r="D189" s="72" t="s">
        <v>1008</v>
      </c>
      <c r="E189" s="184" t="s">
        <v>668</v>
      </c>
      <c r="F189" s="72" t="s">
        <v>669</v>
      </c>
      <c r="G189" s="185" t="s">
        <v>636</v>
      </c>
      <c r="H189" s="185" t="s">
        <v>670</v>
      </c>
    </row>
    <row r="190" spans="1:8" ht="15.75" customHeight="1">
      <c r="A190" s="72" t="s">
        <v>33</v>
      </c>
      <c r="B190" s="72" t="s">
        <v>32</v>
      </c>
      <c r="C190" s="72" t="s">
        <v>1145</v>
      </c>
      <c r="D190" s="72" t="s">
        <v>1146</v>
      </c>
      <c r="E190" s="184" t="s">
        <v>668</v>
      </c>
      <c r="F190" s="72" t="s">
        <v>669</v>
      </c>
      <c r="G190" s="185" t="s">
        <v>636</v>
      </c>
      <c r="H190" s="185" t="s">
        <v>670</v>
      </c>
    </row>
    <row r="191" spans="1:8" ht="15.75" customHeight="1">
      <c r="A191" s="72" t="s">
        <v>33</v>
      </c>
      <c r="B191" s="72" t="s">
        <v>32</v>
      </c>
      <c r="C191" s="72" t="s">
        <v>1147</v>
      </c>
      <c r="D191" s="72" t="s">
        <v>1049</v>
      </c>
      <c r="E191" s="184" t="s">
        <v>668</v>
      </c>
      <c r="F191" s="72" t="s">
        <v>669</v>
      </c>
      <c r="G191" s="185" t="s">
        <v>636</v>
      </c>
      <c r="H191" s="185" t="s">
        <v>670</v>
      </c>
    </row>
    <row r="192" spans="1:8" ht="15.75" customHeight="1">
      <c r="A192" s="72" t="s">
        <v>33</v>
      </c>
      <c r="B192" s="72" t="s">
        <v>32</v>
      </c>
      <c r="C192" s="72" t="s">
        <v>1148</v>
      </c>
      <c r="D192" s="72" t="s">
        <v>1032</v>
      </c>
      <c r="E192" s="184" t="s">
        <v>668</v>
      </c>
      <c r="F192" s="72" t="s">
        <v>669</v>
      </c>
      <c r="G192" s="185" t="s">
        <v>636</v>
      </c>
      <c r="H192" s="185" t="s">
        <v>670</v>
      </c>
    </row>
    <row r="193" spans="1:8" ht="15.75" customHeight="1">
      <c r="A193" s="72" t="s">
        <v>33</v>
      </c>
      <c r="B193" s="72" t="s">
        <v>32</v>
      </c>
      <c r="C193" s="72" t="s">
        <v>1149</v>
      </c>
      <c r="D193" s="72" t="s">
        <v>1150</v>
      </c>
      <c r="E193" s="184" t="s">
        <v>668</v>
      </c>
      <c r="F193" s="72" t="s">
        <v>669</v>
      </c>
      <c r="G193" s="185" t="s">
        <v>636</v>
      </c>
      <c r="H193" s="185" t="s">
        <v>670</v>
      </c>
    </row>
    <row r="194" spans="1:8" ht="15.75" customHeight="1">
      <c r="A194" s="72" t="s">
        <v>360</v>
      </c>
      <c r="B194" s="72" t="s">
        <v>3796</v>
      </c>
      <c r="C194" s="72" t="s">
        <v>625</v>
      </c>
      <c r="D194" s="72" t="s">
        <v>1151</v>
      </c>
      <c r="E194" s="184" t="s">
        <v>641</v>
      </c>
      <c r="F194" s="72" t="s">
        <v>642</v>
      </c>
      <c r="G194" s="185" t="s">
        <v>643</v>
      </c>
      <c r="H194" s="185" t="s">
        <v>644</v>
      </c>
    </row>
    <row r="195" spans="1:8" ht="15.75" customHeight="1">
      <c r="A195" s="72" t="s">
        <v>360</v>
      </c>
      <c r="B195" s="72" t="s">
        <v>3796</v>
      </c>
      <c r="C195" s="72" t="s">
        <v>630</v>
      </c>
      <c r="D195" s="72" t="s">
        <v>1152</v>
      </c>
      <c r="E195" s="184" t="s">
        <v>641</v>
      </c>
      <c r="F195" s="72" t="s">
        <v>642</v>
      </c>
      <c r="G195" s="185" t="s">
        <v>643</v>
      </c>
      <c r="H195" s="185" t="s">
        <v>644</v>
      </c>
    </row>
    <row r="196" spans="1:8" ht="15.75" customHeight="1">
      <c r="A196" s="72" t="s">
        <v>360</v>
      </c>
      <c r="B196" s="72" t="s">
        <v>3796</v>
      </c>
      <c r="C196" s="72" t="s">
        <v>1153</v>
      </c>
      <c r="D196" s="72" t="s">
        <v>1154</v>
      </c>
      <c r="E196" s="184" t="s">
        <v>641</v>
      </c>
      <c r="F196" s="72" t="s">
        <v>642</v>
      </c>
      <c r="G196" s="185" t="s">
        <v>643</v>
      </c>
      <c r="H196" s="185" t="s">
        <v>644</v>
      </c>
    </row>
    <row r="197" spans="1:8" ht="15.75" customHeight="1">
      <c r="A197" s="72" t="s">
        <v>360</v>
      </c>
      <c r="B197" s="72" t="s">
        <v>3796</v>
      </c>
      <c r="C197" s="72" t="s">
        <v>1155</v>
      </c>
      <c r="D197" s="72" t="s">
        <v>1156</v>
      </c>
      <c r="E197" s="184" t="s">
        <v>641</v>
      </c>
      <c r="F197" s="72" t="s">
        <v>642</v>
      </c>
      <c r="G197" s="185" t="s">
        <v>643</v>
      </c>
      <c r="H197" s="185" t="s">
        <v>644</v>
      </c>
    </row>
    <row r="198" spans="1:8" ht="15.75" customHeight="1">
      <c r="A198" s="72" t="s">
        <v>360</v>
      </c>
      <c r="B198" s="72" t="s">
        <v>3796</v>
      </c>
      <c r="C198" s="72" t="s">
        <v>762</v>
      </c>
      <c r="D198" s="72" t="s">
        <v>760</v>
      </c>
      <c r="E198" s="184" t="s">
        <v>641</v>
      </c>
      <c r="F198" s="72" t="s">
        <v>642</v>
      </c>
      <c r="G198" s="185" t="s">
        <v>643</v>
      </c>
      <c r="H198" s="185" t="s">
        <v>644</v>
      </c>
    </row>
    <row r="199" spans="1:8" ht="15.75" customHeight="1">
      <c r="A199" s="72" t="s">
        <v>360</v>
      </c>
      <c r="B199" s="72" t="s">
        <v>3796</v>
      </c>
      <c r="C199" s="72" t="s">
        <v>1157</v>
      </c>
      <c r="D199" s="72" t="s">
        <v>1158</v>
      </c>
      <c r="E199" s="184" t="s">
        <v>641</v>
      </c>
      <c r="F199" s="72" t="s">
        <v>642</v>
      </c>
      <c r="G199" s="185" t="s">
        <v>643</v>
      </c>
      <c r="H199" s="185" t="s">
        <v>644</v>
      </c>
    </row>
    <row r="200" spans="1:8" ht="15.75" customHeight="1">
      <c r="A200" s="72" t="s">
        <v>360</v>
      </c>
      <c r="B200" s="72" t="s">
        <v>3796</v>
      </c>
      <c r="C200" s="72" t="s">
        <v>779</v>
      </c>
      <c r="D200" s="72" t="s">
        <v>1159</v>
      </c>
      <c r="E200" s="184" t="s">
        <v>641</v>
      </c>
      <c r="F200" s="72" t="s">
        <v>642</v>
      </c>
      <c r="G200" s="185" t="s">
        <v>643</v>
      </c>
      <c r="H200" s="185" t="s">
        <v>644</v>
      </c>
    </row>
    <row r="201" spans="1:8" ht="15.75" customHeight="1">
      <c r="A201" s="72" t="s">
        <v>360</v>
      </c>
      <c r="B201" s="72" t="s">
        <v>3796</v>
      </c>
      <c r="C201" s="72" t="s">
        <v>654</v>
      </c>
      <c r="D201" s="72" t="s">
        <v>1160</v>
      </c>
      <c r="E201" s="184" t="s">
        <v>641</v>
      </c>
      <c r="F201" s="72" t="s">
        <v>642</v>
      </c>
      <c r="G201" s="185" t="s">
        <v>643</v>
      </c>
      <c r="H201" s="185" t="s">
        <v>644</v>
      </c>
    </row>
    <row r="202" spans="1:8" ht="15.75" customHeight="1">
      <c r="A202" s="72" t="s">
        <v>360</v>
      </c>
      <c r="B202" s="72" t="s">
        <v>3796</v>
      </c>
      <c r="C202" s="72" t="s">
        <v>1161</v>
      </c>
      <c r="D202" s="72" t="s">
        <v>1162</v>
      </c>
      <c r="E202" s="184" t="s">
        <v>641</v>
      </c>
      <c r="F202" s="72" t="s">
        <v>642</v>
      </c>
      <c r="G202" s="185" t="s">
        <v>643</v>
      </c>
      <c r="H202" s="185" t="s">
        <v>644</v>
      </c>
    </row>
    <row r="203" spans="1:8" ht="15.75" customHeight="1">
      <c r="A203" s="72" t="s">
        <v>360</v>
      </c>
      <c r="B203" s="72" t="s">
        <v>3796</v>
      </c>
      <c r="C203" s="72" t="s">
        <v>1054</v>
      </c>
      <c r="D203" s="72" t="s">
        <v>1049</v>
      </c>
      <c r="E203" s="184" t="s">
        <v>641</v>
      </c>
      <c r="F203" s="72" t="s">
        <v>642</v>
      </c>
      <c r="G203" s="185" t="s">
        <v>643</v>
      </c>
      <c r="H203" s="185" t="s">
        <v>644</v>
      </c>
    </row>
    <row r="204" spans="1:8" ht="15.75" customHeight="1">
      <c r="A204" s="72" t="s">
        <v>360</v>
      </c>
      <c r="B204" s="72" t="s">
        <v>3796</v>
      </c>
      <c r="C204" s="72" t="s">
        <v>1163</v>
      </c>
      <c r="D204" s="72" t="s">
        <v>1032</v>
      </c>
      <c r="E204" s="184" t="s">
        <v>641</v>
      </c>
      <c r="F204" s="72" t="s">
        <v>642</v>
      </c>
      <c r="G204" s="185" t="s">
        <v>643</v>
      </c>
      <c r="H204" s="185" t="s">
        <v>644</v>
      </c>
    </row>
    <row r="205" spans="1:8" ht="15.75" customHeight="1">
      <c r="A205" s="72" t="s">
        <v>360</v>
      </c>
      <c r="B205" s="72" t="s">
        <v>3796</v>
      </c>
      <c r="C205" s="72" t="s">
        <v>1164</v>
      </c>
      <c r="D205" s="72" t="s">
        <v>1165</v>
      </c>
      <c r="E205" s="184" t="s">
        <v>641</v>
      </c>
      <c r="F205" s="72" t="s">
        <v>642</v>
      </c>
      <c r="G205" s="185" t="s">
        <v>643</v>
      </c>
      <c r="H205" s="185" t="s">
        <v>644</v>
      </c>
    </row>
    <row r="206" spans="1:8" ht="15.75" customHeight="1">
      <c r="A206" s="72" t="s">
        <v>437</v>
      </c>
      <c r="B206" s="72" t="s">
        <v>3797</v>
      </c>
      <c r="C206" s="72" t="s">
        <v>1166</v>
      </c>
      <c r="D206" s="72" t="s">
        <v>1167</v>
      </c>
      <c r="E206" s="184" t="s">
        <v>641</v>
      </c>
      <c r="F206" s="72" t="s">
        <v>642</v>
      </c>
      <c r="G206" s="185" t="s">
        <v>643</v>
      </c>
      <c r="H206" s="185" t="s">
        <v>644</v>
      </c>
    </row>
    <row r="207" spans="1:8" ht="15.75" customHeight="1">
      <c r="A207" s="72" t="s">
        <v>437</v>
      </c>
      <c r="B207" s="72" t="s">
        <v>3797</v>
      </c>
      <c r="C207" s="72" t="s">
        <v>1168</v>
      </c>
      <c r="D207" s="72" t="s">
        <v>1169</v>
      </c>
      <c r="E207" s="184" t="s">
        <v>641</v>
      </c>
      <c r="F207" s="72" t="s">
        <v>642</v>
      </c>
      <c r="G207" s="185" t="s">
        <v>643</v>
      </c>
      <c r="H207" s="185" t="s">
        <v>644</v>
      </c>
    </row>
    <row r="208" spans="1:8" ht="15.75" customHeight="1">
      <c r="A208" s="72" t="s">
        <v>3798</v>
      </c>
      <c r="B208" s="72" t="s">
        <v>3799</v>
      </c>
      <c r="C208" s="72" t="s">
        <v>1170</v>
      </c>
      <c r="D208" s="72" t="s">
        <v>1171</v>
      </c>
      <c r="E208" s="184" t="s">
        <v>677</v>
      </c>
      <c r="F208" s="72" t="s">
        <v>678</v>
      </c>
      <c r="G208" s="185" t="s">
        <v>679</v>
      </c>
      <c r="H208" s="185" t="s">
        <v>680</v>
      </c>
    </row>
    <row r="209" spans="1:8" ht="15.75" customHeight="1">
      <c r="A209" s="72" t="s">
        <v>3798</v>
      </c>
      <c r="B209" s="72" t="s">
        <v>3799</v>
      </c>
      <c r="C209" s="72" t="s">
        <v>1172</v>
      </c>
      <c r="D209" s="72" t="s">
        <v>1173</v>
      </c>
      <c r="E209" s="184" t="s">
        <v>677</v>
      </c>
      <c r="F209" s="72" t="s">
        <v>678</v>
      </c>
      <c r="G209" s="185" t="s">
        <v>679</v>
      </c>
      <c r="H209" s="185" t="s">
        <v>680</v>
      </c>
    </row>
    <row r="210" spans="1:8" ht="15.75" customHeight="1">
      <c r="A210" s="72" t="s">
        <v>3798</v>
      </c>
      <c r="B210" s="72" t="s">
        <v>3799</v>
      </c>
      <c r="C210" s="72" t="s">
        <v>1174</v>
      </c>
      <c r="D210" s="72" t="s">
        <v>1175</v>
      </c>
      <c r="E210" s="184" t="s">
        <v>677</v>
      </c>
      <c r="F210" s="72" t="s">
        <v>678</v>
      </c>
      <c r="G210" s="185" t="s">
        <v>679</v>
      </c>
      <c r="H210" s="185" t="s">
        <v>680</v>
      </c>
    </row>
    <row r="211" spans="1:8" ht="15.75" customHeight="1">
      <c r="A211" s="72" t="s">
        <v>3798</v>
      </c>
      <c r="B211" s="72" t="s">
        <v>3799</v>
      </c>
      <c r="C211" s="72" t="s">
        <v>1176</v>
      </c>
      <c r="D211" s="72" t="s">
        <v>1177</v>
      </c>
      <c r="E211" s="184" t="s">
        <v>677</v>
      </c>
      <c r="F211" s="72" t="s">
        <v>678</v>
      </c>
      <c r="G211" s="185" t="s">
        <v>679</v>
      </c>
      <c r="H211" s="185" t="s">
        <v>680</v>
      </c>
    </row>
    <row r="212" spans="1:8" ht="15.75" customHeight="1">
      <c r="A212" s="72" t="s">
        <v>3800</v>
      </c>
      <c r="B212" s="72" t="s">
        <v>3801</v>
      </c>
      <c r="C212" s="72" t="s">
        <v>1178</v>
      </c>
      <c r="D212" s="72" t="s">
        <v>1179</v>
      </c>
      <c r="E212" s="184" t="s">
        <v>1180</v>
      </c>
      <c r="F212" s="72" t="s">
        <v>1181</v>
      </c>
      <c r="G212" s="185" t="s">
        <v>643</v>
      </c>
      <c r="H212" s="185" t="s">
        <v>1182</v>
      </c>
    </row>
    <row r="213" spans="1:8" ht="15.75" customHeight="1">
      <c r="A213" s="72" t="s">
        <v>3800</v>
      </c>
      <c r="B213" s="72" t="s">
        <v>3801</v>
      </c>
      <c r="C213" s="72" t="s">
        <v>1183</v>
      </c>
      <c r="D213" s="72" t="s">
        <v>1184</v>
      </c>
      <c r="E213" s="184" t="s">
        <v>1180</v>
      </c>
      <c r="F213" s="72" t="s">
        <v>1181</v>
      </c>
      <c r="G213" s="185" t="s">
        <v>643</v>
      </c>
      <c r="H213" s="185" t="s">
        <v>1182</v>
      </c>
    </row>
    <row r="214" spans="1:8" ht="15.75" customHeight="1">
      <c r="A214" s="72" t="s">
        <v>3800</v>
      </c>
      <c r="B214" s="72" t="s">
        <v>3801</v>
      </c>
      <c r="C214" s="72" t="s">
        <v>1185</v>
      </c>
      <c r="D214" s="72" t="s">
        <v>1186</v>
      </c>
      <c r="E214" s="184" t="s">
        <v>1187</v>
      </c>
      <c r="F214" s="72" t="s">
        <v>1188</v>
      </c>
      <c r="G214" s="185" t="s">
        <v>1189</v>
      </c>
      <c r="H214" s="185" t="s">
        <v>1190</v>
      </c>
    </row>
    <row r="215" spans="1:8" ht="15.75" customHeight="1">
      <c r="A215" s="72" t="s">
        <v>3800</v>
      </c>
      <c r="B215" s="72" t="s">
        <v>3801</v>
      </c>
      <c r="C215" s="72" t="s">
        <v>1191</v>
      </c>
      <c r="D215" s="72" t="s">
        <v>1192</v>
      </c>
      <c r="E215" s="184" t="s">
        <v>1180</v>
      </c>
      <c r="F215" s="72" t="s">
        <v>1181</v>
      </c>
      <c r="G215" s="185" t="s">
        <v>643</v>
      </c>
      <c r="H215" s="185" t="s">
        <v>1182</v>
      </c>
    </row>
    <row r="216" spans="1:8" ht="15.75" customHeight="1">
      <c r="A216" s="72" t="s">
        <v>3800</v>
      </c>
      <c r="B216" s="72" t="s">
        <v>3801</v>
      </c>
      <c r="C216" s="72" t="s">
        <v>1193</v>
      </c>
      <c r="D216" s="72" t="s">
        <v>1194</v>
      </c>
      <c r="E216" s="184" t="s">
        <v>1180</v>
      </c>
      <c r="F216" s="72" t="s">
        <v>1181</v>
      </c>
      <c r="G216" s="185" t="s">
        <v>643</v>
      </c>
      <c r="H216" s="185" t="s">
        <v>1182</v>
      </c>
    </row>
    <row r="217" spans="1:8" ht="15.75" customHeight="1">
      <c r="A217" s="72" t="s">
        <v>3800</v>
      </c>
      <c r="B217" s="72" t="s">
        <v>3801</v>
      </c>
      <c r="C217" s="72" t="s">
        <v>1195</v>
      </c>
      <c r="D217" s="72" t="s">
        <v>1196</v>
      </c>
      <c r="E217" s="184" t="s">
        <v>1180</v>
      </c>
      <c r="F217" s="72" t="s">
        <v>1181</v>
      </c>
      <c r="G217" s="185" t="s">
        <v>643</v>
      </c>
      <c r="H217" s="185" t="s">
        <v>1182</v>
      </c>
    </row>
    <row r="218" spans="1:8" ht="15.75" customHeight="1">
      <c r="A218" s="72" t="s">
        <v>3800</v>
      </c>
      <c r="B218" s="72" t="s">
        <v>3801</v>
      </c>
      <c r="C218" s="72" t="s">
        <v>1197</v>
      </c>
      <c r="D218" s="72" t="s">
        <v>1198</v>
      </c>
      <c r="E218" s="184" t="s">
        <v>1180</v>
      </c>
      <c r="F218" s="72" t="s">
        <v>1181</v>
      </c>
      <c r="G218" s="185" t="s">
        <v>643</v>
      </c>
      <c r="H218" s="185" t="s">
        <v>1182</v>
      </c>
    </row>
    <row r="219" spans="1:8" ht="15.75" customHeight="1">
      <c r="A219" s="72" t="s">
        <v>3800</v>
      </c>
      <c r="B219" s="72" t="s">
        <v>3801</v>
      </c>
      <c r="C219" s="72" t="s">
        <v>1197</v>
      </c>
      <c r="D219" s="72" t="s">
        <v>1198</v>
      </c>
      <c r="E219" s="184" t="s">
        <v>648</v>
      </c>
      <c r="F219" s="72" t="s">
        <v>649</v>
      </c>
      <c r="G219" s="185" t="s">
        <v>636</v>
      </c>
      <c r="H219" s="185" t="s">
        <v>650</v>
      </c>
    </row>
    <row r="220" spans="1:8" ht="15.75" customHeight="1">
      <c r="A220" s="72" t="s">
        <v>3800</v>
      </c>
      <c r="B220" s="72" t="s">
        <v>3801</v>
      </c>
      <c r="C220" s="72" t="s">
        <v>1199</v>
      </c>
      <c r="D220" s="72" t="s">
        <v>1200</v>
      </c>
      <c r="E220" s="184" t="s">
        <v>1180</v>
      </c>
      <c r="F220" s="72" t="s">
        <v>1181</v>
      </c>
      <c r="G220" s="185" t="s">
        <v>643</v>
      </c>
      <c r="H220" s="185" t="s">
        <v>1182</v>
      </c>
    </row>
    <row r="221" spans="1:8" ht="15.75" customHeight="1">
      <c r="A221" s="72" t="s">
        <v>3800</v>
      </c>
      <c r="B221" s="72" t="s">
        <v>3801</v>
      </c>
      <c r="C221" s="72" t="s">
        <v>1201</v>
      </c>
      <c r="D221" s="72" t="s">
        <v>1202</v>
      </c>
      <c r="E221" s="184" t="s">
        <v>1180</v>
      </c>
      <c r="F221" s="72" t="s">
        <v>1181</v>
      </c>
      <c r="G221" s="185" t="s">
        <v>643</v>
      </c>
      <c r="H221" s="185" t="s">
        <v>1182</v>
      </c>
    </row>
    <row r="222" spans="1:8" ht="15.75" customHeight="1">
      <c r="A222" s="72" t="s">
        <v>3800</v>
      </c>
      <c r="B222" s="72" t="s">
        <v>3801</v>
      </c>
      <c r="C222" s="72" t="s">
        <v>1203</v>
      </c>
      <c r="D222" s="72" t="s">
        <v>1204</v>
      </c>
      <c r="E222" s="184" t="s">
        <v>1180</v>
      </c>
      <c r="F222" s="72" t="s">
        <v>1181</v>
      </c>
      <c r="G222" s="185" t="s">
        <v>643</v>
      </c>
      <c r="H222" s="185" t="s">
        <v>1182</v>
      </c>
    </row>
    <row r="223" spans="1:8" ht="15.75" customHeight="1">
      <c r="A223" s="72" t="s">
        <v>3800</v>
      </c>
      <c r="B223" s="72" t="s">
        <v>3801</v>
      </c>
      <c r="C223" s="72" t="s">
        <v>1205</v>
      </c>
      <c r="D223" s="72" t="s">
        <v>1206</v>
      </c>
      <c r="E223" s="184" t="s">
        <v>1180</v>
      </c>
      <c r="F223" s="72" t="s">
        <v>1181</v>
      </c>
      <c r="G223" s="185" t="s">
        <v>643</v>
      </c>
      <c r="H223" s="185" t="s">
        <v>1182</v>
      </c>
    </row>
    <row r="224" spans="1:8" ht="15.75" customHeight="1">
      <c r="A224" s="72" t="s">
        <v>3800</v>
      </c>
      <c r="B224" s="72" t="s">
        <v>3801</v>
      </c>
      <c r="C224" s="72" t="s">
        <v>1207</v>
      </c>
      <c r="D224" s="72" t="s">
        <v>1208</v>
      </c>
      <c r="E224" s="184" t="s">
        <v>648</v>
      </c>
      <c r="F224" s="72" t="s">
        <v>649</v>
      </c>
      <c r="G224" s="185" t="s">
        <v>636</v>
      </c>
      <c r="H224" s="185" t="s">
        <v>650</v>
      </c>
    </row>
    <row r="225" spans="1:8" ht="15.75" customHeight="1">
      <c r="A225" s="72" t="s">
        <v>3800</v>
      </c>
      <c r="B225" s="72" t="s">
        <v>3801</v>
      </c>
      <c r="C225" s="72" t="s">
        <v>1209</v>
      </c>
      <c r="D225" s="72" t="s">
        <v>1058</v>
      </c>
      <c r="E225" s="184" t="s">
        <v>648</v>
      </c>
      <c r="F225" s="72" t="s">
        <v>649</v>
      </c>
      <c r="G225" s="185" t="s">
        <v>636</v>
      </c>
      <c r="H225" s="185" t="s">
        <v>650</v>
      </c>
    </row>
    <row r="226" spans="1:8" ht="15.75" customHeight="1">
      <c r="A226" s="72" t="s">
        <v>3800</v>
      </c>
      <c r="B226" s="72" t="s">
        <v>3801</v>
      </c>
      <c r="C226" s="72" t="s">
        <v>1210</v>
      </c>
      <c r="D226" s="72" t="s">
        <v>1211</v>
      </c>
      <c r="E226" s="184" t="s">
        <v>1180</v>
      </c>
      <c r="F226" s="72" t="s">
        <v>1181</v>
      </c>
      <c r="G226" s="185" t="s">
        <v>643</v>
      </c>
      <c r="H226" s="185" t="s">
        <v>1182</v>
      </c>
    </row>
    <row r="227" spans="1:8" ht="15.75" customHeight="1">
      <c r="A227" s="72" t="s">
        <v>3802</v>
      </c>
      <c r="B227" s="72" t="s">
        <v>3803</v>
      </c>
      <c r="C227" s="72" t="s">
        <v>1212</v>
      </c>
      <c r="D227" s="72" t="s">
        <v>1213</v>
      </c>
      <c r="E227" s="184" t="s">
        <v>641</v>
      </c>
      <c r="F227" s="72" t="s">
        <v>642</v>
      </c>
      <c r="G227" s="185" t="s">
        <v>643</v>
      </c>
      <c r="H227" s="185" t="s">
        <v>644</v>
      </c>
    </row>
    <row r="228" spans="1:8" ht="15.75" customHeight="1">
      <c r="A228" s="72" t="s">
        <v>3802</v>
      </c>
      <c r="B228" s="72" t="s">
        <v>3803</v>
      </c>
      <c r="C228" s="72" t="s">
        <v>1214</v>
      </c>
      <c r="D228" s="72" t="s">
        <v>1215</v>
      </c>
      <c r="E228" s="184" t="s">
        <v>641</v>
      </c>
      <c r="F228" s="72" t="s">
        <v>642</v>
      </c>
      <c r="G228" s="185" t="s">
        <v>643</v>
      </c>
      <c r="H228" s="185" t="s">
        <v>644</v>
      </c>
    </row>
    <row r="229" spans="1:8" ht="15.75" customHeight="1">
      <c r="A229" s="72" t="s">
        <v>3804</v>
      </c>
      <c r="B229" s="72" t="s">
        <v>3805</v>
      </c>
      <c r="C229" s="72" t="s">
        <v>1216</v>
      </c>
      <c r="D229" s="72" t="s">
        <v>1217</v>
      </c>
      <c r="E229" s="184" t="s">
        <v>1180</v>
      </c>
      <c r="F229" s="72" t="s">
        <v>1181</v>
      </c>
      <c r="G229" s="185" t="s">
        <v>643</v>
      </c>
      <c r="H229" s="185" t="s">
        <v>1182</v>
      </c>
    </row>
    <row r="230" spans="1:8" ht="15.75" customHeight="1">
      <c r="A230" s="72" t="s">
        <v>3804</v>
      </c>
      <c r="B230" s="72" t="s">
        <v>3805</v>
      </c>
      <c r="C230" s="72" t="s">
        <v>1218</v>
      </c>
      <c r="D230" s="72" t="s">
        <v>1219</v>
      </c>
      <c r="E230" s="184" t="s">
        <v>1180</v>
      </c>
      <c r="F230" s="72" t="s">
        <v>1181</v>
      </c>
      <c r="G230" s="185" t="s">
        <v>643</v>
      </c>
      <c r="H230" s="185" t="s">
        <v>1182</v>
      </c>
    </row>
    <row r="231" spans="1:8" ht="15.75" customHeight="1">
      <c r="A231" s="72" t="s">
        <v>3804</v>
      </c>
      <c r="B231" s="72" t="s">
        <v>3805</v>
      </c>
      <c r="C231" s="72" t="s">
        <v>1220</v>
      </c>
      <c r="D231" s="72" t="s">
        <v>1221</v>
      </c>
      <c r="E231" s="184" t="s">
        <v>1180</v>
      </c>
      <c r="F231" s="72" t="s">
        <v>1181</v>
      </c>
      <c r="G231" s="185" t="s">
        <v>643</v>
      </c>
      <c r="H231" s="185" t="s">
        <v>1182</v>
      </c>
    </row>
    <row r="232" spans="1:8" ht="15.75" customHeight="1">
      <c r="A232" s="72" t="s">
        <v>3804</v>
      </c>
      <c r="B232" s="72" t="s">
        <v>3805</v>
      </c>
      <c r="C232" s="72" t="s">
        <v>1222</v>
      </c>
      <c r="D232" s="72" t="s">
        <v>1223</v>
      </c>
      <c r="E232" s="184" t="s">
        <v>1180</v>
      </c>
      <c r="F232" s="72" t="s">
        <v>1181</v>
      </c>
      <c r="G232" s="185" t="s">
        <v>643</v>
      </c>
      <c r="H232" s="185" t="s">
        <v>1182</v>
      </c>
    </row>
    <row r="233" spans="1:8" ht="15.75" customHeight="1">
      <c r="A233" s="72" t="s">
        <v>3804</v>
      </c>
      <c r="B233" s="72" t="s">
        <v>3805</v>
      </c>
      <c r="C233" s="72" t="s">
        <v>1224</v>
      </c>
      <c r="D233" s="72" t="s">
        <v>1225</v>
      </c>
      <c r="E233" s="184" t="s">
        <v>1180</v>
      </c>
      <c r="F233" s="72" t="s">
        <v>1181</v>
      </c>
      <c r="G233" s="185" t="s">
        <v>643</v>
      </c>
      <c r="H233" s="185" t="s">
        <v>1182</v>
      </c>
    </row>
    <row r="234" spans="1:8" ht="15.75" customHeight="1">
      <c r="A234" s="72" t="s">
        <v>3804</v>
      </c>
      <c r="B234" s="72" t="s">
        <v>3805</v>
      </c>
      <c r="C234" s="72" t="s">
        <v>1226</v>
      </c>
      <c r="D234" s="72" t="s">
        <v>1227</v>
      </c>
      <c r="E234" s="184" t="s">
        <v>1180</v>
      </c>
      <c r="F234" s="72" t="s">
        <v>1181</v>
      </c>
      <c r="G234" s="185" t="s">
        <v>643</v>
      </c>
      <c r="H234" s="185" t="s">
        <v>1182</v>
      </c>
    </row>
    <row r="235" spans="1:8" ht="15.75" customHeight="1">
      <c r="A235" s="72" t="s">
        <v>3806</v>
      </c>
      <c r="B235" s="72" t="s">
        <v>3807</v>
      </c>
      <c r="C235" s="72" t="s">
        <v>1228</v>
      </c>
      <c r="D235" s="72" t="s">
        <v>1229</v>
      </c>
      <c r="E235" s="184" t="s">
        <v>648</v>
      </c>
      <c r="F235" s="72" t="s">
        <v>649</v>
      </c>
      <c r="G235" s="185" t="s">
        <v>636</v>
      </c>
      <c r="H235" s="185" t="s">
        <v>650</v>
      </c>
    </row>
    <row r="236" spans="1:8" ht="15.75" customHeight="1">
      <c r="A236" s="72" t="s">
        <v>3806</v>
      </c>
      <c r="B236" s="72" t="s">
        <v>3807</v>
      </c>
      <c r="C236" s="72" t="s">
        <v>1230</v>
      </c>
      <c r="D236" s="72" t="s">
        <v>1231</v>
      </c>
      <c r="E236" s="184" t="s">
        <v>648</v>
      </c>
      <c r="F236" s="72" t="s">
        <v>649</v>
      </c>
      <c r="G236" s="185" t="s">
        <v>636</v>
      </c>
      <c r="H236" s="185" t="s">
        <v>650</v>
      </c>
    </row>
    <row r="237" spans="1:8" ht="15.75" customHeight="1">
      <c r="A237" s="72" t="s">
        <v>3806</v>
      </c>
      <c r="B237" s="72" t="s">
        <v>3807</v>
      </c>
      <c r="C237" s="72" t="s">
        <v>1232</v>
      </c>
      <c r="D237" s="72" t="s">
        <v>1233</v>
      </c>
      <c r="E237" s="184" t="s">
        <v>648</v>
      </c>
      <c r="F237" s="72" t="s">
        <v>649</v>
      </c>
      <c r="G237" s="185" t="s">
        <v>636</v>
      </c>
      <c r="H237" s="185" t="s">
        <v>650</v>
      </c>
    </row>
    <row r="238" spans="1:8" ht="15.75" customHeight="1">
      <c r="A238" s="72" t="s">
        <v>3806</v>
      </c>
      <c r="B238" s="72" t="s">
        <v>3807</v>
      </c>
      <c r="C238" s="72" t="s">
        <v>1234</v>
      </c>
      <c r="D238" s="72" t="s">
        <v>1235</v>
      </c>
      <c r="E238" s="184" t="s">
        <v>648</v>
      </c>
      <c r="F238" s="72" t="s">
        <v>649</v>
      </c>
      <c r="G238" s="185" t="s">
        <v>636</v>
      </c>
      <c r="H238" s="185" t="s">
        <v>650</v>
      </c>
    </row>
    <row r="239" spans="1:8" ht="15.75" customHeight="1">
      <c r="A239" s="72" t="s">
        <v>3806</v>
      </c>
      <c r="B239" s="72" t="s">
        <v>3807</v>
      </c>
      <c r="C239" s="72" t="s">
        <v>1236</v>
      </c>
      <c r="D239" s="72" t="s">
        <v>1237</v>
      </c>
      <c r="E239" s="184" t="s">
        <v>648</v>
      </c>
      <c r="F239" s="72" t="s">
        <v>649</v>
      </c>
      <c r="G239" s="185" t="s">
        <v>636</v>
      </c>
      <c r="H239" s="185" t="s">
        <v>650</v>
      </c>
    </row>
    <row r="240" spans="1:8" ht="15.75" customHeight="1">
      <c r="A240" s="72" t="s">
        <v>3806</v>
      </c>
      <c r="B240" s="72" t="s">
        <v>3807</v>
      </c>
      <c r="C240" s="72" t="s">
        <v>1238</v>
      </c>
      <c r="D240" s="72" t="s">
        <v>1239</v>
      </c>
      <c r="E240" s="184" t="s">
        <v>648</v>
      </c>
      <c r="F240" s="72" t="s">
        <v>649</v>
      </c>
      <c r="G240" s="185" t="s">
        <v>636</v>
      </c>
      <c r="H240" s="185" t="s">
        <v>650</v>
      </c>
    </row>
    <row r="241" spans="1:8" ht="15.75" customHeight="1">
      <c r="A241" s="72" t="s">
        <v>3806</v>
      </c>
      <c r="B241" s="72" t="s">
        <v>3807</v>
      </c>
      <c r="C241" s="72" t="s">
        <v>1240</v>
      </c>
      <c r="D241" s="72" t="s">
        <v>1241</v>
      </c>
      <c r="E241" s="184" t="s">
        <v>648</v>
      </c>
      <c r="F241" s="72" t="s">
        <v>649</v>
      </c>
      <c r="G241" s="185" t="s">
        <v>636</v>
      </c>
      <c r="H241" s="185" t="s">
        <v>650</v>
      </c>
    </row>
    <row r="242" spans="1:8" ht="15.75" customHeight="1">
      <c r="A242" s="72" t="s">
        <v>3806</v>
      </c>
      <c r="B242" s="72" t="s">
        <v>3807</v>
      </c>
      <c r="C242" s="72" t="s">
        <v>1242</v>
      </c>
      <c r="D242" s="72" t="s">
        <v>1146</v>
      </c>
      <c r="E242" s="184" t="s">
        <v>648</v>
      </c>
      <c r="F242" s="72" t="s">
        <v>649</v>
      </c>
      <c r="G242" s="185" t="s">
        <v>636</v>
      </c>
      <c r="H242" s="185" t="s">
        <v>650</v>
      </c>
    </row>
    <row r="243" spans="1:8" ht="15.75" customHeight="1">
      <c r="A243" s="72" t="s">
        <v>3808</v>
      </c>
      <c r="B243" s="72" t="s">
        <v>3809</v>
      </c>
      <c r="C243" s="72" t="s">
        <v>1243</v>
      </c>
      <c r="D243" s="72" t="s">
        <v>1244</v>
      </c>
      <c r="E243" s="184" t="s">
        <v>668</v>
      </c>
      <c r="F243" s="72" t="s">
        <v>669</v>
      </c>
      <c r="G243" s="185" t="s">
        <v>636</v>
      </c>
      <c r="H243" s="185" t="s">
        <v>670</v>
      </c>
    </row>
    <row r="244" spans="1:8" ht="15.75" customHeight="1">
      <c r="A244" s="72" t="s">
        <v>3808</v>
      </c>
      <c r="B244" s="72" t="s">
        <v>3809</v>
      </c>
      <c r="C244" s="72" t="s">
        <v>1245</v>
      </c>
      <c r="D244" s="72" t="s">
        <v>1246</v>
      </c>
      <c r="E244" s="184" t="s">
        <v>641</v>
      </c>
      <c r="F244" s="72" t="s">
        <v>642</v>
      </c>
      <c r="G244" s="185" t="s">
        <v>643</v>
      </c>
      <c r="H244" s="185" t="s">
        <v>644</v>
      </c>
    </row>
    <row r="245" spans="1:8" ht="15.75" customHeight="1">
      <c r="A245" s="72" t="s">
        <v>3808</v>
      </c>
      <c r="B245" s="72" t="s">
        <v>3809</v>
      </c>
      <c r="C245" s="72" t="s">
        <v>1245</v>
      </c>
      <c r="D245" s="72" t="s">
        <v>1246</v>
      </c>
      <c r="E245" s="184" t="s">
        <v>668</v>
      </c>
      <c r="F245" s="72" t="s">
        <v>669</v>
      </c>
      <c r="G245" s="185" t="s">
        <v>636</v>
      </c>
      <c r="H245" s="185" t="s">
        <v>670</v>
      </c>
    </row>
    <row r="246" spans="1:8" ht="15.75" customHeight="1">
      <c r="A246" s="72" t="s">
        <v>3808</v>
      </c>
      <c r="B246" s="72" t="s">
        <v>3809</v>
      </c>
      <c r="C246" s="72" t="s">
        <v>1247</v>
      </c>
      <c r="D246" s="72" t="s">
        <v>1248</v>
      </c>
      <c r="E246" s="184" t="s">
        <v>668</v>
      </c>
      <c r="F246" s="72" t="s">
        <v>669</v>
      </c>
      <c r="G246" s="185" t="s">
        <v>636</v>
      </c>
      <c r="H246" s="185" t="s">
        <v>670</v>
      </c>
    </row>
    <row r="247" spans="1:8" ht="15.75" customHeight="1">
      <c r="A247" s="72" t="s">
        <v>3808</v>
      </c>
      <c r="B247" s="72" t="s">
        <v>3809</v>
      </c>
      <c r="C247" s="72" t="s">
        <v>1249</v>
      </c>
      <c r="D247" s="72" t="s">
        <v>1250</v>
      </c>
      <c r="E247" s="184" t="s">
        <v>668</v>
      </c>
      <c r="F247" s="72" t="s">
        <v>669</v>
      </c>
      <c r="G247" s="185" t="s">
        <v>636</v>
      </c>
      <c r="H247" s="185" t="s">
        <v>670</v>
      </c>
    </row>
    <row r="248" spans="1:8" ht="15.75" customHeight="1">
      <c r="A248" s="72" t="s">
        <v>3808</v>
      </c>
      <c r="B248" s="72" t="s">
        <v>3809</v>
      </c>
      <c r="C248" s="72" t="s">
        <v>1251</v>
      </c>
      <c r="D248" s="72" t="s">
        <v>1252</v>
      </c>
      <c r="E248" s="184" t="s">
        <v>668</v>
      </c>
      <c r="F248" s="72" t="s">
        <v>669</v>
      </c>
      <c r="G248" s="185" t="s">
        <v>636</v>
      </c>
      <c r="H248" s="185" t="s">
        <v>670</v>
      </c>
    </row>
    <row r="249" spans="1:8" ht="15.75" customHeight="1">
      <c r="A249" s="72" t="s">
        <v>3808</v>
      </c>
      <c r="B249" s="72" t="s">
        <v>3809</v>
      </c>
      <c r="C249" s="72" t="s">
        <v>1253</v>
      </c>
      <c r="D249" s="72" t="s">
        <v>1254</v>
      </c>
      <c r="E249" s="184" t="s">
        <v>668</v>
      </c>
      <c r="F249" s="72" t="s">
        <v>669</v>
      </c>
      <c r="G249" s="185" t="s">
        <v>636</v>
      </c>
      <c r="H249" s="185" t="s">
        <v>670</v>
      </c>
    </row>
    <row r="250" spans="1:8" ht="15.75" customHeight="1">
      <c r="A250" s="72" t="s">
        <v>3808</v>
      </c>
      <c r="B250" s="72" t="s">
        <v>3809</v>
      </c>
      <c r="C250" s="72" t="s">
        <v>1255</v>
      </c>
      <c r="D250" s="72" t="s">
        <v>1256</v>
      </c>
      <c r="E250" s="184" t="s">
        <v>668</v>
      </c>
      <c r="F250" s="72" t="s">
        <v>669</v>
      </c>
      <c r="G250" s="185" t="s">
        <v>636</v>
      </c>
      <c r="H250" s="185" t="s">
        <v>670</v>
      </c>
    </row>
    <row r="251" spans="1:8" ht="15.75" customHeight="1">
      <c r="A251" s="72" t="s">
        <v>3808</v>
      </c>
      <c r="B251" s="72" t="s">
        <v>3809</v>
      </c>
      <c r="C251" s="72" t="s">
        <v>1257</v>
      </c>
      <c r="D251" s="72" t="s">
        <v>1258</v>
      </c>
      <c r="E251" s="184" t="s">
        <v>668</v>
      </c>
      <c r="F251" s="72" t="s">
        <v>669</v>
      </c>
      <c r="G251" s="185" t="s">
        <v>636</v>
      </c>
      <c r="H251" s="185" t="s">
        <v>670</v>
      </c>
    </row>
    <row r="252" spans="1:8" ht="15.75" customHeight="1">
      <c r="A252" s="72" t="s">
        <v>3808</v>
      </c>
      <c r="B252" s="72" t="s">
        <v>3809</v>
      </c>
      <c r="C252" s="72" t="s">
        <v>1259</v>
      </c>
      <c r="D252" s="72" t="s">
        <v>1260</v>
      </c>
      <c r="E252" s="184" t="s">
        <v>668</v>
      </c>
      <c r="F252" s="72" t="s">
        <v>669</v>
      </c>
      <c r="G252" s="185" t="s">
        <v>636</v>
      </c>
      <c r="H252" s="185" t="s">
        <v>670</v>
      </c>
    </row>
    <row r="253" spans="1:8" ht="15.75" customHeight="1">
      <c r="A253" s="72" t="s">
        <v>3808</v>
      </c>
      <c r="B253" s="72" t="s">
        <v>3809</v>
      </c>
      <c r="C253" s="72" t="s">
        <v>1261</v>
      </c>
      <c r="D253" s="72" t="s">
        <v>1262</v>
      </c>
      <c r="E253" s="184" t="s">
        <v>668</v>
      </c>
      <c r="F253" s="72" t="s">
        <v>669</v>
      </c>
      <c r="G253" s="185" t="s">
        <v>636</v>
      </c>
      <c r="H253" s="185" t="s">
        <v>670</v>
      </c>
    </row>
    <row r="254" spans="1:8" ht="15.75" customHeight="1">
      <c r="A254" s="72" t="s">
        <v>3808</v>
      </c>
      <c r="B254" s="72" t="s">
        <v>3809</v>
      </c>
      <c r="C254" s="72" t="s">
        <v>1263</v>
      </c>
      <c r="D254" s="72" t="s">
        <v>1264</v>
      </c>
      <c r="E254" s="184" t="s">
        <v>668</v>
      </c>
      <c r="F254" s="72" t="s">
        <v>669</v>
      </c>
      <c r="G254" s="185" t="s">
        <v>636</v>
      </c>
      <c r="H254" s="185" t="s">
        <v>670</v>
      </c>
    </row>
    <row r="255" spans="1:8" ht="15.75" customHeight="1">
      <c r="A255" s="72" t="s">
        <v>3808</v>
      </c>
      <c r="B255" s="72" t="s">
        <v>3809</v>
      </c>
      <c r="C255" s="72" t="s">
        <v>1265</v>
      </c>
      <c r="D255" s="72" t="s">
        <v>1266</v>
      </c>
      <c r="E255" s="184" t="s">
        <v>668</v>
      </c>
      <c r="F255" s="72" t="s">
        <v>669</v>
      </c>
      <c r="G255" s="185" t="s">
        <v>636</v>
      </c>
      <c r="H255" s="185" t="s">
        <v>670</v>
      </c>
    </row>
    <row r="256" spans="1:8" ht="15.75" customHeight="1">
      <c r="A256" s="72" t="s">
        <v>3808</v>
      </c>
      <c r="B256" s="72" t="s">
        <v>3809</v>
      </c>
      <c r="C256" s="72" t="s">
        <v>1267</v>
      </c>
      <c r="D256" s="72" t="s">
        <v>1268</v>
      </c>
      <c r="E256" s="184" t="s">
        <v>668</v>
      </c>
      <c r="F256" s="72" t="s">
        <v>669</v>
      </c>
      <c r="G256" s="185" t="s">
        <v>636</v>
      </c>
      <c r="H256" s="185" t="s">
        <v>670</v>
      </c>
    </row>
    <row r="257" spans="1:8" ht="15.75" customHeight="1">
      <c r="A257" s="72" t="s">
        <v>3808</v>
      </c>
      <c r="B257" s="72" t="s">
        <v>3809</v>
      </c>
      <c r="C257" s="72" t="s">
        <v>1269</v>
      </c>
      <c r="D257" s="72" t="s">
        <v>1270</v>
      </c>
      <c r="E257" s="184" t="s">
        <v>668</v>
      </c>
      <c r="F257" s="72" t="s">
        <v>669</v>
      </c>
      <c r="G257" s="185" t="s">
        <v>636</v>
      </c>
      <c r="H257" s="185" t="s">
        <v>670</v>
      </c>
    </row>
    <row r="258" spans="1:8" ht="15.75" customHeight="1">
      <c r="A258" s="72" t="s">
        <v>3808</v>
      </c>
      <c r="B258" s="72" t="s">
        <v>3809</v>
      </c>
      <c r="C258" s="72" t="s">
        <v>1271</v>
      </c>
      <c r="D258" s="72" t="s">
        <v>1272</v>
      </c>
      <c r="E258" s="184" t="s">
        <v>668</v>
      </c>
      <c r="F258" s="72" t="s">
        <v>669</v>
      </c>
      <c r="G258" s="185" t="s">
        <v>636</v>
      </c>
      <c r="H258" s="185" t="s">
        <v>670</v>
      </c>
    </row>
    <row r="259" spans="1:8" ht="15.75" customHeight="1">
      <c r="A259" s="72" t="s">
        <v>3808</v>
      </c>
      <c r="B259" s="72" t="s">
        <v>3809</v>
      </c>
      <c r="C259" s="72" t="s">
        <v>1273</v>
      </c>
      <c r="D259" s="72" t="s">
        <v>1274</v>
      </c>
      <c r="E259" s="184" t="s">
        <v>668</v>
      </c>
      <c r="F259" s="72" t="s">
        <v>669</v>
      </c>
      <c r="G259" s="185" t="s">
        <v>636</v>
      </c>
      <c r="H259" s="185" t="s">
        <v>670</v>
      </c>
    </row>
    <row r="260" spans="1:8" ht="15.75" customHeight="1">
      <c r="A260" s="72" t="s">
        <v>3808</v>
      </c>
      <c r="B260" s="72" t="s">
        <v>3809</v>
      </c>
      <c r="C260" s="72" t="s">
        <v>1275</v>
      </c>
      <c r="D260" s="72" t="s">
        <v>1276</v>
      </c>
      <c r="E260" s="184" t="s">
        <v>668</v>
      </c>
      <c r="F260" s="72" t="s">
        <v>669</v>
      </c>
      <c r="G260" s="185" t="s">
        <v>636</v>
      </c>
      <c r="H260" s="185" t="s">
        <v>670</v>
      </c>
    </row>
    <row r="261" spans="1:8" ht="15.75" customHeight="1">
      <c r="A261" s="72" t="s">
        <v>3808</v>
      </c>
      <c r="B261" s="72" t="s">
        <v>3809</v>
      </c>
      <c r="C261" s="72" t="s">
        <v>1277</v>
      </c>
      <c r="D261" s="72" t="s">
        <v>1278</v>
      </c>
      <c r="E261" s="184" t="s">
        <v>668</v>
      </c>
      <c r="F261" s="72" t="s">
        <v>669</v>
      </c>
      <c r="G261" s="185" t="s">
        <v>636</v>
      </c>
      <c r="H261" s="185" t="s">
        <v>670</v>
      </c>
    </row>
    <row r="262" spans="1:8" ht="15.75" customHeight="1">
      <c r="A262" s="72" t="s">
        <v>3808</v>
      </c>
      <c r="B262" s="72" t="s">
        <v>3809</v>
      </c>
      <c r="C262" s="72" t="s">
        <v>1279</v>
      </c>
      <c r="D262" s="72" t="s">
        <v>1280</v>
      </c>
      <c r="E262" s="184" t="s">
        <v>668</v>
      </c>
      <c r="F262" s="72" t="s">
        <v>669</v>
      </c>
      <c r="G262" s="185" t="s">
        <v>636</v>
      </c>
      <c r="H262" s="185" t="s">
        <v>670</v>
      </c>
    </row>
    <row r="263" spans="1:8" ht="15.75" customHeight="1">
      <c r="A263" s="72" t="s">
        <v>3808</v>
      </c>
      <c r="B263" s="72" t="s">
        <v>3809</v>
      </c>
      <c r="C263" s="72" t="s">
        <v>1281</v>
      </c>
      <c r="D263" s="72" t="s">
        <v>1282</v>
      </c>
      <c r="E263" s="184" t="s">
        <v>668</v>
      </c>
      <c r="F263" s="72" t="s">
        <v>669</v>
      </c>
      <c r="G263" s="185" t="s">
        <v>636</v>
      </c>
      <c r="H263" s="185" t="s">
        <v>670</v>
      </c>
    </row>
    <row r="264" spans="1:8" ht="15.75" customHeight="1">
      <c r="A264" s="72" t="s">
        <v>3808</v>
      </c>
      <c r="B264" s="72" t="s">
        <v>3809</v>
      </c>
      <c r="C264" s="72" t="s">
        <v>1283</v>
      </c>
      <c r="D264" s="72" t="s">
        <v>1146</v>
      </c>
      <c r="E264" s="184" t="s">
        <v>668</v>
      </c>
      <c r="F264" s="72" t="s">
        <v>669</v>
      </c>
      <c r="G264" s="185" t="s">
        <v>636</v>
      </c>
      <c r="H264" s="185" t="s">
        <v>670</v>
      </c>
    </row>
    <row r="265" spans="1:8" ht="15.75" customHeight="1">
      <c r="A265" s="72" t="s">
        <v>3810</v>
      </c>
      <c r="B265" s="72" t="s">
        <v>3811</v>
      </c>
      <c r="C265" s="72" t="s">
        <v>1284</v>
      </c>
      <c r="D265" s="72" t="s">
        <v>1285</v>
      </c>
      <c r="E265" s="184" t="s">
        <v>648</v>
      </c>
      <c r="F265" s="72" t="s">
        <v>649</v>
      </c>
      <c r="G265" s="185" t="s">
        <v>636</v>
      </c>
      <c r="H265" s="185" t="s">
        <v>650</v>
      </c>
    </row>
    <row r="266" spans="1:8" ht="15.75" customHeight="1">
      <c r="A266" s="72" t="s">
        <v>3810</v>
      </c>
      <c r="B266" s="72" t="s">
        <v>3811</v>
      </c>
      <c r="C266" s="72" t="s">
        <v>1286</v>
      </c>
      <c r="D266" s="72" t="s">
        <v>1287</v>
      </c>
      <c r="E266" s="184" t="s">
        <v>648</v>
      </c>
      <c r="F266" s="72" t="s">
        <v>649</v>
      </c>
      <c r="G266" s="185" t="s">
        <v>636</v>
      </c>
      <c r="H266" s="185" t="s">
        <v>650</v>
      </c>
    </row>
    <row r="267" spans="1:8" ht="15.75" customHeight="1">
      <c r="A267" s="72" t="s">
        <v>3810</v>
      </c>
      <c r="B267" s="72" t="s">
        <v>3811</v>
      </c>
      <c r="C267" s="72" t="s">
        <v>1288</v>
      </c>
      <c r="D267" s="72" t="s">
        <v>1289</v>
      </c>
      <c r="E267" s="184" t="s">
        <v>648</v>
      </c>
      <c r="F267" s="72" t="s">
        <v>649</v>
      </c>
      <c r="G267" s="185" t="s">
        <v>636</v>
      </c>
      <c r="H267" s="185" t="s">
        <v>650</v>
      </c>
    </row>
    <row r="268" spans="1:8" ht="15.75" customHeight="1">
      <c r="A268" s="72" t="s">
        <v>3810</v>
      </c>
      <c r="B268" s="72" t="s">
        <v>3811</v>
      </c>
      <c r="C268" s="72" t="s">
        <v>1290</v>
      </c>
      <c r="D268" s="72" t="s">
        <v>1291</v>
      </c>
      <c r="E268" s="184" t="s">
        <v>648</v>
      </c>
      <c r="F268" s="72" t="s">
        <v>649</v>
      </c>
      <c r="G268" s="185" t="s">
        <v>636</v>
      </c>
      <c r="H268" s="185" t="s">
        <v>650</v>
      </c>
    </row>
    <row r="269" spans="1:8" ht="15.75" customHeight="1">
      <c r="A269" s="72" t="s">
        <v>3810</v>
      </c>
      <c r="B269" s="72" t="s">
        <v>3811</v>
      </c>
      <c r="C269" s="72" t="s">
        <v>1292</v>
      </c>
      <c r="D269" s="72" t="s">
        <v>1293</v>
      </c>
      <c r="E269" s="184" t="s">
        <v>648</v>
      </c>
      <c r="F269" s="72" t="s">
        <v>649</v>
      </c>
      <c r="G269" s="185" t="s">
        <v>636</v>
      </c>
      <c r="H269" s="185" t="s">
        <v>650</v>
      </c>
    </row>
    <row r="270" spans="1:8" ht="15.75" customHeight="1">
      <c r="A270" s="72" t="s">
        <v>3810</v>
      </c>
      <c r="B270" s="72" t="s">
        <v>3811</v>
      </c>
      <c r="C270" s="72" t="s">
        <v>1294</v>
      </c>
      <c r="D270" s="72" t="s">
        <v>1295</v>
      </c>
      <c r="E270" s="184" t="s">
        <v>648</v>
      </c>
      <c r="F270" s="72" t="s">
        <v>649</v>
      </c>
      <c r="G270" s="185" t="s">
        <v>636</v>
      </c>
      <c r="H270" s="185" t="s">
        <v>650</v>
      </c>
    </row>
    <row r="271" spans="1:8" ht="15.75" customHeight="1">
      <c r="A271" s="72" t="s">
        <v>3810</v>
      </c>
      <c r="B271" s="72" t="s">
        <v>3811</v>
      </c>
      <c r="C271" s="72" t="s">
        <v>1296</v>
      </c>
      <c r="D271" s="72" t="s">
        <v>1297</v>
      </c>
      <c r="E271" s="184" t="s">
        <v>648</v>
      </c>
      <c r="F271" s="72" t="s">
        <v>649</v>
      </c>
      <c r="G271" s="185" t="s">
        <v>636</v>
      </c>
      <c r="H271" s="185" t="s">
        <v>650</v>
      </c>
    </row>
    <row r="272" spans="1:8" ht="15.75" customHeight="1">
      <c r="A272" s="72" t="s">
        <v>3812</v>
      </c>
      <c r="B272" s="72" t="s">
        <v>3813</v>
      </c>
      <c r="C272" s="72" t="s">
        <v>1298</v>
      </c>
      <c r="D272" s="72" t="s">
        <v>1299</v>
      </c>
      <c r="E272" s="184" t="s">
        <v>648</v>
      </c>
      <c r="F272" s="72" t="s">
        <v>649</v>
      </c>
      <c r="G272" s="185" t="s">
        <v>636</v>
      </c>
      <c r="H272" s="185" t="s">
        <v>650</v>
      </c>
    </row>
    <row r="273" spans="1:8" ht="15.75" customHeight="1">
      <c r="A273" s="72" t="s">
        <v>3812</v>
      </c>
      <c r="B273" s="72" t="s">
        <v>3813</v>
      </c>
      <c r="C273" s="72" t="s">
        <v>1300</v>
      </c>
      <c r="D273" s="72" t="s">
        <v>1301</v>
      </c>
      <c r="E273" s="184" t="s">
        <v>648</v>
      </c>
      <c r="F273" s="72" t="s">
        <v>649</v>
      </c>
      <c r="G273" s="185" t="s">
        <v>636</v>
      </c>
      <c r="H273" s="185" t="s">
        <v>650</v>
      </c>
    </row>
    <row r="274" spans="1:8" ht="15.75" customHeight="1">
      <c r="A274" s="72" t="s">
        <v>3812</v>
      </c>
      <c r="B274" s="72" t="s">
        <v>3813</v>
      </c>
      <c r="C274" s="72" t="s">
        <v>1302</v>
      </c>
      <c r="D274" s="72" t="s">
        <v>1303</v>
      </c>
      <c r="E274" s="184" t="s">
        <v>648</v>
      </c>
      <c r="F274" s="72" t="s">
        <v>649</v>
      </c>
      <c r="G274" s="185" t="s">
        <v>636</v>
      </c>
      <c r="H274" s="185" t="s">
        <v>650</v>
      </c>
    </row>
    <row r="275" spans="1:8" ht="15.75" customHeight="1">
      <c r="A275" s="72" t="s">
        <v>3812</v>
      </c>
      <c r="B275" s="72" t="s">
        <v>3813</v>
      </c>
      <c r="C275" s="72" t="s">
        <v>1304</v>
      </c>
      <c r="D275" s="72" t="s">
        <v>1305</v>
      </c>
      <c r="E275" s="184" t="s">
        <v>648</v>
      </c>
      <c r="F275" s="72" t="s">
        <v>649</v>
      </c>
      <c r="G275" s="185" t="s">
        <v>636</v>
      </c>
      <c r="H275" s="185" t="s">
        <v>650</v>
      </c>
    </row>
    <row r="276" spans="1:8" ht="15.75" customHeight="1">
      <c r="A276" s="72" t="s">
        <v>3812</v>
      </c>
      <c r="B276" s="72" t="s">
        <v>3813</v>
      </c>
      <c r="C276" s="72" t="s">
        <v>1306</v>
      </c>
      <c r="D276" s="72" t="s">
        <v>1307</v>
      </c>
      <c r="E276" s="184" t="s">
        <v>648</v>
      </c>
      <c r="F276" s="72" t="s">
        <v>649</v>
      </c>
      <c r="G276" s="185" t="s">
        <v>636</v>
      </c>
      <c r="H276" s="185" t="s">
        <v>650</v>
      </c>
    </row>
    <row r="277" spans="1:8" ht="15.75" customHeight="1">
      <c r="A277" s="72" t="s">
        <v>3812</v>
      </c>
      <c r="B277" s="72" t="s">
        <v>3813</v>
      </c>
      <c r="C277" s="72" t="s">
        <v>1308</v>
      </c>
      <c r="D277" s="72" t="s">
        <v>1309</v>
      </c>
      <c r="E277" s="184" t="s">
        <v>648</v>
      </c>
      <c r="F277" s="72" t="s">
        <v>649</v>
      </c>
      <c r="G277" s="185" t="s">
        <v>636</v>
      </c>
      <c r="H277" s="185" t="s">
        <v>650</v>
      </c>
    </row>
    <row r="278" spans="1:8" ht="15.75" customHeight="1">
      <c r="A278" s="72" t="s">
        <v>3812</v>
      </c>
      <c r="B278" s="72" t="s">
        <v>3813</v>
      </c>
      <c r="C278" s="72" t="s">
        <v>1310</v>
      </c>
      <c r="D278" s="72" t="s">
        <v>1311</v>
      </c>
      <c r="E278" s="184" t="s">
        <v>648</v>
      </c>
      <c r="F278" s="72" t="s">
        <v>649</v>
      </c>
      <c r="G278" s="185" t="s">
        <v>636</v>
      </c>
      <c r="H278" s="185" t="s">
        <v>650</v>
      </c>
    </row>
    <row r="279" spans="1:8" ht="15.75" customHeight="1">
      <c r="A279" s="72" t="s">
        <v>3812</v>
      </c>
      <c r="B279" s="72" t="s">
        <v>3813</v>
      </c>
      <c r="C279" s="72" t="s">
        <v>1312</v>
      </c>
      <c r="D279" s="72" t="s">
        <v>1313</v>
      </c>
      <c r="E279" s="184" t="s">
        <v>648</v>
      </c>
      <c r="F279" s="72" t="s">
        <v>649</v>
      </c>
      <c r="G279" s="185" t="s">
        <v>636</v>
      </c>
      <c r="H279" s="185" t="s">
        <v>650</v>
      </c>
    </row>
    <row r="280" spans="1:8" ht="15.75" customHeight="1">
      <c r="A280" s="72" t="s">
        <v>3812</v>
      </c>
      <c r="B280" s="72" t="s">
        <v>3813</v>
      </c>
      <c r="C280" s="72" t="s">
        <v>1314</v>
      </c>
      <c r="D280" s="72" t="s">
        <v>1315</v>
      </c>
      <c r="E280" s="184" t="s">
        <v>648</v>
      </c>
      <c r="F280" s="72" t="s">
        <v>649</v>
      </c>
      <c r="G280" s="185" t="s">
        <v>636</v>
      </c>
      <c r="H280" s="185" t="s">
        <v>650</v>
      </c>
    </row>
    <row r="281" spans="1:8" ht="15.75" customHeight="1">
      <c r="A281" s="72" t="s">
        <v>3812</v>
      </c>
      <c r="B281" s="72" t="s">
        <v>3813</v>
      </c>
      <c r="C281" s="72" t="s">
        <v>1316</v>
      </c>
      <c r="D281" s="72" t="s">
        <v>1317</v>
      </c>
      <c r="E281" s="184" t="s">
        <v>648</v>
      </c>
      <c r="F281" s="72" t="s">
        <v>649</v>
      </c>
      <c r="G281" s="185" t="s">
        <v>636</v>
      </c>
      <c r="H281" s="185" t="s">
        <v>650</v>
      </c>
    </row>
    <row r="282" spans="1:8" ht="15.75" customHeight="1">
      <c r="A282" s="72" t="s">
        <v>3812</v>
      </c>
      <c r="B282" s="72" t="s">
        <v>3813</v>
      </c>
      <c r="C282" s="72" t="s">
        <v>1318</v>
      </c>
      <c r="D282" s="72" t="s">
        <v>1319</v>
      </c>
      <c r="E282" s="184" t="s">
        <v>648</v>
      </c>
      <c r="F282" s="72" t="s">
        <v>649</v>
      </c>
      <c r="G282" s="185" t="s">
        <v>636</v>
      </c>
      <c r="H282" s="185" t="s">
        <v>650</v>
      </c>
    </row>
    <row r="283" spans="1:8" ht="15.75" customHeight="1">
      <c r="A283" s="72" t="s">
        <v>3812</v>
      </c>
      <c r="B283" s="72" t="s">
        <v>3813</v>
      </c>
      <c r="C283" s="72" t="s">
        <v>1320</v>
      </c>
      <c r="D283" s="72" t="s">
        <v>1321</v>
      </c>
      <c r="E283" s="184" t="s">
        <v>648</v>
      </c>
      <c r="F283" s="72" t="s">
        <v>649</v>
      </c>
      <c r="G283" s="185" t="s">
        <v>636</v>
      </c>
      <c r="H283" s="185" t="s">
        <v>650</v>
      </c>
    </row>
    <row r="284" spans="1:8" ht="15.75" customHeight="1">
      <c r="A284" s="72" t="s">
        <v>3812</v>
      </c>
      <c r="B284" s="72" t="s">
        <v>3813</v>
      </c>
      <c r="C284" s="72" t="s">
        <v>1322</v>
      </c>
      <c r="D284" s="72" t="s">
        <v>1323</v>
      </c>
      <c r="E284" s="184" t="s">
        <v>648</v>
      </c>
      <c r="F284" s="72" t="s">
        <v>649</v>
      </c>
      <c r="G284" s="185" t="s">
        <v>636</v>
      </c>
      <c r="H284" s="185" t="s">
        <v>650</v>
      </c>
    </row>
    <row r="285" spans="1:8" ht="15.75" customHeight="1">
      <c r="A285" s="72" t="s">
        <v>3812</v>
      </c>
      <c r="B285" s="72" t="s">
        <v>3813</v>
      </c>
      <c r="C285" s="72" t="s">
        <v>1324</v>
      </c>
      <c r="D285" s="72" t="s">
        <v>1325</v>
      </c>
      <c r="E285" s="184" t="s">
        <v>648</v>
      </c>
      <c r="F285" s="72" t="s">
        <v>649</v>
      </c>
      <c r="G285" s="185" t="s">
        <v>636</v>
      </c>
      <c r="H285" s="185" t="s">
        <v>650</v>
      </c>
    </row>
    <row r="286" spans="1:8" ht="15.75" customHeight="1">
      <c r="A286" s="72" t="s">
        <v>3812</v>
      </c>
      <c r="B286" s="72" t="s">
        <v>3813</v>
      </c>
      <c r="C286" s="72" t="s">
        <v>1326</v>
      </c>
      <c r="D286" s="72" t="s">
        <v>1327</v>
      </c>
      <c r="E286" s="184" t="s">
        <v>648</v>
      </c>
      <c r="F286" s="72" t="s">
        <v>649</v>
      </c>
      <c r="G286" s="185" t="s">
        <v>636</v>
      </c>
      <c r="H286" s="185" t="s">
        <v>650</v>
      </c>
    </row>
    <row r="287" spans="1:8" ht="15.75" customHeight="1">
      <c r="A287" s="72" t="s">
        <v>3812</v>
      </c>
      <c r="B287" s="72" t="s">
        <v>3813</v>
      </c>
      <c r="C287" s="72" t="s">
        <v>1328</v>
      </c>
      <c r="D287" s="72" t="s">
        <v>1329</v>
      </c>
      <c r="E287" s="184" t="s">
        <v>648</v>
      </c>
      <c r="F287" s="72" t="s">
        <v>649</v>
      </c>
      <c r="G287" s="185" t="s">
        <v>636</v>
      </c>
      <c r="H287" s="185" t="s">
        <v>650</v>
      </c>
    </row>
    <row r="288" spans="1:8" ht="15.75" customHeight="1">
      <c r="A288" s="72" t="s">
        <v>3812</v>
      </c>
      <c r="B288" s="72" t="s">
        <v>3813</v>
      </c>
      <c r="C288" s="72" t="s">
        <v>1330</v>
      </c>
      <c r="D288" s="72" t="s">
        <v>1331</v>
      </c>
      <c r="E288" s="184" t="s">
        <v>648</v>
      </c>
      <c r="F288" s="72" t="s">
        <v>649</v>
      </c>
      <c r="G288" s="185" t="s">
        <v>636</v>
      </c>
      <c r="H288" s="185" t="s">
        <v>650</v>
      </c>
    </row>
    <row r="289" spans="1:8" ht="15.75" customHeight="1">
      <c r="A289" s="72" t="s">
        <v>3812</v>
      </c>
      <c r="B289" s="72" t="s">
        <v>3813</v>
      </c>
      <c r="C289" s="72" t="s">
        <v>1332</v>
      </c>
      <c r="D289" s="72" t="s">
        <v>1333</v>
      </c>
      <c r="E289" s="184" t="s">
        <v>648</v>
      </c>
      <c r="F289" s="72" t="s">
        <v>649</v>
      </c>
      <c r="G289" s="185" t="s">
        <v>636</v>
      </c>
      <c r="H289" s="185" t="s">
        <v>650</v>
      </c>
    </row>
    <row r="290" spans="1:8" ht="15.75" customHeight="1">
      <c r="A290" s="72" t="s">
        <v>3812</v>
      </c>
      <c r="B290" s="72" t="s">
        <v>3813</v>
      </c>
      <c r="C290" s="72" t="s">
        <v>1334</v>
      </c>
      <c r="D290" s="72" t="s">
        <v>1335</v>
      </c>
      <c r="E290" s="184" t="s">
        <v>648</v>
      </c>
      <c r="F290" s="72" t="s">
        <v>649</v>
      </c>
      <c r="G290" s="185" t="s">
        <v>636</v>
      </c>
      <c r="H290" s="185" t="s">
        <v>650</v>
      </c>
    </row>
    <row r="291" spans="1:8" ht="15.75" customHeight="1">
      <c r="A291" s="72" t="s">
        <v>3812</v>
      </c>
      <c r="B291" s="72" t="s">
        <v>3813</v>
      </c>
      <c r="C291" s="72" t="s">
        <v>1336</v>
      </c>
      <c r="D291" s="72" t="s">
        <v>1337</v>
      </c>
      <c r="E291" s="184" t="s">
        <v>648</v>
      </c>
      <c r="F291" s="72" t="s">
        <v>649</v>
      </c>
      <c r="G291" s="185" t="s">
        <v>636</v>
      </c>
      <c r="H291" s="185" t="s">
        <v>650</v>
      </c>
    </row>
    <row r="292" spans="1:8" ht="15.75" customHeight="1">
      <c r="A292" s="72" t="s">
        <v>3812</v>
      </c>
      <c r="B292" s="72" t="s">
        <v>3813</v>
      </c>
      <c r="C292" s="72" t="s">
        <v>1338</v>
      </c>
      <c r="D292" s="72" t="s">
        <v>1339</v>
      </c>
      <c r="E292" s="184" t="s">
        <v>648</v>
      </c>
      <c r="F292" s="72" t="s">
        <v>649</v>
      </c>
      <c r="G292" s="185" t="s">
        <v>636</v>
      </c>
      <c r="H292" s="185" t="s">
        <v>650</v>
      </c>
    </row>
    <row r="293" spans="1:8" ht="15.75" customHeight="1">
      <c r="A293" s="72" t="s">
        <v>3812</v>
      </c>
      <c r="B293" s="72" t="s">
        <v>3813</v>
      </c>
      <c r="C293" s="72" t="s">
        <v>1340</v>
      </c>
      <c r="D293" s="72" t="s">
        <v>1341</v>
      </c>
      <c r="E293" s="184" t="s">
        <v>648</v>
      </c>
      <c r="F293" s="72" t="s">
        <v>649</v>
      </c>
      <c r="G293" s="185" t="s">
        <v>636</v>
      </c>
      <c r="H293" s="185" t="s">
        <v>650</v>
      </c>
    </row>
    <row r="294" spans="1:8" ht="15.75" customHeight="1">
      <c r="A294" s="72" t="s">
        <v>3812</v>
      </c>
      <c r="B294" s="72" t="s">
        <v>3813</v>
      </c>
      <c r="C294" s="72" t="s">
        <v>1342</v>
      </c>
      <c r="D294" s="72" t="s">
        <v>1343</v>
      </c>
      <c r="E294" s="184" t="s">
        <v>648</v>
      </c>
      <c r="F294" s="72" t="s">
        <v>649</v>
      </c>
      <c r="G294" s="185" t="s">
        <v>636</v>
      </c>
      <c r="H294" s="185" t="s">
        <v>650</v>
      </c>
    </row>
    <row r="295" spans="1:8" ht="15.75" customHeight="1">
      <c r="A295" s="72" t="s">
        <v>3814</v>
      </c>
      <c r="B295" s="72" t="s">
        <v>3815</v>
      </c>
      <c r="C295" s="72" t="s">
        <v>1344</v>
      </c>
      <c r="D295" s="72" t="s">
        <v>1345</v>
      </c>
      <c r="E295" s="184" t="s">
        <v>1041</v>
      </c>
      <c r="F295" s="72" t="s">
        <v>1042</v>
      </c>
      <c r="G295" s="185" t="s">
        <v>636</v>
      </c>
      <c r="H295" s="185" t="s">
        <v>1043</v>
      </c>
    </row>
    <row r="296" spans="1:8" ht="15.75" customHeight="1">
      <c r="A296" s="72" t="s">
        <v>3814</v>
      </c>
      <c r="B296" s="72" t="s">
        <v>3815</v>
      </c>
      <c r="C296" s="72" t="s">
        <v>1344</v>
      </c>
      <c r="D296" s="72" t="s">
        <v>1345</v>
      </c>
      <c r="E296" s="184" t="s">
        <v>648</v>
      </c>
      <c r="F296" s="72" t="s">
        <v>649</v>
      </c>
      <c r="G296" s="185" t="s">
        <v>636</v>
      </c>
      <c r="H296" s="185" t="s">
        <v>650</v>
      </c>
    </row>
    <row r="297" spans="1:8" ht="15.75" customHeight="1">
      <c r="A297" s="72" t="s">
        <v>3814</v>
      </c>
      <c r="B297" s="72" t="s">
        <v>3815</v>
      </c>
      <c r="C297" s="72" t="s">
        <v>1346</v>
      </c>
      <c r="D297" s="72" t="s">
        <v>1347</v>
      </c>
      <c r="E297" s="184" t="s">
        <v>648</v>
      </c>
      <c r="F297" s="72" t="s">
        <v>649</v>
      </c>
      <c r="G297" s="185" t="s">
        <v>636</v>
      </c>
      <c r="H297" s="185" t="s">
        <v>650</v>
      </c>
    </row>
    <row r="298" spans="1:8" ht="15.75" customHeight="1">
      <c r="A298" s="72" t="s">
        <v>3814</v>
      </c>
      <c r="B298" s="72" t="s">
        <v>3815</v>
      </c>
      <c r="C298" s="72" t="s">
        <v>1348</v>
      </c>
      <c r="D298" s="72" t="s">
        <v>1349</v>
      </c>
      <c r="E298" s="184" t="s">
        <v>648</v>
      </c>
      <c r="F298" s="72" t="s">
        <v>649</v>
      </c>
      <c r="G298" s="185" t="s">
        <v>636</v>
      </c>
      <c r="H298" s="185" t="s">
        <v>650</v>
      </c>
    </row>
    <row r="299" spans="1:8" ht="15.75" customHeight="1">
      <c r="A299" s="72" t="s">
        <v>3814</v>
      </c>
      <c r="B299" s="72" t="s">
        <v>3815</v>
      </c>
      <c r="C299" s="72" t="s">
        <v>1350</v>
      </c>
      <c r="D299" s="72" t="s">
        <v>1351</v>
      </c>
      <c r="E299" s="184" t="s">
        <v>648</v>
      </c>
      <c r="F299" s="72" t="s">
        <v>649</v>
      </c>
      <c r="G299" s="185" t="s">
        <v>636</v>
      </c>
      <c r="H299" s="185" t="s">
        <v>650</v>
      </c>
    </row>
    <row r="300" spans="1:8" ht="15.75" customHeight="1">
      <c r="A300" s="72" t="s">
        <v>3814</v>
      </c>
      <c r="B300" s="72" t="s">
        <v>3815</v>
      </c>
      <c r="C300" s="72" t="s">
        <v>1352</v>
      </c>
      <c r="D300" s="72" t="s">
        <v>1353</v>
      </c>
      <c r="E300" s="184" t="s">
        <v>648</v>
      </c>
      <c r="F300" s="72" t="s">
        <v>649</v>
      </c>
      <c r="G300" s="185" t="s">
        <v>636</v>
      </c>
      <c r="H300" s="185" t="s">
        <v>650</v>
      </c>
    </row>
    <row r="301" spans="1:8" ht="15.75" customHeight="1">
      <c r="A301" s="72" t="s">
        <v>3814</v>
      </c>
      <c r="B301" s="72" t="s">
        <v>3815</v>
      </c>
      <c r="C301" s="72" t="s">
        <v>1354</v>
      </c>
      <c r="D301" s="72" t="s">
        <v>784</v>
      </c>
      <c r="E301" s="184" t="s">
        <v>648</v>
      </c>
      <c r="F301" s="72" t="s">
        <v>649</v>
      </c>
      <c r="G301" s="185" t="s">
        <v>636</v>
      </c>
      <c r="H301" s="185" t="s">
        <v>650</v>
      </c>
    </row>
    <row r="302" spans="1:8" ht="15.75" customHeight="1">
      <c r="A302" s="72" t="s">
        <v>3814</v>
      </c>
      <c r="B302" s="72" t="s">
        <v>3815</v>
      </c>
      <c r="C302" s="72" t="s">
        <v>1355</v>
      </c>
      <c r="D302" s="72" t="s">
        <v>1356</v>
      </c>
      <c r="E302" s="184" t="s">
        <v>648</v>
      </c>
      <c r="F302" s="72" t="s">
        <v>649</v>
      </c>
      <c r="G302" s="185" t="s">
        <v>636</v>
      </c>
      <c r="H302" s="185" t="s">
        <v>650</v>
      </c>
    </row>
    <row r="303" spans="1:8" ht="15.75" customHeight="1">
      <c r="A303" s="72" t="s">
        <v>3814</v>
      </c>
      <c r="B303" s="72" t="s">
        <v>3815</v>
      </c>
      <c r="C303" s="72" t="s">
        <v>1357</v>
      </c>
      <c r="D303" s="72" t="s">
        <v>1358</v>
      </c>
      <c r="E303" s="184" t="s">
        <v>648</v>
      </c>
      <c r="F303" s="72" t="s">
        <v>649</v>
      </c>
      <c r="G303" s="185" t="s">
        <v>636</v>
      </c>
      <c r="H303" s="185" t="s">
        <v>650</v>
      </c>
    </row>
    <row r="304" spans="1:8" ht="15.75" customHeight="1">
      <c r="A304" s="72" t="s">
        <v>3814</v>
      </c>
      <c r="B304" s="72" t="s">
        <v>3815</v>
      </c>
      <c r="C304" s="72" t="s">
        <v>1359</v>
      </c>
      <c r="D304" s="72" t="s">
        <v>1360</v>
      </c>
      <c r="E304" s="184" t="s">
        <v>1041</v>
      </c>
      <c r="F304" s="72" t="s">
        <v>1042</v>
      </c>
      <c r="G304" s="185" t="s">
        <v>636</v>
      </c>
      <c r="H304" s="185" t="s">
        <v>1043</v>
      </c>
    </row>
    <row r="305" spans="1:8" ht="15.75" customHeight="1">
      <c r="A305" s="72" t="s">
        <v>3814</v>
      </c>
      <c r="B305" s="72" t="s">
        <v>3815</v>
      </c>
      <c r="C305" s="72" t="s">
        <v>1359</v>
      </c>
      <c r="D305" s="72" t="s">
        <v>1360</v>
      </c>
      <c r="E305" s="184" t="s">
        <v>648</v>
      </c>
      <c r="F305" s="72" t="s">
        <v>649</v>
      </c>
      <c r="G305" s="185" t="s">
        <v>636</v>
      </c>
      <c r="H305" s="185" t="s">
        <v>650</v>
      </c>
    </row>
    <row r="306" spans="1:8" ht="15.75" customHeight="1">
      <c r="A306" s="72" t="s">
        <v>3814</v>
      </c>
      <c r="B306" s="72" t="s">
        <v>3815</v>
      </c>
      <c r="C306" s="72" t="s">
        <v>1361</v>
      </c>
      <c r="D306" s="72" t="s">
        <v>1362</v>
      </c>
      <c r="E306" s="184" t="s">
        <v>648</v>
      </c>
      <c r="F306" s="72" t="s">
        <v>649</v>
      </c>
      <c r="G306" s="185" t="s">
        <v>636</v>
      </c>
      <c r="H306" s="185" t="s">
        <v>650</v>
      </c>
    </row>
    <row r="307" spans="1:8" ht="15.75" customHeight="1">
      <c r="A307" s="72" t="s">
        <v>3814</v>
      </c>
      <c r="B307" s="72" t="s">
        <v>3815</v>
      </c>
      <c r="C307" s="72" t="s">
        <v>1363</v>
      </c>
      <c r="D307" s="72" t="s">
        <v>1364</v>
      </c>
      <c r="E307" s="184" t="s">
        <v>648</v>
      </c>
      <c r="F307" s="72" t="s">
        <v>649</v>
      </c>
      <c r="G307" s="185" t="s">
        <v>636</v>
      </c>
      <c r="H307" s="185" t="s">
        <v>650</v>
      </c>
    </row>
    <row r="308" spans="1:8" ht="15.75" customHeight="1">
      <c r="A308" s="72" t="s">
        <v>3814</v>
      </c>
      <c r="B308" s="72" t="s">
        <v>3815</v>
      </c>
      <c r="C308" s="72" t="s">
        <v>1365</v>
      </c>
      <c r="D308" s="72" t="s">
        <v>1366</v>
      </c>
      <c r="E308" s="184" t="s">
        <v>648</v>
      </c>
      <c r="F308" s="72" t="s">
        <v>649</v>
      </c>
      <c r="G308" s="185" t="s">
        <v>636</v>
      </c>
      <c r="H308" s="185" t="s">
        <v>650</v>
      </c>
    </row>
    <row r="309" spans="1:8" ht="15.75" customHeight="1">
      <c r="A309" s="72" t="s">
        <v>3814</v>
      </c>
      <c r="B309" s="72" t="s">
        <v>3815</v>
      </c>
      <c r="C309" s="72" t="s">
        <v>1367</v>
      </c>
      <c r="D309" s="72" t="s">
        <v>1368</v>
      </c>
      <c r="E309" s="184" t="s">
        <v>648</v>
      </c>
      <c r="F309" s="72" t="s">
        <v>649</v>
      </c>
      <c r="G309" s="185" t="s">
        <v>636</v>
      </c>
      <c r="H309" s="185" t="s">
        <v>650</v>
      </c>
    </row>
    <row r="310" spans="1:8" ht="15.75" customHeight="1">
      <c r="A310" s="72" t="s">
        <v>3814</v>
      </c>
      <c r="B310" s="72" t="s">
        <v>3815</v>
      </c>
      <c r="C310" s="72" t="s">
        <v>1369</v>
      </c>
      <c r="D310" s="72" t="s">
        <v>1370</v>
      </c>
      <c r="E310" s="184" t="s">
        <v>648</v>
      </c>
      <c r="F310" s="72" t="s">
        <v>649</v>
      </c>
      <c r="G310" s="185" t="s">
        <v>636</v>
      </c>
      <c r="H310" s="185" t="s">
        <v>650</v>
      </c>
    </row>
    <row r="311" spans="1:8" ht="15.75" customHeight="1">
      <c r="A311" s="72" t="s">
        <v>3814</v>
      </c>
      <c r="B311" s="72" t="s">
        <v>3815</v>
      </c>
      <c r="C311" s="72" t="s">
        <v>1371</v>
      </c>
      <c r="D311" s="72" t="s">
        <v>1372</v>
      </c>
      <c r="E311" s="184" t="s">
        <v>648</v>
      </c>
      <c r="F311" s="72" t="s">
        <v>649</v>
      </c>
      <c r="G311" s="185" t="s">
        <v>636</v>
      </c>
      <c r="H311" s="185" t="s">
        <v>650</v>
      </c>
    </row>
    <row r="312" spans="1:8" ht="15.75" customHeight="1">
      <c r="A312" s="72" t="s">
        <v>3814</v>
      </c>
      <c r="B312" s="72" t="s">
        <v>3815</v>
      </c>
      <c r="C312" s="72" t="s">
        <v>1373</v>
      </c>
      <c r="D312" s="72" t="s">
        <v>1146</v>
      </c>
      <c r="E312" s="184" t="s">
        <v>1041</v>
      </c>
      <c r="F312" s="72" t="s">
        <v>1042</v>
      </c>
      <c r="G312" s="185" t="s">
        <v>636</v>
      </c>
      <c r="H312" s="185" t="s">
        <v>1043</v>
      </c>
    </row>
    <row r="313" spans="1:8" ht="15.75" customHeight="1">
      <c r="A313" s="72" t="s">
        <v>3814</v>
      </c>
      <c r="B313" s="72" t="s">
        <v>3815</v>
      </c>
      <c r="C313" s="72" t="s">
        <v>1374</v>
      </c>
      <c r="D313" s="72" t="s">
        <v>1375</v>
      </c>
      <c r="E313" s="184" t="s">
        <v>1041</v>
      </c>
      <c r="F313" s="72" t="s">
        <v>1042</v>
      </c>
      <c r="G313" s="185" t="s">
        <v>636</v>
      </c>
      <c r="H313" s="185" t="s">
        <v>1043</v>
      </c>
    </row>
    <row r="314" spans="1:8" ht="15.75" customHeight="1">
      <c r="A314" s="72" t="s">
        <v>3816</v>
      </c>
      <c r="B314" s="72" t="s">
        <v>3817</v>
      </c>
      <c r="C314" s="72" t="s">
        <v>639</v>
      </c>
      <c r="D314" s="72" t="s">
        <v>640</v>
      </c>
      <c r="E314" s="184" t="s">
        <v>641</v>
      </c>
      <c r="F314" s="72" t="s">
        <v>642</v>
      </c>
      <c r="G314" s="185" t="s">
        <v>643</v>
      </c>
      <c r="H314" s="185" t="s">
        <v>644</v>
      </c>
    </row>
    <row r="315" spans="1:8" ht="15.75" customHeight="1">
      <c r="A315" s="72" t="s">
        <v>3816</v>
      </c>
      <c r="B315" s="72" t="s">
        <v>3817</v>
      </c>
      <c r="C315" s="72" t="s">
        <v>729</v>
      </c>
      <c r="D315" s="72" t="s">
        <v>730</v>
      </c>
      <c r="E315" s="184" t="s">
        <v>641</v>
      </c>
      <c r="F315" s="72" t="s">
        <v>642</v>
      </c>
      <c r="G315" s="185" t="s">
        <v>643</v>
      </c>
      <c r="H315" s="185" t="s">
        <v>644</v>
      </c>
    </row>
    <row r="316" spans="1:8" ht="15.75" customHeight="1">
      <c r="A316" s="72" t="s">
        <v>3816</v>
      </c>
      <c r="B316" s="72" t="s">
        <v>3817</v>
      </c>
      <c r="C316" s="72" t="s">
        <v>1376</v>
      </c>
      <c r="D316" s="72" t="s">
        <v>1377</v>
      </c>
      <c r="E316" s="184" t="s">
        <v>641</v>
      </c>
      <c r="F316" s="72" t="s">
        <v>642</v>
      </c>
      <c r="G316" s="185" t="s">
        <v>643</v>
      </c>
      <c r="H316" s="185" t="s">
        <v>644</v>
      </c>
    </row>
    <row r="317" spans="1:8" ht="15.75" customHeight="1">
      <c r="A317" s="72" t="s">
        <v>3816</v>
      </c>
      <c r="B317" s="72" t="s">
        <v>3817</v>
      </c>
      <c r="C317" s="72" t="s">
        <v>1378</v>
      </c>
      <c r="D317" s="72" t="s">
        <v>1379</v>
      </c>
      <c r="E317" s="184" t="s">
        <v>641</v>
      </c>
      <c r="F317" s="72" t="s">
        <v>642</v>
      </c>
      <c r="G317" s="185" t="s">
        <v>643</v>
      </c>
      <c r="H317" s="185" t="s">
        <v>644</v>
      </c>
    </row>
    <row r="318" spans="1:8" ht="15.75" customHeight="1">
      <c r="A318" s="72" t="s">
        <v>3816</v>
      </c>
      <c r="B318" s="72" t="s">
        <v>3817</v>
      </c>
      <c r="C318" s="72" t="s">
        <v>1380</v>
      </c>
      <c r="D318" s="72" t="s">
        <v>1381</v>
      </c>
      <c r="E318" s="184" t="s">
        <v>641</v>
      </c>
      <c r="F318" s="72" t="s">
        <v>642</v>
      </c>
      <c r="G318" s="185" t="s">
        <v>643</v>
      </c>
      <c r="H318" s="185" t="s">
        <v>644</v>
      </c>
    </row>
    <row r="319" spans="1:8" ht="15.75" customHeight="1">
      <c r="A319" s="72" t="s">
        <v>3816</v>
      </c>
      <c r="B319" s="72" t="s">
        <v>3817</v>
      </c>
      <c r="C319" s="72" t="s">
        <v>823</v>
      </c>
      <c r="D319" s="72" t="s">
        <v>824</v>
      </c>
      <c r="E319" s="184" t="s">
        <v>641</v>
      </c>
      <c r="F319" s="72" t="s">
        <v>642</v>
      </c>
      <c r="G319" s="185" t="s">
        <v>643</v>
      </c>
      <c r="H319" s="185" t="s">
        <v>644</v>
      </c>
    </row>
    <row r="320" spans="1:8" ht="15.75" customHeight="1">
      <c r="A320" s="72" t="s">
        <v>3816</v>
      </c>
      <c r="B320" s="72" t="s">
        <v>3817</v>
      </c>
      <c r="C320" s="72" t="s">
        <v>905</v>
      </c>
      <c r="D320" s="72" t="s">
        <v>906</v>
      </c>
      <c r="E320" s="184" t="s">
        <v>641</v>
      </c>
      <c r="F320" s="72" t="s">
        <v>642</v>
      </c>
      <c r="G320" s="185" t="s">
        <v>643</v>
      </c>
      <c r="H320" s="185" t="s">
        <v>644</v>
      </c>
    </row>
    <row r="321" spans="1:8" ht="15.75" customHeight="1">
      <c r="A321" s="72" t="s">
        <v>3816</v>
      </c>
      <c r="B321" s="72" t="s">
        <v>3817</v>
      </c>
      <c r="C321" s="72" t="s">
        <v>1382</v>
      </c>
      <c r="D321" s="72" t="s">
        <v>1383</v>
      </c>
      <c r="E321" s="184" t="s">
        <v>641</v>
      </c>
      <c r="F321" s="72" t="s">
        <v>642</v>
      </c>
      <c r="G321" s="185" t="s">
        <v>643</v>
      </c>
      <c r="H321" s="185" t="s">
        <v>644</v>
      </c>
    </row>
    <row r="322" spans="1:8" ht="15.75" customHeight="1">
      <c r="A322" s="72" t="s">
        <v>3816</v>
      </c>
      <c r="B322" s="72" t="s">
        <v>3817</v>
      </c>
      <c r="C322" s="72" t="s">
        <v>1384</v>
      </c>
      <c r="D322" s="72" t="s">
        <v>1385</v>
      </c>
      <c r="E322" s="184" t="s">
        <v>641</v>
      </c>
      <c r="F322" s="72" t="s">
        <v>642</v>
      </c>
      <c r="G322" s="185" t="s">
        <v>643</v>
      </c>
      <c r="H322" s="185" t="s">
        <v>644</v>
      </c>
    </row>
    <row r="323" spans="1:8" ht="15.75" customHeight="1">
      <c r="A323" s="72" t="s">
        <v>3816</v>
      </c>
      <c r="B323" s="72" t="s">
        <v>3817</v>
      </c>
      <c r="C323" s="72" t="s">
        <v>1386</v>
      </c>
      <c r="D323" s="72" t="s">
        <v>1387</v>
      </c>
      <c r="E323" s="184" t="s">
        <v>641</v>
      </c>
      <c r="F323" s="72" t="s">
        <v>642</v>
      </c>
      <c r="G323" s="185" t="s">
        <v>643</v>
      </c>
      <c r="H323" s="185" t="s">
        <v>644</v>
      </c>
    </row>
    <row r="324" spans="1:8" ht="15.75" customHeight="1">
      <c r="A324" s="72" t="s">
        <v>3816</v>
      </c>
      <c r="B324" s="72" t="s">
        <v>3817</v>
      </c>
      <c r="C324" s="72" t="s">
        <v>1388</v>
      </c>
      <c r="D324" s="72" t="s">
        <v>1146</v>
      </c>
      <c r="E324" s="184" t="s">
        <v>641</v>
      </c>
      <c r="F324" s="72" t="s">
        <v>642</v>
      </c>
      <c r="G324" s="185" t="s">
        <v>643</v>
      </c>
      <c r="H324" s="185" t="s">
        <v>644</v>
      </c>
    </row>
    <row r="325" spans="1:8" ht="15.75" customHeight="1">
      <c r="A325" s="51"/>
      <c r="B325" s="51"/>
      <c r="E325" s="82"/>
      <c r="G325" s="182"/>
      <c r="H325" s="182"/>
    </row>
    <row r="326" spans="1:8" ht="15.75" customHeight="1">
      <c r="A326" s="51"/>
      <c r="B326" s="51"/>
      <c r="E326" s="82"/>
      <c r="G326" s="182"/>
      <c r="H326" s="182"/>
    </row>
    <row r="327" spans="1:8" ht="15.75" customHeight="1">
      <c r="A327" s="51"/>
      <c r="B327" s="51"/>
      <c r="E327" s="82"/>
      <c r="G327" s="182"/>
      <c r="H327" s="182"/>
    </row>
    <row r="328" spans="1:8" ht="15.75" customHeight="1">
      <c r="A328" s="51"/>
      <c r="B328" s="51"/>
      <c r="E328" s="82"/>
      <c r="G328" s="182"/>
      <c r="H328" s="182"/>
    </row>
    <row r="329" spans="1:8" ht="15.75" customHeight="1">
      <c r="A329" s="51"/>
      <c r="B329" s="51"/>
      <c r="E329" s="82"/>
      <c r="G329" s="182"/>
      <c r="H329" s="182"/>
    </row>
    <row r="330" spans="1:8" ht="15.75" customHeight="1">
      <c r="A330" s="51"/>
      <c r="B330" s="51"/>
      <c r="E330" s="82"/>
      <c r="G330" s="182"/>
      <c r="H330" s="182"/>
    </row>
    <row r="331" spans="1:8" ht="15.75" customHeight="1">
      <c r="A331" s="51"/>
      <c r="B331" s="51"/>
      <c r="E331" s="82"/>
      <c r="G331" s="182"/>
      <c r="H331" s="182"/>
    </row>
    <row r="332" spans="1:8" ht="15.75" customHeight="1">
      <c r="A332" s="51"/>
      <c r="B332" s="51"/>
      <c r="E332" s="82"/>
      <c r="G332" s="182"/>
      <c r="H332" s="182"/>
    </row>
    <row r="333" spans="1:8" ht="15.75" customHeight="1">
      <c r="A333" s="51"/>
      <c r="B333" s="51"/>
      <c r="E333" s="82"/>
      <c r="G333" s="182"/>
      <c r="H333" s="182"/>
    </row>
    <row r="334" spans="1:8" ht="15.75" customHeight="1">
      <c r="A334" s="51"/>
      <c r="B334" s="51"/>
      <c r="E334" s="82"/>
      <c r="G334" s="182"/>
      <c r="H334" s="182"/>
    </row>
    <row r="335" spans="1:8" ht="15.75" customHeight="1">
      <c r="A335" s="51"/>
      <c r="B335" s="51"/>
      <c r="E335" s="82"/>
      <c r="G335" s="182"/>
      <c r="H335" s="182"/>
    </row>
    <row r="336" spans="1:8" ht="15.75" customHeight="1">
      <c r="A336" s="51"/>
      <c r="B336" s="51"/>
      <c r="E336" s="82"/>
      <c r="G336" s="182"/>
      <c r="H336" s="182"/>
    </row>
    <row r="337" spans="1:8" ht="15.75" customHeight="1">
      <c r="A337" s="51"/>
      <c r="B337" s="51"/>
      <c r="E337" s="82"/>
      <c r="G337" s="182"/>
      <c r="H337" s="182"/>
    </row>
    <row r="338" spans="1:8" ht="15.75" customHeight="1">
      <c r="A338" s="51"/>
      <c r="B338" s="51"/>
      <c r="E338" s="82"/>
      <c r="G338" s="182"/>
      <c r="H338" s="182"/>
    </row>
    <row r="339" spans="1:8" ht="15.75" customHeight="1">
      <c r="A339" s="51"/>
      <c r="B339" s="51"/>
      <c r="E339" s="82"/>
      <c r="G339" s="182"/>
      <c r="H339" s="182"/>
    </row>
    <row r="340" spans="1:8" ht="15.75" customHeight="1">
      <c r="A340" s="51"/>
      <c r="B340" s="51"/>
      <c r="E340" s="82"/>
      <c r="G340" s="182"/>
      <c r="H340" s="182"/>
    </row>
    <row r="341" spans="1:8" ht="15.75" customHeight="1">
      <c r="A341" s="51"/>
      <c r="B341" s="51"/>
      <c r="E341" s="82"/>
      <c r="G341" s="182"/>
      <c r="H341" s="182"/>
    </row>
    <row r="342" spans="1:8" ht="15.75" customHeight="1">
      <c r="A342" s="51"/>
      <c r="B342" s="51"/>
      <c r="E342" s="82"/>
      <c r="G342" s="182"/>
      <c r="H342" s="182"/>
    </row>
    <row r="343" spans="1:8" ht="15.75" customHeight="1">
      <c r="A343" s="51"/>
      <c r="B343" s="51"/>
      <c r="E343" s="82"/>
      <c r="G343" s="182"/>
      <c r="H343" s="182"/>
    </row>
    <row r="344" spans="1:8" ht="15.75" customHeight="1">
      <c r="A344" s="51"/>
      <c r="B344" s="51"/>
      <c r="E344" s="82"/>
      <c r="G344" s="182"/>
      <c r="H344" s="182"/>
    </row>
    <row r="345" spans="1:8" ht="15.75" customHeight="1">
      <c r="A345" s="51"/>
      <c r="B345" s="51"/>
      <c r="E345" s="82"/>
      <c r="G345" s="182"/>
      <c r="H345" s="182"/>
    </row>
    <row r="346" spans="1:8" ht="15.75" customHeight="1">
      <c r="A346" s="51"/>
      <c r="B346" s="51"/>
      <c r="E346" s="82"/>
      <c r="G346" s="182"/>
      <c r="H346" s="182"/>
    </row>
    <row r="347" spans="1:8" ht="15.75" customHeight="1">
      <c r="A347" s="51"/>
      <c r="B347" s="51"/>
      <c r="E347" s="82"/>
      <c r="G347" s="182"/>
      <c r="H347" s="182"/>
    </row>
    <row r="348" spans="1:8" ht="15.75" customHeight="1">
      <c r="A348" s="51"/>
      <c r="B348" s="51"/>
      <c r="E348" s="82"/>
      <c r="G348" s="182"/>
      <c r="H348" s="182"/>
    </row>
    <row r="349" spans="1:8" ht="15.75" customHeight="1">
      <c r="A349" s="51"/>
      <c r="B349" s="51"/>
      <c r="E349" s="82"/>
      <c r="G349" s="182"/>
      <c r="H349" s="182"/>
    </row>
    <row r="350" spans="1:8" ht="15.75" customHeight="1">
      <c r="A350" s="51"/>
      <c r="B350" s="51"/>
      <c r="E350" s="82"/>
      <c r="G350" s="182"/>
      <c r="H350" s="182"/>
    </row>
    <row r="351" spans="1:8" ht="15.75" customHeight="1">
      <c r="A351" s="51"/>
      <c r="B351" s="51"/>
      <c r="E351" s="82"/>
      <c r="G351" s="182"/>
      <c r="H351" s="182"/>
    </row>
    <row r="352" spans="1:8" ht="15.75" customHeight="1">
      <c r="A352" s="51"/>
      <c r="B352" s="51"/>
      <c r="E352" s="82"/>
      <c r="G352" s="182"/>
      <c r="H352" s="182"/>
    </row>
    <row r="353" spans="1:8" ht="15.75" customHeight="1">
      <c r="A353" s="51"/>
      <c r="B353" s="51"/>
      <c r="E353" s="82"/>
      <c r="G353" s="182"/>
      <c r="H353" s="182"/>
    </row>
    <row r="354" spans="1:8" ht="15.75" customHeight="1">
      <c r="A354" s="51"/>
      <c r="B354" s="51"/>
      <c r="E354" s="82"/>
      <c r="G354" s="182"/>
      <c r="H354" s="182"/>
    </row>
    <row r="355" spans="1:8" ht="15.75" customHeight="1">
      <c r="A355" s="51"/>
      <c r="B355" s="51"/>
      <c r="E355" s="82"/>
      <c r="G355" s="182"/>
      <c r="H355" s="182"/>
    </row>
    <row r="356" spans="1:8" ht="15.75" customHeight="1">
      <c r="A356" s="51"/>
      <c r="B356" s="51"/>
      <c r="E356" s="82"/>
      <c r="G356" s="182"/>
      <c r="H356" s="182"/>
    </row>
    <row r="357" spans="1:8" ht="15.75" customHeight="1">
      <c r="A357" s="51"/>
      <c r="B357" s="51"/>
      <c r="E357" s="82"/>
      <c r="G357" s="182"/>
      <c r="H357" s="182"/>
    </row>
    <row r="358" spans="1:8" ht="15.75" customHeight="1">
      <c r="A358" s="51"/>
      <c r="B358" s="51"/>
      <c r="E358" s="82"/>
      <c r="G358" s="182"/>
      <c r="H358" s="182"/>
    </row>
    <row r="359" spans="1:8" ht="15.75" customHeight="1">
      <c r="A359" s="51"/>
      <c r="B359" s="51"/>
      <c r="E359" s="82"/>
      <c r="G359" s="182"/>
      <c r="H359" s="182"/>
    </row>
    <row r="360" spans="1:8" ht="15.75" customHeight="1">
      <c r="A360" s="51"/>
      <c r="B360" s="51"/>
      <c r="E360" s="82"/>
      <c r="G360" s="182"/>
      <c r="H360" s="182"/>
    </row>
    <row r="361" spans="1:8" ht="15.75" customHeight="1">
      <c r="A361" s="51"/>
      <c r="B361" s="51"/>
      <c r="E361" s="82"/>
      <c r="G361" s="182"/>
      <c r="H361" s="182"/>
    </row>
    <row r="362" spans="1:8" ht="15.75" customHeight="1">
      <c r="A362" s="51"/>
      <c r="B362" s="51"/>
      <c r="E362" s="82"/>
      <c r="G362" s="182"/>
      <c r="H362" s="182"/>
    </row>
    <row r="363" spans="1:8" ht="15.75" customHeight="1">
      <c r="A363" s="51"/>
      <c r="B363" s="51"/>
      <c r="E363" s="82"/>
      <c r="G363" s="182"/>
      <c r="H363" s="182"/>
    </row>
    <row r="364" spans="1:8" ht="15.75" customHeight="1">
      <c r="A364" s="51"/>
      <c r="B364" s="51"/>
      <c r="E364" s="82"/>
      <c r="G364" s="182"/>
      <c r="H364" s="182"/>
    </row>
    <row r="365" spans="1:8" ht="15.75" customHeight="1">
      <c r="A365" s="51"/>
      <c r="B365" s="51"/>
      <c r="E365" s="82"/>
      <c r="G365" s="182"/>
      <c r="H365" s="182"/>
    </row>
    <row r="366" spans="1:8" ht="15.75" customHeight="1">
      <c r="A366" s="51"/>
      <c r="B366" s="51"/>
      <c r="E366" s="82"/>
      <c r="G366" s="182"/>
      <c r="H366" s="182"/>
    </row>
    <row r="367" spans="1:8" ht="15.75" customHeight="1">
      <c r="A367" s="51"/>
      <c r="B367" s="51"/>
      <c r="E367" s="82"/>
      <c r="G367" s="182"/>
      <c r="H367" s="182"/>
    </row>
    <row r="368" spans="1:8" ht="15.75" customHeight="1">
      <c r="A368" s="51"/>
      <c r="B368" s="51"/>
      <c r="E368" s="82"/>
      <c r="G368" s="182"/>
      <c r="H368" s="182"/>
    </row>
    <row r="369" spans="1:8" ht="15.75" customHeight="1">
      <c r="A369" s="51"/>
      <c r="B369" s="51"/>
      <c r="E369" s="82"/>
      <c r="G369" s="182"/>
      <c r="H369" s="182"/>
    </row>
    <row r="370" spans="1:8" ht="15.75" customHeight="1">
      <c r="A370" s="51"/>
      <c r="B370" s="51"/>
      <c r="E370" s="82"/>
      <c r="G370" s="182"/>
      <c r="H370" s="182"/>
    </row>
    <row r="371" spans="1:8" ht="15.75" customHeight="1">
      <c r="A371" s="51"/>
      <c r="B371" s="51"/>
      <c r="E371" s="82"/>
      <c r="G371" s="182"/>
      <c r="H371" s="182"/>
    </row>
    <row r="372" spans="1:8" ht="15.75" customHeight="1">
      <c r="A372" s="51"/>
      <c r="B372" s="51"/>
      <c r="E372" s="82"/>
      <c r="G372" s="182"/>
      <c r="H372" s="182"/>
    </row>
    <row r="373" spans="1:8" ht="15.75" customHeight="1">
      <c r="A373" s="51"/>
      <c r="B373" s="51"/>
      <c r="E373" s="82"/>
      <c r="G373" s="182"/>
      <c r="H373" s="182"/>
    </row>
    <row r="374" spans="1:8" ht="15.75" customHeight="1">
      <c r="A374" s="51"/>
      <c r="B374" s="51"/>
      <c r="E374" s="82"/>
      <c r="G374" s="182"/>
      <c r="H374" s="182"/>
    </row>
    <row r="375" spans="1:8" ht="15.75" customHeight="1">
      <c r="A375" s="51"/>
      <c r="B375" s="51"/>
      <c r="E375" s="82"/>
      <c r="G375" s="182"/>
      <c r="H375" s="182"/>
    </row>
    <row r="376" spans="1:8" ht="15.75" customHeight="1">
      <c r="A376" s="51"/>
      <c r="B376" s="51"/>
      <c r="E376" s="82"/>
      <c r="G376" s="182"/>
      <c r="H376" s="182"/>
    </row>
    <row r="377" spans="1:8" ht="15.75" customHeight="1">
      <c r="A377" s="51"/>
      <c r="B377" s="51"/>
      <c r="E377" s="82"/>
      <c r="G377" s="182"/>
      <c r="H377" s="182"/>
    </row>
    <row r="378" spans="1:8" ht="15.75" customHeight="1">
      <c r="A378" s="51"/>
      <c r="B378" s="51"/>
      <c r="E378" s="82"/>
      <c r="G378" s="182"/>
      <c r="H378" s="182"/>
    </row>
    <row r="379" spans="1:8" ht="15.75" customHeight="1">
      <c r="A379" s="51"/>
      <c r="B379" s="51"/>
      <c r="E379" s="82"/>
      <c r="G379" s="182"/>
      <c r="H379" s="182"/>
    </row>
    <row r="380" spans="1:8" ht="15.75" customHeight="1">
      <c r="A380" s="51"/>
      <c r="B380" s="51"/>
      <c r="E380" s="82"/>
      <c r="G380" s="182"/>
      <c r="H380" s="182"/>
    </row>
    <row r="381" spans="1:8" ht="15.75" customHeight="1">
      <c r="A381" s="51"/>
      <c r="B381" s="51"/>
      <c r="E381" s="82"/>
      <c r="G381" s="182"/>
      <c r="H381" s="182"/>
    </row>
    <row r="382" spans="1:8" ht="15.75" customHeight="1">
      <c r="A382" s="51"/>
      <c r="B382" s="51"/>
      <c r="E382" s="82"/>
      <c r="G382" s="182"/>
      <c r="H382" s="182"/>
    </row>
    <row r="383" spans="1:8" ht="15.75" customHeight="1">
      <c r="A383" s="51"/>
      <c r="B383" s="51"/>
      <c r="E383" s="82"/>
      <c r="G383" s="182"/>
      <c r="H383" s="182"/>
    </row>
    <row r="384" spans="1:8" ht="15.75" customHeight="1">
      <c r="A384" s="51"/>
      <c r="B384" s="51"/>
      <c r="E384" s="82"/>
      <c r="G384" s="182"/>
      <c r="H384" s="182"/>
    </row>
    <row r="385" spans="1:8" ht="15.75" customHeight="1">
      <c r="A385" s="51"/>
      <c r="B385" s="51"/>
      <c r="E385" s="82"/>
      <c r="G385" s="182"/>
      <c r="H385" s="182"/>
    </row>
    <row r="386" spans="1:8" ht="15.75" customHeight="1">
      <c r="A386" s="51"/>
      <c r="B386" s="51"/>
      <c r="E386" s="82"/>
      <c r="G386" s="182"/>
      <c r="H386" s="182"/>
    </row>
    <row r="387" spans="1:8" ht="15.75" customHeight="1">
      <c r="A387" s="51"/>
      <c r="B387" s="51"/>
      <c r="E387" s="82"/>
      <c r="G387" s="182"/>
      <c r="H387" s="182"/>
    </row>
    <row r="388" spans="1:8" ht="15.75" customHeight="1">
      <c r="A388" s="51"/>
      <c r="B388" s="51"/>
      <c r="E388" s="82"/>
      <c r="G388" s="182"/>
      <c r="H388" s="182"/>
    </row>
    <row r="389" spans="1:8" ht="15.75" customHeight="1">
      <c r="A389" s="51"/>
      <c r="B389" s="51"/>
      <c r="E389" s="82"/>
      <c r="G389" s="182"/>
      <c r="H389" s="182"/>
    </row>
    <row r="390" spans="1:8" ht="15.75" customHeight="1">
      <c r="A390" s="51"/>
      <c r="B390" s="51"/>
      <c r="E390" s="82"/>
      <c r="G390" s="182"/>
      <c r="H390" s="182"/>
    </row>
    <row r="391" spans="1:8" ht="15.75" customHeight="1">
      <c r="A391" s="51"/>
      <c r="B391" s="51"/>
      <c r="E391" s="82"/>
      <c r="G391" s="182"/>
      <c r="H391" s="182"/>
    </row>
    <row r="392" spans="1:8" ht="15.75" customHeight="1">
      <c r="A392" s="51"/>
      <c r="B392" s="51"/>
      <c r="E392" s="82"/>
      <c r="G392" s="182"/>
      <c r="H392" s="182"/>
    </row>
    <row r="393" spans="1:8" ht="15.75" customHeight="1">
      <c r="A393" s="51"/>
      <c r="B393" s="51"/>
      <c r="E393" s="82"/>
      <c r="G393" s="182"/>
      <c r="H393" s="182"/>
    </row>
    <row r="394" spans="1:8" ht="15.75" customHeight="1">
      <c r="A394" s="51"/>
      <c r="B394" s="51"/>
      <c r="E394" s="82"/>
      <c r="G394" s="182"/>
      <c r="H394" s="182"/>
    </row>
    <row r="395" spans="1:8" ht="15.75" customHeight="1">
      <c r="A395" s="51"/>
      <c r="B395" s="51"/>
      <c r="E395" s="82"/>
      <c r="G395" s="182"/>
      <c r="H395" s="182"/>
    </row>
    <row r="396" spans="1:8" ht="15.75" customHeight="1">
      <c r="A396" s="51"/>
      <c r="B396" s="51"/>
      <c r="E396" s="82"/>
      <c r="G396" s="182"/>
      <c r="H396" s="182"/>
    </row>
    <row r="397" spans="1:8" ht="15.75" customHeight="1">
      <c r="A397" s="51"/>
      <c r="B397" s="51"/>
      <c r="E397" s="82"/>
      <c r="G397" s="182"/>
      <c r="H397" s="182"/>
    </row>
    <row r="398" spans="1:8" ht="15.75" customHeight="1">
      <c r="A398" s="51"/>
      <c r="B398" s="51"/>
      <c r="E398" s="82"/>
      <c r="G398" s="182"/>
      <c r="H398" s="182"/>
    </row>
    <row r="399" spans="1:8" ht="15.75" customHeight="1">
      <c r="A399" s="51"/>
      <c r="B399" s="51"/>
      <c r="E399" s="82"/>
      <c r="G399" s="182"/>
      <c r="H399" s="182"/>
    </row>
    <row r="400" spans="1:8" ht="15.75" customHeight="1">
      <c r="A400" s="51"/>
      <c r="B400" s="51"/>
      <c r="E400" s="82"/>
      <c r="G400" s="182"/>
      <c r="H400" s="182"/>
    </row>
    <row r="401" spans="1:8" ht="15.75" customHeight="1">
      <c r="A401" s="51"/>
      <c r="B401" s="51"/>
      <c r="E401" s="82"/>
      <c r="G401" s="182"/>
      <c r="H401" s="182"/>
    </row>
    <row r="402" spans="1:8" ht="15.75" customHeight="1">
      <c r="A402" s="51"/>
      <c r="B402" s="51"/>
      <c r="E402" s="82"/>
      <c r="G402" s="182"/>
      <c r="H402" s="182"/>
    </row>
    <row r="403" spans="1:8" ht="15.75" customHeight="1">
      <c r="A403" s="51"/>
      <c r="B403" s="51"/>
      <c r="E403" s="82"/>
      <c r="G403" s="182"/>
      <c r="H403" s="182"/>
    </row>
    <row r="404" spans="1:8" ht="15.75" customHeight="1">
      <c r="A404" s="51"/>
      <c r="B404" s="51"/>
      <c r="E404" s="82"/>
      <c r="G404" s="182"/>
      <c r="H404" s="182"/>
    </row>
    <row r="405" spans="1:8" ht="15.75" customHeight="1">
      <c r="A405" s="51"/>
      <c r="B405" s="51"/>
      <c r="E405" s="82"/>
      <c r="G405" s="182"/>
      <c r="H405" s="182"/>
    </row>
    <row r="406" spans="1:8" ht="15.75" customHeight="1">
      <c r="A406" s="51"/>
      <c r="B406" s="51"/>
      <c r="E406" s="82"/>
      <c r="G406" s="182"/>
      <c r="H406" s="182"/>
    </row>
    <row r="407" spans="1:8" ht="15.75" customHeight="1">
      <c r="A407" s="51"/>
      <c r="B407" s="51"/>
      <c r="E407" s="82"/>
      <c r="G407" s="182"/>
      <c r="H407" s="182"/>
    </row>
    <row r="408" spans="1:8" ht="15.75" customHeight="1">
      <c r="A408" s="51"/>
      <c r="B408" s="51"/>
      <c r="E408" s="82"/>
      <c r="G408" s="182"/>
      <c r="H408" s="182"/>
    </row>
    <row r="409" spans="1:8" ht="15.75" customHeight="1">
      <c r="A409" s="51"/>
      <c r="B409" s="51"/>
      <c r="E409" s="82"/>
      <c r="G409" s="182"/>
      <c r="H409" s="182"/>
    </row>
    <row r="410" spans="1:8" ht="15.75" customHeight="1">
      <c r="A410" s="51"/>
      <c r="B410" s="51"/>
      <c r="E410" s="82"/>
      <c r="G410" s="182"/>
      <c r="H410" s="182"/>
    </row>
    <row r="411" spans="1:8" ht="15.75" customHeight="1">
      <c r="A411" s="51"/>
      <c r="B411" s="51"/>
      <c r="E411" s="82"/>
      <c r="G411" s="182"/>
      <c r="H411" s="182"/>
    </row>
    <row r="412" spans="1:8" ht="15.75" customHeight="1">
      <c r="A412" s="51"/>
      <c r="B412" s="51"/>
      <c r="E412" s="82"/>
      <c r="G412" s="182"/>
      <c r="H412" s="182"/>
    </row>
    <row r="413" spans="1:8" ht="15.75" customHeight="1">
      <c r="A413" s="51"/>
      <c r="B413" s="51"/>
      <c r="E413" s="82"/>
      <c r="G413" s="182"/>
      <c r="H413" s="182"/>
    </row>
    <row r="414" spans="1:8" ht="15.75" customHeight="1">
      <c r="A414" s="51"/>
      <c r="B414" s="51"/>
      <c r="E414" s="82"/>
      <c r="G414" s="182"/>
      <c r="H414" s="182"/>
    </row>
    <row r="415" spans="1:8" ht="15.75" customHeight="1">
      <c r="A415" s="51"/>
      <c r="B415" s="51"/>
      <c r="E415" s="82"/>
      <c r="G415" s="182"/>
      <c r="H415" s="182"/>
    </row>
    <row r="416" spans="1:8" ht="15.75" customHeight="1">
      <c r="A416" s="51"/>
      <c r="B416" s="51"/>
      <c r="E416" s="82"/>
      <c r="G416" s="182"/>
      <c r="H416" s="182"/>
    </row>
    <row r="417" spans="1:8" ht="15.75" customHeight="1">
      <c r="A417" s="51"/>
      <c r="B417" s="51"/>
      <c r="E417" s="82"/>
      <c r="G417" s="182"/>
      <c r="H417" s="182"/>
    </row>
    <row r="418" spans="1:8" ht="15.75" customHeight="1">
      <c r="A418" s="51"/>
      <c r="B418" s="51"/>
      <c r="E418" s="82"/>
      <c r="G418" s="182"/>
      <c r="H418" s="182"/>
    </row>
    <row r="419" spans="1:8" ht="15.75" customHeight="1">
      <c r="A419" s="51"/>
      <c r="B419" s="51"/>
      <c r="E419" s="82"/>
      <c r="G419" s="182"/>
      <c r="H419" s="182"/>
    </row>
    <row r="420" spans="1:8" ht="15.75" customHeight="1">
      <c r="A420" s="51"/>
      <c r="B420" s="51"/>
      <c r="E420" s="82"/>
      <c r="G420" s="182"/>
      <c r="H420" s="182"/>
    </row>
    <row r="421" spans="1:8" ht="15.75" customHeight="1">
      <c r="A421" s="51"/>
      <c r="B421" s="51"/>
      <c r="E421" s="82"/>
      <c r="G421" s="182"/>
      <c r="H421" s="182"/>
    </row>
    <row r="422" spans="1:8" ht="15.75" customHeight="1">
      <c r="A422" s="51"/>
      <c r="B422" s="51"/>
      <c r="E422" s="82"/>
      <c r="G422" s="182"/>
      <c r="H422" s="182"/>
    </row>
    <row r="423" spans="1:8" ht="15.75" customHeight="1">
      <c r="A423" s="51"/>
      <c r="B423" s="51"/>
      <c r="E423" s="82"/>
      <c r="G423" s="182"/>
      <c r="H423" s="182"/>
    </row>
    <row r="424" spans="1:8" ht="15.75" customHeight="1">
      <c r="A424" s="51"/>
      <c r="B424" s="51"/>
      <c r="E424" s="82"/>
      <c r="G424" s="182"/>
      <c r="H424" s="182"/>
    </row>
    <row r="425" spans="1:8" ht="15.75" customHeight="1">
      <c r="A425" s="51"/>
      <c r="B425" s="51"/>
      <c r="E425" s="82"/>
      <c r="G425" s="182"/>
      <c r="H425" s="182"/>
    </row>
    <row r="426" spans="1:8" ht="15.75" customHeight="1">
      <c r="A426" s="51"/>
      <c r="B426" s="51"/>
      <c r="E426" s="82"/>
      <c r="G426" s="182"/>
      <c r="H426" s="182"/>
    </row>
    <row r="427" spans="1:8" ht="15.75" customHeight="1">
      <c r="A427" s="51"/>
      <c r="B427" s="51"/>
      <c r="E427" s="82"/>
      <c r="G427" s="182"/>
      <c r="H427" s="182"/>
    </row>
    <row r="428" spans="1:8" ht="15.75" customHeight="1">
      <c r="A428" s="51"/>
      <c r="B428" s="51"/>
      <c r="E428" s="82"/>
      <c r="G428" s="182"/>
      <c r="H428" s="182"/>
    </row>
    <row r="429" spans="1:8" ht="15.75" customHeight="1">
      <c r="A429" s="51"/>
      <c r="B429" s="51"/>
      <c r="E429" s="82"/>
      <c r="G429" s="182"/>
      <c r="H429" s="182"/>
    </row>
    <row r="430" spans="1:8" ht="15.75" customHeight="1">
      <c r="A430" s="51"/>
      <c r="B430" s="51"/>
      <c r="E430" s="82"/>
      <c r="G430" s="182"/>
      <c r="H430" s="182"/>
    </row>
    <row r="431" spans="1:8" ht="15.75" customHeight="1">
      <c r="A431" s="51"/>
      <c r="B431" s="51"/>
      <c r="E431" s="82"/>
      <c r="G431" s="182"/>
      <c r="H431" s="182"/>
    </row>
    <row r="432" spans="1:8" ht="15.75" customHeight="1">
      <c r="A432" s="51"/>
      <c r="B432" s="51"/>
      <c r="E432" s="82"/>
      <c r="G432" s="182"/>
      <c r="H432" s="182"/>
    </row>
    <row r="433" spans="1:8" ht="15.75" customHeight="1">
      <c r="A433" s="51"/>
      <c r="B433" s="51"/>
      <c r="E433" s="82"/>
      <c r="G433" s="182"/>
      <c r="H433" s="182"/>
    </row>
    <row r="434" spans="1:8" ht="15.75" customHeight="1">
      <c r="A434" s="51"/>
      <c r="B434" s="51"/>
      <c r="E434" s="82"/>
      <c r="G434" s="182"/>
      <c r="H434" s="182"/>
    </row>
    <row r="435" spans="1:8" ht="15.75" customHeight="1">
      <c r="A435" s="51"/>
      <c r="B435" s="51"/>
      <c r="E435" s="82"/>
      <c r="G435" s="182"/>
      <c r="H435" s="182"/>
    </row>
    <row r="436" spans="1:8" ht="15.75" customHeight="1">
      <c r="A436" s="51"/>
      <c r="B436" s="51"/>
      <c r="E436" s="82"/>
      <c r="G436" s="182"/>
      <c r="H436" s="182"/>
    </row>
    <row r="437" spans="1:8" ht="15.75" customHeight="1">
      <c r="A437" s="51"/>
      <c r="B437" s="51"/>
      <c r="E437" s="82"/>
      <c r="G437" s="182"/>
      <c r="H437" s="182"/>
    </row>
    <row r="438" spans="1:8" ht="15.75" customHeight="1">
      <c r="A438" s="51"/>
      <c r="B438" s="51"/>
      <c r="E438" s="82"/>
      <c r="G438" s="182"/>
      <c r="H438" s="182"/>
    </row>
    <row r="439" spans="1:8" ht="15.75" customHeight="1">
      <c r="A439" s="51"/>
      <c r="B439" s="51"/>
      <c r="E439" s="82"/>
      <c r="G439" s="182"/>
      <c r="H439" s="182"/>
    </row>
    <row r="440" spans="1:8" ht="15.75" customHeight="1">
      <c r="A440" s="51"/>
      <c r="B440" s="51"/>
      <c r="E440" s="82"/>
      <c r="G440" s="182"/>
      <c r="H440" s="182"/>
    </row>
    <row r="441" spans="1:8" ht="15.75" customHeight="1">
      <c r="A441" s="51"/>
      <c r="B441" s="51"/>
      <c r="E441" s="82"/>
      <c r="G441" s="182"/>
      <c r="H441" s="182"/>
    </row>
    <row r="442" spans="1:8" ht="15.75" customHeight="1">
      <c r="A442" s="51"/>
      <c r="B442" s="51"/>
      <c r="E442" s="82"/>
      <c r="G442" s="182"/>
      <c r="H442" s="182"/>
    </row>
    <row r="443" spans="1:8" ht="15.75" customHeight="1">
      <c r="A443" s="51"/>
      <c r="B443" s="51"/>
      <c r="E443" s="82"/>
      <c r="G443" s="182"/>
      <c r="H443" s="182"/>
    </row>
    <row r="444" spans="1:8" ht="15.75" customHeight="1">
      <c r="A444" s="51"/>
      <c r="B444" s="51"/>
      <c r="E444" s="82"/>
      <c r="G444" s="182"/>
      <c r="H444" s="182"/>
    </row>
    <row r="445" spans="1:8" ht="15.75" customHeight="1">
      <c r="A445" s="51"/>
      <c r="B445" s="51"/>
      <c r="E445" s="82"/>
      <c r="G445" s="182"/>
      <c r="H445" s="182"/>
    </row>
    <row r="446" spans="1:8" ht="15.75" customHeight="1">
      <c r="A446" s="51"/>
      <c r="B446" s="51"/>
      <c r="E446" s="82"/>
      <c r="G446" s="182"/>
      <c r="H446" s="182"/>
    </row>
    <row r="447" spans="1:8" ht="15.75" customHeight="1">
      <c r="A447" s="51"/>
      <c r="B447" s="51"/>
      <c r="E447" s="82"/>
      <c r="G447" s="182"/>
      <c r="H447" s="182"/>
    </row>
    <row r="448" spans="1:8" ht="15.75" customHeight="1">
      <c r="A448" s="51"/>
      <c r="B448" s="51"/>
      <c r="E448" s="82"/>
      <c r="G448" s="182"/>
      <c r="H448" s="182"/>
    </row>
    <row r="449" spans="1:8" ht="15.75" customHeight="1">
      <c r="A449" s="51"/>
      <c r="B449" s="51"/>
      <c r="E449" s="82"/>
      <c r="G449" s="182"/>
      <c r="H449" s="182"/>
    </row>
    <row r="450" spans="1:8" ht="15.75" customHeight="1">
      <c r="A450" s="51"/>
      <c r="B450" s="51"/>
      <c r="E450" s="82"/>
      <c r="G450" s="182"/>
      <c r="H450" s="182"/>
    </row>
    <row r="451" spans="1:8" ht="15.75" customHeight="1">
      <c r="A451" s="51"/>
      <c r="B451" s="51"/>
      <c r="E451" s="82"/>
      <c r="G451" s="182"/>
      <c r="H451" s="182"/>
    </row>
    <row r="452" spans="1:8" ht="15.75" customHeight="1">
      <c r="A452" s="51"/>
      <c r="B452" s="51"/>
      <c r="E452" s="82"/>
      <c r="G452" s="182"/>
      <c r="H452" s="182"/>
    </row>
    <row r="453" spans="1:8" ht="15.75" customHeight="1">
      <c r="A453" s="51"/>
      <c r="B453" s="51"/>
      <c r="E453" s="82"/>
      <c r="G453" s="182"/>
      <c r="H453" s="182"/>
    </row>
    <row r="454" spans="1:8" ht="15.75" customHeight="1">
      <c r="A454" s="51"/>
      <c r="B454" s="51"/>
      <c r="E454" s="82"/>
      <c r="G454" s="182"/>
      <c r="H454" s="182"/>
    </row>
    <row r="455" spans="1:8" ht="15.75" customHeight="1">
      <c r="A455" s="51"/>
      <c r="B455" s="51"/>
      <c r="E455" s="82"/>
      <c r="G455" s="182"/>
      <c r="H455" s="182"/>
    </row>
    <row r="456" spans="1:8" ht="15.75" customHeight="1">
      <c r="A456" s="51"/>
      <c r="B456" s="51"/>
      <c r="E456" s="82"/>
      <c r="G456" s="182"/>
      <c r="H456" s="182"/>
    </row>
    <row r="457" spans="1:8" ht="15.75" customHeight="1">
      <c r="A457" s="51"/>
      <c r="B457" s="51"/>
      <c r="E457" s="82"/>
      <c r="G457" s="182"/>
      <c r="H457" s="182"/>
    </row>
    <row r="458" spans="1:8" ht="15.75" customHeight="1">
      <c r="A458" s="51"/>
      <c r="B458" s="51"/>
      <c r="E458" s="82"/>
      <c r="G458" s="182"/>
      <c r="H458" s="182"/>
    </row>
    <row r="459" spans="1:8" ht="15.75" customHeight="1">
      <c r="A459" s="51"/>
      <c r="B459" s="51"/>
      <c r="E459" s="82"/>
      <c r="G459" s="182"/>
      <c r="H459" s="182"/>
    </row>
    <row r="460" spans="1:8" ht="15.75" customHeight="1">
      <c r="A460" s="51"/>
      <c r="B460" s="51"/>
      <c r="E460" s="82"/>
      <c r="G460" s="182"/>
      <c r="H460" s="182"/>
    </row>
    <row r="461" spans="1:8" ht="15.75" customHeight="1">
      <c r="A461" s="51"/>
      <c r="B461" s="51"/>
      <c r="E461" s="82"/>
      <c r="G461" s="182"/>
      <c r="H461" s="182"/>
    </row>
    <row r="462" spans="1:8" ht="15.75" customHeight="1">
      <c r="A462" s="51"/>
      <c r="B462" s="51"/>
      <c r="E462" s="82"/>
      <c r="G462" s="182"/>
      <c r="H462" s="182"/>
    </row>
    <row r="463" spans="1:8" ht="15.75" customHeight="1">
      <c r="A463" s="51"/>
      <c r="B463" s="51"/>
      <c r="E463" s="82"/>
      <c r="G463" s="182"/>
      <c r="H463" s="182"/>
    </row>
    <row r="464" spans="1:8" ht="15.75" customHeight="1">
      <c r="A464" s="51"/>
      <c r="B464" s="51"/>
      <c r="E464" s="82"/>
      <c r="G464" s="182"/>
      <c r="H464" s="182"/>
    </row>
    <row r="465" spans="1:8" ht="15.75" customHeight="1">
      <c r="A465" s="51"/>
      <c r="B465" s="51"/>
      <c r="E465" s="82"/>
      <c r="G465" s="182"/>
      <c r="H465" s="182"/>
    </row>
    <row r="466" spans="1:8" ht="15.75" customHeight="1">
      <c r="A466" s="51"/>
      <c r="B466" s="51"/>
      <c r="E466" s="82"/>
      <c r="G466" s="182"/>
      <c r="H466" s="182"/>
    </row>
    <row r="467" spans="1:8" ht="15.75" customHeight="1">
      <c r="A467" s="51"/>
      <c r="B467" s="51"/>
      <c r="E467" s="82"/>
      <c r="G467" s="182"/>
      <c r="H467" s="182"/>
    </row>
    <row r="468" spans="1:8" ht="15.75" customHeight="1">
      <c r="A468" s="51"/>
      <c r="B468" s="51"/>
      <c r="E468" s="82"/>
      <c r="G468" s="182"/>
      <c r="H468" s="182"/>
    </row>
    <row r="469" spans="1:8" ht="15.75" customHeight="1">
      <c r="A469" s="51"/>
      <c r="B469" s="51"/>
      <c r="E469" s="82"/>
      <c r="G469" s="182"/>
      <c r="H469" s="182"/>
    </row>
    <row r="470" spans="1:8" ht="15.75" customHeight="1">
      <c r="A470" s="51"/>
      <c r="B470" s="51"/>
      <c r="E470" s="82"/>
      <c r="G470" s="182"/>
      <c r="H470" s="182"/>
    </row>
    <row r="471" spans="1:8" ht="15.75" customHeight="1">
      <c r="A471" s="51"/>
      <c r="B471" s="51"/>
      <c r="E471" s="82"/>
      <c r="G471" s="182"/>
      <c r="H471" s="182"/>
    </row>
    <row r="472" spans="1:8" ht="15.75" customHeight="1">
      <c r="A472" s="51"/>
      <c r="B472" s="51"/>
      <c r="E472" s="82"/>
      <c r="G472" s="182"/>
      <c r="H472" s="182"/>
    </row>
    <row r="473" spans="1:8" ht="15.75" customHeight="1">
      <c r="A473" s="51"/>
      <c r="B473" s="51"/>
      <c r="E473" s="82"/>
      <c r="G473" s="182"/>
      <c r="H473" s="182"/>
    </row>
    <row r="474" spans="1:8" ht="15.75" customHeight="1">
      <c r="A474" s="51"/>
      <c r="B474" s="51"/>
      <c r="E474" s="82"/>
      <c r="G474" s="182"/>
      <c r="H474" s="182"/>
    </row>
    <row r="475" spans="1:8" ht="15.75" customHeight="1">
      <c r="A475" s="51"/>
      <c r="B475" s="51"/>
      <c r="E475" s="82"/>
      <c r="G475" s="182"/>
      <c r="H475" s="182"/>
    </row>
    <row r="476" spans="1:8" ht="15.75" customHeight="1">
      <c r="A476" s="51"/>
      <c r="B476" s="51"/>
      <c r="E476" s="82"/>
      <c r="G476" s="182"/>
      <c r="H476" s="182"/>
    </row>
    <row r="477" spans="1:8" ht="15.75" customHeight="1">
      <c r="A477" s="51"/>
      <c r="B477" s="51"/>
      <c r="E477" s="82"/>
      <c r="G477" s="182"/>
      <c r="H477" s="182"/>
    </row>
    <row r="478" spans="1:8" ht="15.75" customHeight="1">
      <c r="A478" s="51"/>
      <c r="B478" s="51"/>
      <c r="E478" s="82"/>
      <c r="G478" s="182"/>
      <c r="H478" s="182"/>
    </row>
    <row r="479" spans="1:8" ht="15.75" customHeight="1">
      <c r="A479" s="51"/>
      <c r="B479" s="51"/>
      <c r="E479" s="82"/>
      <c r="G479" s="182"/>
      <c r="H479" s="182"/>
    </row>
    <row r="480" spans="1:8" ht="15.75" customHeight="1">
      <c r="A480" s="51"/>
      <c r="B480" s="51"/>
      <c r="E480" s="82"/>
      <c r="G480" s="182"/>
      <c r="H480" s="182"/>
    </row>
    <row r="481" spans="1:8" ht="15.75" customHeight="1">
      <c r="A481" s="51"/>
      <c r="B481" s="51"/>
      <c r="E481" s="82"/>
      <c r="G481" s="182"/>
      <c r="H481" s="182"/>
    </row>
    <row r="482" spans="1:8" ht="15.75" customHeight="1">
      <c r="A482" s="51"/>
      <c r="B482" s="51"/>
      <c r="E482" s="82"/>
      <c r="G482" s="182"/>
      <c r="H482" s="182"/>
    </row>
    <row r="483" spans="1:8" ht="15.75" customHeight="1">
      <c r="A483" s="51"/>
      <c r="B483" s="51"/>
      <c r="E483" s="82"/>
      <c r="G483" s="182"/>
      <c r="H483" s="182"/>
    </row>
    <row r="484" spans="1:8" ht="15.75" customHeight="1">
      <c r="A484" s="51"/>
      <c r="B484" s="51"/>
      <c r="E484" s="82"/>
      <c r="G484" s="182"/>
      <c r="H484" s="182"/>
    </row>
    <row r="485" spans="1:8" ht="15.75" customHeight="1">
      <c r="A485" s="51"/>
      <c r="B485" s="51"/>
      <c r="E485" s="82"/>
      <c r="G485" s="182"/>
      <c r="H485" s="182"/>
    </row>
    <row r="486" spans="1:8" ht="15.75" customHeight="1">
      <c r="A486" s="51"/>
      <c r="B486" s="51"/>
      <c r="E486" s="82"/>
      <c r="G486" s="182"/>
      <c r="H486" s="182"/>
    </row>
    <row r="487" spans="1:8" ht="15.75" customHeight="1">
      <c r="A487" s="51"/>
      <c r="B487" s="51"/>
      <c r="E487" s="82"/>
      <c r="G487" s="182"/>
      <c r="H487" s="182"/>
    </row>
    <row r="488" spans="1:8" ht="15.75" customHeight="1">
      <c r="A488" s="51"/>
      <c r="B488" s="51"/>
      <c r="E488" s="82"/>
      <c r="G488" s="182"/>
      <c r="H488" s="182"/>
    </row>
    <row r="489" spans="1:8" ht="15.75" customHeight="1">
      <c r="A489" s="51"/>
      <c r="B489" s="51"/>
      <c r="E489" s="82"/>
      <c r="G489" s="182"/>
      <c r="H489" s="182"/>
    </row>
    <row r="490" spans="1:8" ht="15.75" customHeight="1">
      <c r="A490" s="51"/>
      <c r="B490" s="51"/>
      <c r="E490" s="82"/>
      <c r="G490" s="182"/>
      <c r="H490" s="182"/>
    </row>
    <row r="491" spans="1:8" ht="15.75" customHeight="1">
      <c r="A491" s="51"/>
      <c r="B491" s="51"/>
      <c r="E491" s="82"/>
      <c r="G491" s="182"/>
      <c r="H491" s="182"/>
    </row>
    <row r="492" spans="1:8" ht="15.75" customHeight="1">
      <c r="A492" s="51"/>
      <c r="B492" s="51"/>
      <c r="E492" s="82"/>
      <c r="G492" s="182"/>
      <c r="H492" s="182"/>
    </row>
    <row r="493" spans="1:8" ht="15.75" customHeight="1">
      <c r="A493" s="51"/>
      <c r="B493" s="51"/>
      <c r="E493" s="82"/>
      <c r="G493" s="182"/>
      <c r="H493" s="182"/>
    </row>
    <row r="494" spans="1:8" ht="15.75" customHeight="1">
      <c r="A494" s="51"/>
      <c r="B494" s="51"/>
      <c r="E494" s="82"/>
      <c r="G494" s="182"/>
      <c r="H494" s="182"/>
    </row>
    <row r="495" spans="1:8" ht="15.75" customHeight="1">
      <c r="A495" s="51"/>
      <c r="B495" s="51"/>
      <c r="E495" s="82"/>
      <c r="G495" s="182"/>
      <c r="H495" s="182"/>
    </row>
    <row r="496" spans="1:8" ht="15.75" customHeight="1">
      <c r="A496" s="51"/>
      <c r="B496" s="51"/>
      <c r="E496" s="82"/>
      <c r="G496" s="182"/>
      <c r="H496" s="182"/>
    </row>
    <row r="497" spans="1:8" ht="15.75" customHeight="1">
      <c r="A497" s="51"/>
      <c r="B497" s="51"/>
      <c r="E497" s="82"/>
      <c r="G497" s="182"/>
      <c r="H497" s="182"/>
    </row>
    <row r="498" spans="1:8" ht="15.75" customHeight="1">
      <c r="A498" s="51"/>
      <c r="B498" s="51"/>
      <c r="E498" s="82"/>
      <c r="G498" s="182"/>
      <c r="H498" s="182"/>
    </row>
    <row r="499" spans="1:8" ht="15.75" customHeight="1">
      <c r="A499" s="51"/>
      <c r="B499" s="51"/>
      <c r="E499" s="82"/>
      <c r="G499" s="182"/>
      <c r="H499" s="182"/>
    </row>
    <row r="500" spans="1:8" ht="15.75" customHeight="1">
      <c r="A500" s="51"/>
      <c r="B500" s="51"/>
      <c r="E500" s="82"/>
      <c r="G500" s="182"/>
      <c r="H500" s="182"/>
    </row>
    <row r="501" spans="1:8" ht="15.75" customHeight="1">
      <c r="A501" s="51"/>
      <c r="B501" s="51"/>
      <c r="E501" s="82"/>
      <c r="G501" s="182"/>
      <c r="H501" s="182"/>
    </row>
    <row r="502" spans="1:8" ht="15.75" customHeight="1">
      <c r="A502" s="51"/>
      <c r="B502" s="51"/>
      <c r="E502" s="82"/>
      <c r="G502" s="182"/>
      <c r="H502" s="182"/>
    </row>
    <row r="503" spans="1:8" ht="15.75" customHeight="1">
      <c r="A503" s="51"/>
      <c r="B503" s="51"/>
      <c r="E503" s="82"/>
      <c r="G503" s="182"/>
      <c r="H503" s="182"/>
    </row>
    <row r="504" spans="1:8" ht="15.75" customHeight="1">
      <c r="A504" s="51"/>
      <c r="B504" s="51"/>
      <c r="E504" s="82"/>
      <c r="G504" s="182"/>
      <c r="H504" s="182"/>
    </row>
    <row r="505" spans="1:8" ht="15.75" customHeight="1">
      <c r="A505" s="51"/>
      <c r="B505" s="51"/>
      <c r="E505" s="82"/>
      <c r="G505" s="182"/>
      <c r="H505" s="182"/>
    </row>
    <row r="506" spans="1:8" ht="15.75" customHeight="1">
      <c r="A506" s="51"/>
      <c r="B506" s="51"/>
      <c r="E506" s="82"/>
      <c r="G506" s="182"/>
      <c r="H506" s="182"/>
    </row>
    <row r="507" spans="1:8" ht="15.75" customHeight="1">
      <c r="A507" s="51"/>
      <c r="B507" s="51"/>
      <c r="E507" s="82"/>
      <c r="G507" s="182"/>
      <c r="H507" s="182"/>
    </row>
    <row r="508" spans="1:8" ht="15.75" customHeight="1">
      <c r="A508" s="51"/>
      <c r="B508" s="51"/>
      <c r="E508" s="82"/>
      <c r="G508" s="182"/>
      <c r="H508" s="182"/>
    </row>
    <row r="509" spans="1:8" ht="15.75" customHeight="1">
      <c r="A509" s="51"/>
      <c r="B509" s="51"/>
      <c r="E509" s="82"/>
      <c r="G509" s="182"/>
      <c r="H509" s="182"/>
    </row>
    <row r="510" spans="1:8" ht="15.75" customHeight="1">
      <c r="A510" s="51"/>
      <c r="B510" s="51"/>
      <c r="E510" s="82"/>
      <c r="G510" s="182"/>
      <c r="H510" s="182"/>
    </row>
    <row r="511" spans="1:8" ht="15.75" customHeight="1">
      <c r="A511" s="51"/>
      <c r="B511" s="51"/>
      <c r="E511" s="82"/>
      <c r="G511" s="182"/>
      <c r="H511" s="182"/>
    </row>
    <row r="512" spans="1:8" ht="15.75" customHeight="1">
      <c r="A512" s="51"/>
      <c r="B512" s="51"/>
      <c r="E512" s="82"/>
      <c r="G512" s="182"/>
      <c r="H512" s="182"/>
    </row>
    <row r="513" spans="1:8" ht="15.75" customHeight="1">
      <c r="A513" s="51"/>
      <c r="B513" s="51"/>
      <c r="E513" s="82"/>
      <c r="G513" s="182"/>
      <c r="H513" s="182"/>
    </row>
    <row r="514" spans="1:8" ht="15.75" customHeight="1">
      <c r="A514" s="51"/>
      <c r="B514" s="51"/>
      <c r="E514" s="82"/>
      <c r="G514" s="182"/>
      <c r="H514" s="182"/>
    </row>
    <row r="515" spans="1:8" ht="15.75" customHeight="1">
      <c r="A515" s="51"/>
      <c r="B515" s="51"/>
      <c r="E515" s="82"/>
      <c r="G515" s="182"/>
      <c r="H515" s="182"/>
    </row>
    <row r="516" spans="1:8" ht="15.75" customHeight="1">
      <c r="A516" s="51"/>
      <c r="B516" s="51"/>
      <c r="E516" s="82"/>
      <c r="G516" s="182"/>
      <c r="H516" s="182"/>
    </row>
    <row r="517" spans="1:8" ht="15.75" customHeight="1">
      <c r="A517" s="51"/>
      <c r="B517" s="51"/>
      <c r="E517" s="82"/>
      <c r="G517" s="182"/>
      <c r="H517" s="182"/>
    </row>
    <row r="518" spans="1:8" ht="15.75" customHeight="1">
      <c r="A518" s="51"/>
      <c r="B518" s="51"/>
      <c r="E518" s="82"/>
      <c r="G518" s="182"/>
      <c r="H518" s="182"/>
    </row>
    <row r="519" spans="1:8" ht="15.75" customHeight="1">
      <c r="A519" s="51"/>
      <c r="B519" s="51"/>
      <c r="E519" s="82"/>
      <c r="G519" s="182"/>
      <c r="H519" s="182"/>
    </row>
    <row r="520" spans="1:8" ht="15.75" customHeight="1">
      <c r="A520" s="51"/>
      <c r="B520" s="51"/>
      <c r="E520" s="82"/>
      <c r="G520" s="182"/>
      <c r="H520" s="182"/>
    </row>
    <row r="521" spans="1:8" ht="15.75" customHeight="1">
      <c r="A521" s="51"/>
      <c r="B521" s="51"/>
      <c r="E521" s="82"/>
      <c r="G521" s="182"/>
      <c r="H521" s="182"/>
    </row>
    <row r="522" spans="1:8" ht="15.75" customHeight="1">
      <c r="A522" s="51"/>
      <c r="B522" s="51"/>
      <c r="E522" s="82"/>
      <c r="G522" s="182"/>
      <c r="H522" s="182"/>
    </row>
    <row r="523" spans="1:8" ht="15.75" customHeight="1">
      <c r="A523" s="51"/>
      <c r="B523" s="51"/>
      <c r="E523" s="82"/>
      <c r="G523" s="182"/>
      <c r="H523" s="182"/>
    </row>
    <row r="524" spans="1:8" ht="15.75" customHeight="1">
      <c r="A524" s="51"/>
      <c r="B524" s="51"/>
      <c r="E524" s="82"/>
      <c r="G524" s="182"/>
      <c r="H524" s="182"/>
    </row>
    <row r="525" spans="1:8" ht="15.75" customHeight="1">
      <c r="A525" s="51"/>
      <c r="B525" s="51"/>
      <c r="E525" s="82"/>
      <c r="G525" s="182"/>
      <c r="H525" s="182"/>
    </row>
    <row r="526" spans="1:8" ht="15.75" customHeight="1">
      <c r="A526" s="51"/>
      <c r="B526" s="51"/>
      <c r="E526" s="82"/>
      <c r="G526" s="182"/>
      <c r="H526" s="182"/>
    </row>
    <row r="527" spans="1:8" ht="15.75" customHeight="1">
      <c r="A527" s="51"/>
      <c r="B527" s="51"/>
      <c r="E527" s="82"/>
      <c r="G527" s="182"/>
      <c r="H527" s="182"/>
    </row>
    <row r="528" spans="1:8" ht="15.75" customHeight="1">
      <c r="A528" s="51"/>
      <c r="B528" s="51"/>
      <c r="E528" s="82"/>
      <c r="G528" s="182"/>
      <c r="H528" s="182"/>
    </row>
    <row r="529" spans="1:8" ht="15.75" customHeight="1">
      <c r="A529" s="51"/>
      <c r="B529" s="51"/>
      <c r="E529" s="82"/>
      <c r="G529" s="182"/>
      <c r="H529" s="182"/>
    </row>
    <row r="530" spans="1:8" ht="15.75" customHeight="1">
      <c r="A530" s="51"/>
      <c r="B530" s="51"/>
      <c r="E530" s="82"/>
      <c r="G530" s="182"/>
      <c r="H530" s="182"/>
    </row>
    <row r="531" spans="1:8" ht="15.75" customHeight="1">
      <c r="A531" s="51"/>
      <c r="B531" s="51"/>
      <c r="E531" s="82"/>
      <c r="G531" s="182"/>
      <c r="H531" s="182"/>
    </row>
    <row r="532" spans="1:8" ht="15.75" customHeight="1">
      <c r="A532" s="51"/>
      <c r="B532" s="51"/>
      <c r="E532" s="82"/>
      <c r="G532" s="182"/>
      <c r="H532" s="182"/>
    </row>
    <row r="533" spans="1:8" ht="15.75" customHeight="1">
      <c r="A533" s="51"/>
      <c r="B533" s="51"/>
      <c r="E533" s="82"/>
      <c r="G533" s="182"/>
      <c r="H533" s="182"/>
    </row>
    <row r="534" spans="1:8" ht="15.75" customHeight="1">
      <c r="A534" s="51"/>
      <c r="B534" s="51"/>
      <c r="E534" s="82"/>
      <c r="G534" s="182"/>
      <c r="H534" s="182"/>
    </row>
    <row r="535" spans="1:8" ht="15.75" customHeight="1">
      <c r="A535" s="51"/>
      <c r="B535" s="51"/>
      <c r="E535" s="82"/>
      <c r="G535" s="182"/>
      <c r="H535" s="182"/>
    </row>
    <row r="536" spans="1:8" ht="15.75" customHeight="1">
      <c r="A536" s="51"/>
      <c r="B536" s="51"/>
      <c r="E536" s="82"/>
      <c r="G536" s="182"/>
      <c r="H536" s="182"/>
    </row>
    <row r="537" spans="1:8" ht="15.75" customHeight="1">
      <c r="A537" s="51"/>
      <c r="B537" s="51"/>
      <c r="E537" s="82"/>
      <c r="G537" s="182"/>
      <c r="H537" s="182"/>
    </row>
    <row r="538" spans="1:8" ht="15.75" customHeight="1">
      <c r="A538" s="51"/>
      <c r="B538" s="51"/>
      <c r="E538" s="82"/>
      <c r="G538" s="182"/>
      <c r="H538" s="182"/>
    </row>
    <row r="539" spans="1:8" ht="15.75" customHeight="1">
      <c r="A539" s="51"/>
      <c r="B539" s="51"/>
      <c r="E539" s="82"/>
      <c r="G539" s="182"/>
      <c r="H539" s="182"/>
    </row>
    <row r="540" spans="1:8" ht="15.75" customHeight="1">
      <c r="A540" s="51"/>
      <c r="B540" s="51"/>
      <c r="E540" s="82"/>
      <c r="G540" s="182"/>
      <c r="H540" s="182"/>
    </row>
    <row r="541" spans="1:8" ht="15.75" customHeight="1">
      <c r="A541" s="51"/>
      <c r="B541" s="51"/>
      <c r="E541" s="82"/>
      <c r="G541" s="182"/>
      <c r="H541" s="182"/>
    </row>
    <row r="542" spans="1:8" ht="15.75" customHeight="1">
      <c r="A542" s="51"/>
      <c r="B542" s="51"/>
      <c r="E542" s="82"/>
      <c r="G542" s="182"/>
      <c r="H542" s="182"/>
    </row>
    <row r="543" spans="1:8" ht="15.75" customHeight="1">
      <c r="A543" s="51"/>
      <c r="B543" s="51"/>
      <c r="E543" s="82"/>
      <c r="G543" s="182"/>
      <c r="H543" s="182"/>
    </row>
    <row r="544" spans="1:8" ht="15.75" customHeight="1">
      <c r="A544" s="51"/>
      <c r="B544" s="51"/>
      <c r="E544" s="82"/>
      <c r="G544" s="182"/>
      <c r="H544" s="182"/>
    </row>
    <row r="545" spans="1:8" ht="15.75" customHeight="1">
      <c r="A545" s="51"/>
      <c r="B545" s="51"/>
      <c r="E545" s="82"/>
      <c r="G545" s="182"/>
      <c r="H545" s="182"/>
    </row>
    <row r="546" spans="1:8" ht="15.75" customHeight="1">
      <c r="A546" s="51"/>
      <c r="B546" s="51"/>
      <c r="E546" s="82"/>
      <c r="G546" s="182"/>
      <c r="H546" s="182"/>
    </row>
    <row r="547" spans="1:8" ht="15.75" customHeight="1">
      <c r="A547" s="51"/>
      <c r="B547" s="51"/>
      <c r="E547" s="82"/>
      <c r="G547" s="182"/>
      <c r="H547" s="182"/>
    </row>
    <row r="548" spans="1:8" ht="15.75" customHeight="1">
      <c r="A548" s="51"/>
      <c r="B548" s="51"/>
      <c r="E548" s="82"/>
      <c r="G548" s="182"/>
      <c r="H548" s="182"/>
    </row>
    <row r="549" spans="1:8" ht="15.75" customHeight="1">
      <c r="A549" s="51"/>
      <c r="B549" s="51"/>
      <c r="E549" s="82"/>
      <c r="G549" s="182"/>
      <c r="H549" s="182"/>
    </row>
    <row r="550" spans="1:8" ht="15.75" customHeight="1">
      <c r="A550" s="51"/>
      <c r="B550" s="51"/>
      <c r="E550" s="82"/>
      <c r="G550" s="182"/>
      <c r="H550" s="182"/>
    </row>
    <row r="551" spans="1:8" ht="15.75" customHeight="1">
      <c r="A551" s="51"/>
      <c r="B551" s="51"/>
      <c r="E551" s="82"/>
      <c r="G551" s="182"/>
      <c r="H551" s="182"/>
    </row>
    <row r="552" spans="1:8" ht="15.75" customHeight="1">
      <c r="A552" s="51"/>
      <c r="B552" s="51"/>
      <c r="E552" s="82"/>
      <c r="G552" s="182"/>
      <c r="H552" s="182"/>
    </row>
    <row r="553" spans="1:8" ht="15.75" customHeight="1">
      <c r="A553" s="51"/>
      <c r="B553" s="51"/>
      <c r="E553" s="82"/>
      <c r="G553" s="182"/>
      <c r="H553" s="182"/>
    </row>
    <row r="554" spans="1:8" ht="15.75" customHeight="1">
      <c r="A554" s="51"/>
      <c r="B554" s="51"/>
      <c r="E554" s="82"/>
      <c r="G554" s="182"/>
      <c r="H554" s="182"/>
    </row>
    <row r="555" spans="1:8" ht="15.75" customHeight="1">
      <c r="A555" s="51"/>
      <c r="B555" s="51"/>
      <c r="E555" s="82"/>
      <c r="G555" s="182"/>
      <c r="H555" s="182"/>
    </row>
    <row r="556" spans="1:8" ht="15.75" customHeight="1">
      <c r="A556" s="51"/>
      <c r="B556" s="51"/>
      <c r="E556" s="82"/>
      <c r="G556" s="182"/>
      <c r="H556" s="182"/>
    </row>
    <row r="557" spans="1:8" ht="15.75" customHeight="1">
      <c r="A557" s="51"/>
      <c r="B557" s="51"/>
      <c r="E557" s="82"/>
      <c r="G557" s="182"/>
      <c r="H557" s="182"/>
    </row>
    <row r="558" spans="1:8" ht="15.75" customHeight="1">
      <c r="A558" s="51"/>
      <c r="B558" s="51"/>
      <c r="E558" s="82"/>
      <c r="G558" s="182"/>
      <c r="H558" s="182"/>
    </row>
    <row r="559" spans="1:8" ht="15.75" customHeight="1">
      <c r="A559" s="51"/>
      <c r="B559" s="51"/>
      <c r="E559" s="82"/>
      <c r="G559" s="182"/>
      <c r="H559" s="182"/>
    </row>
    <row r="560" spans="1:8" ht="15.75" customHeight="1">
      <c r="A560" s="51"/>
      <c r="B560" s="51"/>
      <c r="E560" s="82"/>
      <c r="G560" s="182"/>
      <c r="H560" s="182"/>
    </row>
    <row r="561" spans="1:8" ht="15.75" customHeight="1">
      <c r="A561" s="51"/>
      <c r="B561" s="51"/>
      <c r="E561" s="82"/>
      <c r="G561" s="182"/>
      <c r="H561" s="182"/>
    </row>
    <row r="562" spans="1:8" ht="15.75" customHeight="1">
      <c r="A562" s="51"/>
      <c r="B562" s="51"/>
      <c r="E562" s="82"/>
      <c r="G562" s="182"/>
      <c r="H562" s="182"/>
    </row>
    <row r="563" spans="1:8" ht="15.75" customHeight="1">
      <c r="A563" s="51"/>
      <c r="B563" s="51"/>
      <c r="E563" s="82"/>
      <c r="G563" s="182"/>
      <c r="H563" s="182"/>
    </row>
    <row r="564" spans="1:8" ht="15.75" customHeight="1">
      <c r="A564" s="51"/>
      <c r="B564" s="51"/>
      <c r="E564" s="82"/>
      <c r="G564" s="182"/>
      <c r="H564" s="182"/>
    </row>
    <row r="565" spans="1:8" ht="15.75" customHeight="1">
      <c r="A565" s="51"/>
      <c r="B565" s="51"/>
      <c r="E565" s="82"/>
      <c r="G565" s="182"/>
      <c r="H565" s="182"/>
    </row>
    <row r="566" spans="1:8" ht="15.75" customHeight="1">
      <c r="A566" s="51"/>
      <c r="B566" s="51"/>
      <c r="E566" s="82"/>
      <c r="G566" s="182"/>
      <c r="H566" s="182"/>
    </row>
    <row r="567" spans="1:8" ht="15.75" customHeight="1">
      <c r="A567" s="51"/>
      <c r="B567" s="51"/>
      <c r="E567" s="82"/>
      <c r="G567" s="182"/>
      <c r="H567" s="182"/>
    </row>
    <row r="568" spans="1:8" ht="15.75" customHeight="1">
      <c r="A568" s="51"/>
      <c r="B568" s="51"/>
      <c r="E568" s="82"/>
      <c r="G568" s="182"/>
      <c r="H568" s="182"/>
    </row>
    <row r="569" spans="1:8" ht="15.75" customHeight="1">
      <c r="A569" s="51"/>
      <c r="B569" s="51"/>
      <c r="E569" s="82"/>
      <c r="G569" s="182"/>
      <c r="H569" s="182"/>
    </row>
    <row r="570" spans="1:8" ht="15.75" customHeight="1">
      <c r="A570" s="51"/>
      <c r="B570" s="51"/>
      <c r="E570" s="82"/>
      <c r="G570" s="182"/>
      <c r="H570" s="182"/>
    </row>
    <row r="571" spans="1:8" ht="15.75" customHeight="1">
      <c r="A571" s="51"/>
      <c r="B571" s="51"/>
      <c r="E571" s="82"/>
      <c r="G571" s="182"/>
      <c r="H571" s="182"/>
    </row>
    <row r="572" spans="1:8" ht="15.75" customHeight="1">
      <c r="A572" s="51"/>
      <c r="B572" s="51"/>
      <c r="E572" s="82"/>
      <c r="G572" s="182"/>
      <c r="H572" s="182"/>
    </row>
    <row r="573" spans="1:8" ht="15.75" customHeight="1">
      <c r="A573" s="51"/>
      <c r="B573" s="51"/>
      <c r="E573" s="82"/>
      <c r="G573" s="182"/>
      <c r="H573" s="182"/>
    </row>
    <row r="574" spans="1:8" ht="15.75" customHeight="1">
      <c r="A574" s="51"/>
      <c r="B574" s="51"/>
      <c r="E574" s="82"/>
      <c r="G574" s="182"/>
      <c r="H574" s="182"/>
    </row>
    <row r="575" spans="1:8" ht="15.75" customHeight="1">
      <c r="A575" s="51"/>
      <c r="B575" s="51"/>
      <c r="E575" s="82"/>
      <c r="G575" s="182"/>
      <c r="H575" s="182"/>
    </row>
    <row r="576" spans="1:8" ht="15.75" customHeight="1">
      <c r="A576" s="51"/>
      <c r="B576" s="51"/>
      <c r="E576" s="82"/>
      <c r="G576" s="182"/>
      <c r="H576" s="182"/>
    </row>
    <row r="577" spans="1:8" ht="15.75" customHeight="1">
      <c r="A577" s="51"/>
      <c r="B577" s="51"/>
      <c r="E577" s="82"/>
      <c r="G577" s="182"/>
      <c r="H577" s="182"/>
    </row>
    <row r="578" spans="1:8" ht="15.75" customHeight="1">
      <c r="A578" s="51"/>
      <c r="B578" s="51"/>
      <c r="E578" s="82"/>
      <c r="G578" s="182"/>
      <c r="H578" s="182"/>
    </row>
    <row r="579" spans="1:8" ht="15.75" customHeight="1">
      <c r="A579" s="51"/>
      <c r="B579" s="51"/>
      <c r="E579" s="82"/>
      <c r="G579" s="182"/>
      <c r="H579" s="182"/>
    </row>
    <row r="580" spans="1:8" ht="15.75" customHeight="1">
      <c r="A580" s="51"/>
      <c r="B580" s="51"/>
      <c r="E580" s="82"/>
      <c r="G580" s="182"/>
      <c r="H580" s="182"/>
    </row>
    <row r="581" spans="1:8" ht="15.75" customHeight="1">
      <c r="A581" s="51"/>
      <c r="B581" s="51"/>
      <c r="E581" s="82"/>
      <c r="G581" s="182"/>
      <c r="H581" s="182"/>
    </row>
    <row r="582" spans="1:8" ht="15.75" customHeight="1">
      <c r="A582" s="51"/>
      <c r="B582" s="51"/>
      <c r="E582" s="82"/>
      <c r="G582" s="182"/>
      <c r="H582" s="182"/>
    </row>
    <row r="583" spans="1:8" ht="15.75" customHeight="1">
      <c r="A583" s="51"/>
      <c r="B583" s="51"/>
      <c r="E583" s="82"/>
      <c r="G583" s="182"/>
      <c r="H583" s="182"/>
    </row>
    <row r="584" spans="1:8" ht="15.75" customHeight="1">
      <c r="A584" s="51"/>
      <c r="B584" s="51"/>
      <c r="E584" s="82"/>
      <c r="G584" s="182"/>
      <c r="H584" s="182"/>
    </row>
    <row r="585" spans="1:8" ht="15.75" customHeight="1">
      <c r="A585" s="51"/>
      <c r="B585" s="51"/>
      <c r="E585" s="82"/>
      <c r="G585" s="182"/>
      <c r="H585" s="182"/>
    </row>
    <row r="586" spans="1:8" ht="15.75" customHeight="1">
      <c r="A586" s="51"/>
      <c r="B586" s="51"/>
      <c r="E586" s="82"/>
      <c r="G586" s="182"/>
      <c r="H586" s="182"/>
    </row>
    <row r="587" spans="1:8" ht="15.75" customHeight="1">
      <c r="A587" s="51"/>
      <c r="B587" s="51"/>
      <c r="E587" s="82"/>
      <c r="G587" s="182"/>
      <c r="H587" s="182"/>
    </row>
    <row r="588" spans="1:8" ht="15.75" customHeight="1">
      <c r="A588" s="51"/>
      <c r="B588" s="51"/>
      <c r="E588" s="82"/>
      <c r="G588" s="182"/>
      <c r="H588" s="182"/>
    </row>
    <row r="589" spans="1:8" ht="15.75" customHeight="1">
      <c r="A589" s="51"/>
      <c r="B589" s="51"/>
      <c r="E589" s="82"/>
      <c r="G589" s="182"/>
      <c r="H589" s="182"/>
    </row>
    <row r="590" spans="1:8" ht="15.75" customHeight="1">
      <c r="A590" s="51"/>
      <c r="B590" s="51"/>
      <c r="E590" s="82"/>
      <c r="G590" s="182"/>
      <c r="H590" s="182"/>
    </row>
    <row r="591" spans="1:8" ht="15.75" customHeight="1">
      <c r="A591" s="51"/>
      <c r="B591" s="51"/>
      <c r="E591" s="82"/>
      <c r="G591" s="182"/>
      <c r="H591" s="182"/>
    </row>
    <row r="592" spans="1:8" ht="15.75" customHeight="1">
      <c r="A592" s="51"/>
      <c r="B592" s="51"/>
      <c r="E592" s="82"/>
      <c r="G592" s="182"/>
      <c r="H592" s="182"/>
    </row>
    <row r="593" spans="1:8" ht="15.75" customHeight="1">
      <c r="A593" s="51"/>
      <c r="B593" s="51"/>
      <c r="E593" s="82"/>
      <c r="G593" s="182"/>
      <c r="H593" s="182"/>
    </row>
    <row r="594" spans="1:8" ht="15.75" customHeight="1">
      <c r="A594" s="51"/>
      <c r="B594" s="51"/>
      <c r="E594" s="82"/>
      <c r="G594" s="182"/>
      <c r="H594" s="182"/>
    </row>
    <row r="595" spans="1:8" ht="15.75" customHeight="1">
      <c r="A595" s="51"/>
      <c r="B595" s="51"/>
      <c r="E595" s="82"/>
      <c r="G595" s="182"/>
      <c r="H595" s="182"/>
    </row>
    <row r="596" spans="1:8" ht="15.75" customHeight="1">
      <c r="A596" s="51"/>
      <c r="B596" s="51"/>
      <c r="E596" s="82"/>
      <c r="G596" s="182"/>
      <c r="H596" s="182"/>
    </row>
    <row r="597" spans="1:8" ht="15.75" customHeight="1">
      <c r="A597" s="51"/>
      <c r="B597" s="51"/>
      <c r="E597" s="82"/>
      <c r="G597" s="182"/>
      <c r="H597" s="182"/>
    </row>
    <row r="598" spans="1:8" ht="15.75" customHeight="1">
      <c r="A598" s="51"/>
      <c r="B598" s="51"/>
      <c r="E598" s="82"/>
      <c r="G598" s="182"/>
      <c r="H598" s="182"/>
    </row>
    <row r="599" spans="1:8" ht="15.75" customHeight="1">
      <c r="A599" s="51"/>
      <c r="B599" s="51"/>
      <c r="E599" s="82"/>
      <c r="G599" s="182"/>
      <c r="H599" s="182"/>
    </row>
    <row r="600" spans="1:8" ht="15.75" customHeight="1">
      <c r="A600" s="51"/>
      <c r="B600" s="51"/>
      <c r="E600" s="82"/>
      <c r="G600" s="182"/>
      <c r="H600" s="182"/>
    </row>
    <row r="601" spans="1:8" ht="15.75" customHeight="1">
      <c r="A601" s="51"/>
      <c r="B601" s="51"/>
      <c r="E601" s="82"/>
      <c r="G601" s="182"/>
      <c r="H601" s="182"/>
    </row>
    <row r="602" spans="1:8" ht="15.75" customHeight="1">
      <c r="A602" s="51"/>
      <c r="B602" s="51"/>
      <c r="E602" s="82"/>
      <c r="G602" s="182"/>
      <c r="H602" s="182"/>
    </row>
    <row r="603" spans="1:8" ht="15.75" customHeight="1">
      <c r="A603" s="51"/>
      <c r="B603" s="51"/>
      <c r="E603" s="82"/>
      <c r="G603" s="182"/>
      <c r="H603" s="182"/>
    </row>
    <row r="604" spans="1:8" ht="15.75" customHeight="1">
      <c r="A604" s="51"/>
      <c r="B604" s="51"/>
      <c r="E604" s="82"/>
      <c r="G604" s="182"/>
      <c r="H604" s="182"/>
    </row>
    <row r="605" spans="1:8" ht="15.75" customHeight="1">
      <c r="A605" s="51"/>
      <c r="B605" s="51"/>
      <c r="E605" s="82"/>
      <c r="G605" s="182"/>
      <c r="H605" s="182"/>
    </row>
    <row r="606" spans="1:8" ht="15.75" customHeight="1">
      <c r="A606" s="51"/>
      <c r="B606" s="51"/>
      <c r="E606" s="82"/>
      <c r="G606" s="182"/>
      <c r="H606" s="182"/>
    </row>
    <row r="607" spans="1:8" ht="15.75" customHeight="1">
      <c r="A607" s="51"/>
      <c r="B607" s="51"/>
      <c r="E607" s="82"/>
      <c r="G607" s="182"/>
      <c r="H607" s="182"/>
    </row>
    <row r="608" spans="1:8" ht="15.75" customHeight="1">
      <c r="A608" s="51"/>
      <c r="B608" s="51"/>
      <c r="E608" s="82"/>
      <c r="G608" s="182"/>
      <c r="H608" s="182"/>
    </row>
    <row r="609" spans="1:8" ht="15.75" customHeight="1">
      <c r="A609" s="51"/>
      <c r="B609" s="51"/>
      <c r="E609" s="82"/>
      <c r="G609" s="182"/>
      <c r="H609" s="182"/>
    </row>
    <row r="610" spans="1:8" ht="15.75" customHeight="1">
      <c r="A610" s="51"/>
      <c r="B610" s="51"/>
      <c r="E610" s="82"/>
      <c r="G610" s="182"/>
      <c r="H610" s="182"/>
    </row>
    <row r="611" spans="1:8" ht="15.75" customHeight="1">
      <c r="A611" s="51"/>
      <c r="B611" s="51"/>
      <c r="E611" s="82"/>
      <c r="G611" s="182"/>
      <c r="H611" s="182"/>
    </row>
    <row r="612" spans="1:8" ht="15.75" customHeight="1">
      <c r="A612" s="51"/>
      <c r="B612" s="51"/>
      <c r="E612" s="82"/>
      <c r="G612" s="182"/>
      <c r="H612" s="182"/>
    </row>
    <row r="613" spans="1:8" ht="15.75" customHeight="1">
      <c r="A613" s="51"/>
      <c r="B613" s="51"/>
      <c r="E613" s="82"/>
      <c r="G613" s="182"/>
      <c r="H613" s="182"/>
    </row>
    <row r="614" spans="1:8" ht="15.75" customHeight="1">
      <c r="A614" s="51"/>
      <c r="B614" s="51"/>
      <c r="E614" s="82"/>
      <c r="G614" s="182"/>
      <c r="H614" s="182"/>
    </row>
    <row r="615" spans="1:8" ht="15.75" customHeight="1">
      <c r="A615" s="51"/>
      <c r="B615" s="51"/>
      <c r="E615" s="82"/>
      <c r="G615" s="182"/>
      <c r="H615" s="182"/>
    </row>
    <row r="616" spans="1:8" ht="15.75" customHeight="1">
      <c r="A616" s="51"/>
      <c r="B616" s="51"/>
      <c r="E616" s="82"/>
      <c r="G616" s="182"/>
      <c r="H616" s="182"/>
    </row>
    <row r="617" spans="1:8" ht="15.75" customHeight="1">
      <c r="A617" s="51"/>
      <c r="B617" s="51"/>
      <c r="E617" s="82"/>
      <c r="G617" s="182"/>
      <c r="H617" s="182"/>
    </row>
    <row r="618" spans="1:8" ht="15.75" customHeight="1">
      <c r="A618" s="51"/>
      <c r="B618" s="51"/>
      <c r="E618" s="82"/>
      <c r="G618" s="182"/>
      <c r="H618" s="182"/>
    </row>
    <row r="619" spans="1:8" ht="15.75" customHeight="1">
      <c r="A619" s="51"/>
      <c r="B619" s="51"/>
      <c r="E619" s="82"/>
      <c r="G619" s="182"/>
      <c r="H619" s="182"/>
    </row>
    <row r="620" spans="1:8" ht="15.75" customHeight="1">
      <c r="A620" s="51"/>
      <c r="B620" s="51"/>
      <c r="E620" s="82"/>
      <c r="G620" s="182"/>
      <c r="H620" s="182"/>
    </row>
    <row r="621" spans="1:8" ht="15.75" customHeight="1">
      <c r="A621" s="51"/>
      <c r="B621" s="51"/>
      <c r="E621" s="82"/>
      <c r="G621" s="182"/>
      <c r="H621" s="182"/>
    </row>
    <row r="622" spans="1:8" ht="15.75" customHeight="1">
      <c r="A622" s="51"/>
      <c r="B622" s="51"/>
      <c r="E622" s="82"/>
      <c r="G622" s="182"/>
      <c r="H622" s="182"/>
    </row>
    <row r="623" spans="1:8" ht="15.75" customHeight="1">
      <c r="A623" s="51"/>
      <c r="B623" s="51"/>
      <c r="E623" s="82"/>
      <c r="G623" s="182"/>
      <c r="H623" s="182"/>
    </row>
    <row r="624" spans="1:8" ht="15.75" customHeight="1">
      <c r="A624" s="51"/>
      <c r="B624" s="51"/>
      <c r="E624" s="82"/>
      <c r="G624" s="182"/>
      <c r="H624" s="182"/>
    </row>
    <row r="625" spans="1:8" ht="15.75" customHeight="1">
      <c r="A625" s="51"/>
      <c r="B625" s="51"/>
      <c r="E625" s="82"/>
      <c r="G625" s="182"/>
      <c r="H625" s="182"/>
    </row>
    <row r="626" spans="1:8" ht="15.75" customHeight="1">
      <c r="A626" s="51"/>
      <c r="B626" s="51"/>
      <c r="E626" s="82"/>
      <c r="G626" s="182"/>
      <c r="H626" s="182"/>
    </row>
    <row r="627" spans="1:8" ht="15.75" customHeight="1">
      <c r="A627" s="51"/>
      <c r="B627" s="51"/>
      <c r="E627" s="82"/>
      <c r="G627" s="182"/>
      <c r="H627" s="182"/>
    </row>
    <row r="628" spans="1:8" ht="15.75" customHeight="1">
      <c r="A628" s="51"/>
      <c r="B628" s="51"/>
      <c r="E628" s="82"/>
      <c r="G628" s="182"/>
      <c r="H628" s="182"/>
    </row>
    <row r="629" spans="1:8" ht="15.75" customHeight="1">
      <c r="A629" s="51"/>
      <c r="B629" s="51"/>
      <c r="E629" s="82"/>
      <c r="G629" s="182"/>
      <c r="H629" s="182"/>
    </row>
    <row r="630" spans="1:8" ht="15.75" customHeight="1">
      <c r="A630" s="51"/>
      <c r="B630" s="51"/>
      <c r="E630" s="82"/>
      <c r="G630" s="182"/>
      <c r="H630" s="182"/>
    </row>
    <row r="631" spans="1:8" ht="15.75" customHeight="1">
      <c r="A631" s="51"/>
      <c r="B631" s="51"/>
      <c r="E631" s="82"/>
      <c r="G631" s="182"/>
      <c r="H631" s="182"/>
    </row>
    <row r="632" spans="1:8" ht="15.75" customHeight="1">
      <c r="A632" s="51"/>
      <c r="B632" s="51"/>
      <c r="E632" s="82"/>
      <c r="G632" s="182"/>
      <c r="H632" s="182"/>
    </row>
    <row r="633" spans="1:8" ht="15.75" customHeight="1">
      <c r="A633" s="51"/>
      <c r="B633" s="51"/>
      <c r="E633" s="82"/>
      <c r="G633" s="182"/>
      <c r="H633" s="182"/>
    </row>
    <row r="634" spans="1:8" ht="15.75" customHeight="1">
      <c r="A634" s="51"/>
      <c r="B634" s="51"/>
      <c r="E634" s="82"/>
      <c r="G634" s="182"/>
      <c r="H634" s="182"/>
    </row>
    <row r="635" spans="1:8" ht="15.75" customHeight="1">
      <c r="A635" s="51"/>
      <c r="B635" s="51"/>
      <c r="E635" s="82"/>
      <c r="G635" s="182"/>
      <c r="H635" s="182"/>
    </row>
    <row r="636" spans="1:8" ht="15.75" customHeight="1">
      <c r="A636" s="51"/>
      <c r="B636" s="51"/>
      <c r="E636" s="82"/>
      <c r="G636" s="182"/>
      <c r="H636" s="182"/>
    </row>
    <row r="637" spans="1:8" ht="15.75" customHeight="1">
      <c r="A637" s="51"/>
      <c r="B637" s="51"/>
      <c r="E637" s="82"/>
      <c r="G637" s="182"/>
      <c r="H637" s="182"/>
    </row>
    <row r="638" spans="1:8" ht="15.75" customHeight="1">
      <c r="A638" s="51"/>
      <c r="B638" s="51"/>
      <c r="E638" s="82"/>
      <c r="G638" s="182"/>
      <c r="H638" s="182"/>
    </row>
    <row r="639" spans="1:8" ht="15.75" customHeight="1">
      <c r="A639" s="51"/>
      <c r="B639" s="51"/>
      <c r="E639" s="82"/>
      <c r="G639" s="182"/>
      <c r="H639" s="182"/>
    </row>
    <row r="640" spans="1:8" ht="15.75" customHeight="1">
      <c r="A640" s="51"/>
      <c r="B640" s="51"/>
      <c r="E640" s="82"/>
      <c r="G640" s="182"/>
      <c r="H640" s="182"/>
    </row>
    <row r="641" spans="1:8" ht="15.75" customHeight="1">
      <c r="A641" s="51"/>
      <c r="B641" s="51"/>
      <c r="E641" s="82"/>
      <c r="G641" s="182"/>
      <c r="H641" s="182"/>
    </row>
    <row r="642" spans="1:8" ht="15.75" customHeight="1">
      <c r="A642" s="51"/>
      <c r="B642" s="51"/>
      <c r="E642" s="82"/>
      <c r="G642" s="182"/>
      <c r="H642" s="182"/>
    </row>
    <row r="643" spans="1:8" ht="15.75" customHeight="1">
      <c r="A643" s="51"/>
      <c r="B643" s="51"/>
      <c r="E643" s="82"/>
      <c r="G643" s="182"/>
      <c r="H643" s="182"/>
    </row>
    <row r="644" spans="1:8" ht="15.75" customHeight="1">
      <c r="A644" s="51"/>
      <c r="B644" s="51"/>
      <c r="E644" s="82"/>
      <c r="G644" s="182"/>
      <c r="H644" s="182"/>
    </row>
    <row r="645" spans="1:8" ht="15.75" customHeight="1">
      <c r="A645" s="51"/>
      <c r="B645" s="51"/>
      <c r="E645" s="82"/>
      <c r="G645" s="182"/>
      <c r="H645" s="182"/>
    </row>
    <row r="646" spans="1:8" ht="15.75" customHeight="1">
      <c r="A646" s="51"/>
      <c r="B646" s="51"/>
      <c r="E646" s="82"/>
      <c r="G646" s="182"/>
      <c r="H646" s="182"/>
    </row>
    <row r="647" spans="1:8" ht="15.75" customHeight="1">
      <c r="A647" s="51"/>
      <c r="B647" s="51"/>
      <c r="E647" s="82"/>
      <c r="G647" s="182"/>
      <c r="H647" s="182"/>
    </row>
    <row r="648" spans="1:8" ht="15.75" customHeight="1">
      <c r="A648" s="51"/>
      <c r="B648" s="51"/>
      <c r="E648" s="82"/>
      <c r="G648" s="182"/>
      <c r="H648" s="182"/>
    </row>
    <row r="649" spans="1:8" ht="15.75" customHeight="1">
      <c r="A649" s="51"/>
      <c r="B649" s="51"/>
      <c r="E649" s="82"/>
      <c r="G649" s="182"/>
      <c r="H649" s="182"/>
    </row>
    <row r="650" spans="1:8" ht="15.75" customHeight="1">
      <c r="A650" s="51"/>
      <c r="B650" s="51"/>
      <c r="E650" s="82"/>
      <c r="G650" s="182"/>
      <c r="H650" s="182"/>
    </row>
    <row r="651" spans="1:8" ht="15.75" customHeight="1">
      <c r="A651" s="51"/>
      <c r="B651" s="51"/>
      <c r="E651" s="82"/>
      <c r="G651" s="182"/>
      <c r="H651" s="182"/>
    </row>
    <row r="652" spans="1:8" ht="15.75" customHeight="1">
      <c r="A652" s="51"/>
      <c r="B652" s="51"/>
      <c r="E652" s="82"/>
      <c r="G652" s="182"/>
      <c r="H652" s="182"/>
    </row>
    <row r="653" spans="1:8" ht="15.75" customHeight="1">
      <c r="A653" s="51"/>
      <c r="B653" s="51"/>
      <c r="E653" s="82"/>
      <c r="G653" s="182"/>
      <c r="H653" s="182"/>
    </row>
    <row r="654" spans="1:8" ht="15.75" customHeight="1">
      <c r="A654" s="51"/>
      <c r="B654" s="51"/>
      <c r="E654" s="82"/>
      <c r="G654" s="182"/>
      <c r="H654" s="182"/>
    </row>
    <row r="655" spans="1:8" ht="15.75" customHeight="1">
      <c r="A655" s="51"/>
      <c r="B655" s="51"/>
      <c r="E655" s="82"/>
      <c r="G655" s="182"/>
      <c r="H655" s="182"/>
    </row>
    <row r="656" spans="1:8" ht="15.75" customHeight="1">
      <c r="A656" s="51"/>
      <c r="B656" s="51"/>
      <c r="E656" s="82"/>
      <c r="G656" s="182"/>
      <c r="H656" s="182"/>
    </row>
    <row r="657" spans="1:8" ht="15.75" customHeight="1">
      <c r="A657" s="51"/>
      <c r="B657" s="51"/>
      <c r="E657" s="82"/>
      <c r="G657" s="182"/>
      <c r="H657" s="182"/>
    </row>
    <row r="658" spans="1:8" ht="15.75" customHeight="1">
      <c r="A658" s="51"/>
      <c r="B658" s="51"/>
      <c r="E658" s="82"/>
      <c r="G658" s="182"/>
      <c r="H658" s="182"/>
    </row>
    <row r="659" spans="1:8" ht="15.75" customHeight="1">
      <c r="A659" s="51"/>
      <c r="B659" s="51"/>
      <c r="E659" s="82"/>
      <c r="G659" s="182"/>
      <c r="H659" s="182"/>
    </row>
    <row r="660" spans="1:8" ht="15.75" customHeight="1">
      <c r="A660" s="51"/>
      <c r="B660" s="51"/>
      <c r="E660" s="82"/>
      <c r="G660" s="182"/>
      <c r="H660" s="182"/>
    </row>
    <row r="661" spans="1:8" ht="15.75" customHeight="1">
      <c r="A661" s="51"/>
      <c r="B661" s="51"/>
      <c r="E661" s="82"/>
      <c r="G661" s="182"/>
      <c r="H661" s="182"/>
    </row>
    <row r="662" spans="1:8" ht="15.75" customHeight="1">
      <c r="A662" s="51"/>
      <c r="B662" s="51"/>
      <c r="E662" s="82"/>
      <c r="G662" s="182"/>
      <c r="H662" s="182"/>
    </row>
    <row r="663" spans="1:8" ht="15.75" customHeight="1">
      <c r="A663" s="51"/>
      <c r="B663" s="51"/>
      <c r="E663" s="82"/>
      <c r="G663" s="182"/>
      <c r="H663" s="182"/>
    </row>
    <row r="664" spans="1:8" ht="15.75" customHeight="1">
      <c r="A664" s="51"/>
      <c r="B664" s="51"/>
      <c r="E664" s="82"/>
      <c r="G664" s="182"/>
      <c r="H664" s="182"/>
    </row>
    <row r="665" spans="1:8" ht="15.75" customHeight="1">
      <c r="A665" s="51"/>
      <c r="B665" s="51"/>
      <c r="E665" s="82"/>
      <c r="G665" s="182"/>
      <c r="H665" s="182"/>
    </row>
    <row r="666" spans="1:8" ht="15.75" customHeight="1">
      <c r="A666" s="51"/>
      <c r="B666" s="51"/>
      <c r="E666" s="82"/>
      <c r="G666" s="182"/>
      <c r="H666" s="182"/>
    </row>
    <row r="667" spans="1:8" ht="15.75" customHeight="1">
      <c r="A667" s="51"/>
      <c r="B667" s="51"/>
      <c r="E667" s="82"/>
      <c r="G667" s="182"/>
      <c r="H667" s="182"/>
    </row>
    <row r="668" spans="1:8" ht="15.75" customHeight="1">
      <c r="A668" s="51"/>
      <c r="B668" s="51"/>
      <c r="E668" s="82"/>
      <c r="G668" s="182"/>
      <c r="H668" s="182"/>
    </row>
    <row r="669" spans="1:8" ht="15.75" customHeight="1">
      <c r="A669" s="51"/>
      <c r="B669" s="51"/>
      <c r="E669" s="82"/>
      <c r="G669" s="182"/>
      <c r="H669" s="182"/>
    </row>
    <row r="670" spans="1:8" ht="15.75" customHeight="1">
      <c r="A670" s="51"/>
      <c r="B670" s="51"/>
      <c r="E670" s="82"/>
      <c r="G670" s="182"/>
      <c r="H670" s="182"/>
    </row>
    <row r="671" spans="1:8" ht="15.75" customHeight="1">
      <c r="A671" s="51"/>
      <c r="B671" s="51"/>
      <c r="E671" s="82"/>
      <c r="G671" s="182"/>
      <c r="H671" s="182"/>
    </row>
    <row r="672" spans="1:8" ht="15.75" customHeight="1">
      <c r="A672" s="51"/>
      <c r="B672" s="51"/>
      <c r="E672" s="82"/>
      <c r="G672" s="182"/>
      <c r="H672" s="182"/>
    </row>
    <row r="673" spans="1:8" ht="15.75" customHeight="1">
      <c r="A673" s="51"/>
      <c r="B673" s="51"/>
      <c r="E673" s="82"/>
      <c r="G673" s="182"/>
      <c r="H673" s="182"/>
    </row>
    <row r="674" spans="1:8" ht="15.75" customHeight="1">
      <c r="A674" s="51"/>
      <c r="B674" s="51"/>
      <c r="E674" s="82"/>
      <c r="G674" s="182"/>
      <c r="H674" s="182"/>
    </row>
    <row r="675" spans="1:8" ht="15.75" customHeight="1">
      <c r="A675" s="51"/>
      <c r="B675" s="51"/>
      <c r="E675" s="82"/>
      <c r="G675" s="182"/>
      <c r="H675" s="182"/>
    </row>
    <row r="676" spans="1:8" ht="15.75" customHeight="1">
      <c r="A676" s="51"/>
      <c r="B676" s="51"/>
      <c r="E676" s="82"/>
      <c r="G676" s="182"/>
      <c r="H676" s="182"/>
    </row>
    <row r="677" spans="1:8" ht="15.75" customHeight="1">
      <c r="A677" s="51"/>
      <c r="B677" s="51"/>
      <c r="E677" s="82"/>
      <c r="G677" s="182"/>
      <c r="H677" s="182"/>
    </row>
    <row r="678" spans="1:8" ht="15.75" customHeight="1">
      <c r="A678" s="51"/>
      <c r="B678" s="51"/>
      <c r="E678" s="82"/>
      <c r="G678" s="182"/>
      <c r="H678" s="182"/>
    </row>
    <row r="679" spans="1:8" ht="15.75" customHeight="1">
      <c r="A679" s="51"/>
      <c r="B679" s="51"/>
      <c r="E679" s="82"/>
      <c r="G679" s="182"/>
      <c r="H679" s="182"/>
    </row>
    <row r="680" spans="1:8" ht="15.75" customHeight="1">
      <c r="A680" s="51"/>
      <c r="B680" s="51"/>
      <c r="E680" s="82"/>
      <c r="G680" s="182"/>
      <c r="H680" s="182"/>
    </row>
    <row r="681" spans="1:8" ht="15.75" customHeight="1">
      <c r="A681" s="51"/>
      <c r="B681" s="51"/>
      <c r="E681" s="82"/>
      <c r="G681" s="182"/>
      <c r="H681" s="182"/>
    </row>
    <row r="682" spans="1:8" ht="15.75" customHeight="1">
      <c r="A682" s="51"/>
      <c r="B682" s="51"/>
      <c r="E682" s="82"/>
      <c r="G682" s="182"/>
      <c r="H682" s="182"/>
    </row>
    <row r="683" spans="1:8" ht="15.75" customHeight="1">
      <c r="A683" s="51"/>
      <c r="B683" s="51"/>
      <c r="E683" s="82"/>
      <c r="G683" s="182"/>
      <c r="H683" s="182"/>
    </row>
    <row r="684" spans="1:8" ht="15.75" customHeight="1">
      <c r="A684" s="51"/>
      <c r="B684" s="51"/>
      <c r="E684" s="82"/>
      <c r="G684" s="182"/>
      <c r="H684" s="182"/>
    </row>
    <row r="685" spans="1:8" ht="15.75" customHeight="1">
      <c r="A685" s="51"/>
      <c r="B685" s="51"/>
      <c r="E685" s="82"/>
      <c r="G685" s="182"/>
      <c r="H685" s="182"/>
    </row>
    <row r="686" spans="1:8" ht="15.75" customHeight="1">
      <c r="A686" s="51"/>
      <c r="B686" s="51"/>
      <c r="E686" s="82"/>
      <c r="G686" s="182"/>
      <c r="H686" s="182"/>
    </row>
    <row r="687" spans="1:8" ht="15.75" customHeight="1">
      <c r="A687" s="51"/>
      <c r="B687" s="51"/>
      <c r="E687" s="82"/>
      <c r="G687" s="182"/>
      <c r="H687" s="182"/>
    </row>
    <row r="688" spans="1:8" ht="15.75" customHeight="1">
      <c r="A688" s="51"/>
      <c r="B688" s="51"/>
      <c r="E688" s="82"/>
      <c r="G688" s="182"/>
      <c r="H688" s="182"/>
    </row>
    <row r="689" spans="1:8" ht="15.75" customHeight="1">
      <c r="A689" s="51"/>
      <c r="B689" s="51"/>
      <c r="E689" s="82"/>
      <c r="G689" s="182"/>
      <c r="H689" s="182"/>
    </row>
    <row r="690" spans="1:8" ht="15.75" customHeight="1">
      <c r="A690" s="51"/>
      <c r="B690" s="51"/>
      <c r="E690" s="82"/>
      <c r="G690" s="182"/>
      <c r="H690" s="182"/>
    </row>
    <row r="691" spans="1:8" ht="15.75" customHeight="1">
      <c r="A691" s="51"/>
      <c r="B691" s="51"/>
      <c r="E691" s="82"/>
      <c r="G691" s="182"/>
      <c r="H691" s="182"/>
    </row>
    <row r="692" spans="1:8" ht="15.75" customHeight="1">
      <c r="A692" s="51"/>
      <c r="B692" s="51"/>
      <c r="E692" s="82"/>
      <c r="G692" s="182"/>
      <c r="H692" s="182"/>
    </row>
    <row r="693" spans="1:8" ht="15.75" customHeight="1">
      <c r="A693" s="51"/>
      <c r="B693" s="51"/>
      <c r="E693" s="82"/>
      <c r="G693" s="182"/>
      <c r="H693" s="182"/>
    </row>
    <row r="694" spans="1:8" ht="15.75" customHeight="1">
      <c r="A694" s="51"/>
      <c r="B694" s="51"/>
      <c r="E694" s="82"/>
      <c r="G694" s="182"/>
      <c r="H694" s="182"/>
    </row>
    <row r="695" spans="1:8" ht="15.75" customHeight="1">
      <c r="A695" s="51"/>
      <c r="B695" s="51"/>
      <c r="E695" s="82"/>
      <c r="G695" s="182"/>
      <c r="H695" s="182"/>
    </row>
    <row r="696" spans="1:8" ht="15.75" customHeight="1">
      <c r="A696" s="51"/>
      <c r="B696" s="51"/>
      <c r="E696" s="82"/>
      <c r="G696" s="182"/>
      <c r="H696" s="182"/>
    </row>
    <row r="697" spans="1:8" ht="15.75" customHeight="1">
      <c r="A697" s="51"/>
      <c r="B697" s="51"/>
      <c r="E697" s="82"/>
      <c r="G697" s="182"/>
      <c r="H697" s="182"/>
    </row>
    <row r="698" spans="1:8" ht="15.75" customHeight="1">
      <c r="A698" s="51"/>
      <c r="B698" s="51"/>
      <c r="E698" s="82"/>
      <c r="G698" s="182"/>
      <c r="H698" s="182"/>
    </row>
    <row r="699" spans="1:8" ht="15.75" customHeight="1">
      <c r="A699" s="51"/>
      <c r="B699" s="51"/>
      <c r="E699" s="82"/>
      <c r="G699" s="182"/>
      <c r="H699" s="182"/>
    </row>
    <row r="700" spans="1:8" ht="15.75" customHeight="1">
      <c r="A700" s="51"/>
      <c r="B700" s="51"/>
      <c r="E700" s="82"/>
      <c r="G700" s="182"/>
      <c r="H700" s="182"/>
    </row>
    <row r="701" spans="1:8" ht="15.75" customHeight="1">
      <c r="A701" s="51"/>
      <c r="B701" s="51"/>
      <c r="E701" s="82"/>
      <c r="G701" s="182"/>
      <c r="H701" s="182"/>
    </row>
    <row r="702" spans="1:8" ht="15.75" customHeight="1">
      <c r="A702" s="51"/>
      <c r="B702" s="51"/>
      <c r="E702" s="82"/>
      <c r="G702" s="182"/>
      <c r="H702" s="182"/>
    </row>
    <row r="703" spans="1:8" ht="15.75" customHeight="1">
      <c r="A703" s="51"/>
      <c r="B703" s="51"/>
      <c r="E703" s="82"/>
      <c r="G703" s="182"/>
      <c r="H703" s="182"/>
    </row>
    <row r="704" spans="1:8" ht="15.75" customHeight="1">
      <c r="A704" s="51"/>
      <c r="B704" s="51"/>
      <c r="E704" s="82"/>
      <c r="G704" s="182"/>
      <c r="H704" s="182"/>
    </row>
    <row r="705" spans="1:8" ht="15.75" customHeight="1">
      <c r="A705" s="51"/>
      <c r="B705" s="51"/>
      <c r="E705" s="82"/>
      <c r="G705" s="182"/>
      <c r="H705" s="182"/>
    </row>
    <row r="706" spans="1:8" ht="15.75" customHeight="1">
      <c r="A706" s="51"/>
      <c r="B706" s="51"/>
      <c r="E706" s="82"/>
      <c r="G706" s="182"/>
      <c r="H706" s="182"/>
    </row>
    <row r="707" spans="1:8" ht="15.75" customHeight="1">
      <c r="A707" s="51"/>
      <c r="B707" s="51"/>
      <c r="E707" s="82"/>
      <c r="G707" s="182"/>
      <c r="H707" s="182"/>
    </row>
    <row r="708" spans="1:8" ht="15.75" customHeight="1">
      <c r="A708" s="51"/>
      <c r="B708" s="51"/>
      <c r="E708" s="82"/>
      <c r="G708" s="182"/>
      <c r="H708" s="182"/>
    </row>
    <row r="709" spans="1:8" ht="15.75" customHeight="1">
      <c r="A709" s="51"/>
      <c r="B709" s="51"/>
      <c r="E709" s="82"/>
      <c r="G709" s="182"/>
      <c r="H709" s="182"/>
    </row>
    <row r="710" spans="1:8" ht="15.75" customHeight="1">
      <c r="A710" s="51"/>
      <c r="B710" s="51"/>
      <c r="E710" s="82"/>
      <c r="G710" s="182"/>
      <c r="H710" s="182"/>
    </row>
    <row r="711" spans="1:8" ht="15.75" customHeight="1">
      <c r="A711" s="51"/>
      <c r="B711" s="51"/>
      <c r="E711" s="82"/>
      <c r="G711" s="182"/>
      <c r="H711" s="182"/>
    </row>
    <row r="712" spans="1:8" ht="15.75" customHeight="1">
      <c r="A712" s="51"/>
      <c r="B712" s="51"/>
      <c r="E712" s="82"/>
      <c r="G712" s="182"/>
      <c r="H712" s="182"/>
    </row>
    <row r="713" spans="1:8" ht="15.75" customHeight="1">
      <c r="A713" s="51"/>
      <c r="B713" s="51"/>
      <c r="E713" s="82"/>
      <c r="G713" s="182"/>
      <c r="H713" s="182"/>
    </row>
    <row r="714" spans="1:8" ht="15.75" customHeight="1">
      <c r="A714" s="51"/>
      <c r="B714" s="51"/>
      <c r="E714" s="82"/>
      <c r="G714" s="182"/>
      <c r="H714" s="182"/>
    </row>
    <row r="715" spans="1:8" ht="15.75" customHeight="1">
      <c r="A715" s="51"/>
      <c r="B715" s="51"/>
      <c r="E715" s="82"/>
      <c r="G715" s="182"/>
      <c r="H715" s="182"/>
    </row>
    <row r="716" spans="1:8" ht="15.75" customHeight="1">
      <c r="A716" s="51"/>
      <c r="B716" s="51"/>
      <c r="E716" s="82"/>
      <c r="G716" s="182"/>
      <c r="H716" s="182"/>
    </row>
    <row r="717" spans="1:8" ht="15.75" customHeight="1">
      <c r="A717" s="51"/>
      <c r="B717" s="51"/>
      <c r="E717" s="82"/>
      <c r="G717" s="182"/>
      <c r="H717" s="182"/>
    </row>
    <row r="718" spans="1:8" ht="15.75" customHeight="1">
      <c r="A718" s="51"/>
      <c r="B718" s="51"/>
      <c r="E718" s="82"/>
      <c r="G718" s="182"/>
      <c r="H718" s="182"/>
    </row>
    <row r="719" spans="1:8" ht="15.75" customHeight="1">
      <c r="A719" s="51"/>
      <c r="B719" s="51"/>
      <c r="E719" s="82"/>
      <c r="G719" s="182"/>
      <c r="H719" s="182"/>
    </row>
    <row r="720" spans="1:8" ht="15.75" customHeight="1">
      <c r="A720" s="51"/>
      <c r="B720" s="51"/>
      <c r="E720" s="82"/>
      <c r="G720" s="182"/>
      <c r="H720" s="182"/>
    </row>
    <row r="721" spans="1:8" ht="15.75" customHeight="1">
      <c r="A721" s="51"/>
      <c r="B721" s="51"/>
      <c r="E721" s="82"/>
      <c r="G721" s="182"/>
      <c r="H721" s="182"/>
    </row>
    <row r="722" spans="1:8" ht="15.75" customHeight="1">
      <c r="A722" s="51"/>
      <c r="B722" s="51"/>
      <c r="E722" s="82"/>
      <c r="G722" s="182"/>
      <c r="H722" s="182"/>
    </row>
    <row r="723" spans="1:8" ht="15.75" customHeight="1">
      <c r="A723" s="51"/>
      <c r="B723" s="51"/>
      <c r="E723" s="82"/>
      <c r="G723" s="182"/>
      <c r="H723" s="182"/>
    </row>
    <row r="724" spans="1:8" ht="15.75" customHeight="1">
      <c r="A724" s="51"/>
      <c r="B724" s="51"/>
      <c r="E724" s="82"/>
      <c r="G724" s="182"/>
      <c r="H724" s="182"/>
    </row>
    <row r="725" spans="1:8" ht="15.75" customHeight="1">
      <c r="A725" s="51"/>
      <c r="B725" s="51"/>
      <c r="E725" s="82"/>
      <c r="G725" s="182"/>
      <c r="H725" s="182"/>
    </row>
    <row r="726" spans="1:8" ht="15.75" customHeight="1">
      <c r="A726" s="51"/>
      <c r="B726" s="51"/>
      <c r="E726" s="82"/>
      <c r="G726" s="182"/>
      <c r="H726" s="182"/>
    </row>
    <row r="727" spans="1:8" ht="15.75" customHeight="1">
      <c r="A727" s="51"/>
      <c r="B727" s="51"/>
      <c r="E727" s="82"/>
      <c r="G727" s="182"/>
      <c r="H727" s="182"/>
    </row>
    <row r="728" spans="1:8" ht="15.75" customHeight="1">
      <c r="A728" s="51"/>
      <c r="B728" s="51"/>
      <c r="E728" s="82"/>
      <c r="G728" s="182"/>
      <c r="H728" s="182"/>
    </row>
    <row r="729" spans="1:8" ht="15.75" customHeight="1">
      <c r="A729" s="51"/>
      <c r="B729" s="51"/>
      <c r="E729" s="82"/>
      <c r="G729" s="182"/>
      <c r="H729" s="182"/>
    </row>
    <row r="730" spans="1:8" ht="15.75" customHeight="1">
      <c r="A730" s="51"/>
      <c r="B730" s="51"/>
      <c r="E730" s="82"/>
      <c r="G730" s="182"/>
      <c r="H730" s="182"/>
    </row>
    <row r="731" spans="1:8" ht="15.75" customHeight="1">
      <c r="A731" s="51"/>
      <c r="B731" s="51"/>
      <c r="E731" s="82"/>
      <c r="G731" s="182"/>
      <c r="H731" s="182"/>
    </row>
    <row r="732" spans="1:8" ht="15.75" customHeight="1">
      <c r="A732" s="51"/>
      <c r="B732" s="51"/>
      <c r="E732" s="82"/>
      <c r="G732" s="182"/>
      <c r="H732" s="182"/>
    </row>
    <row r="733" spans="1:8" ht="15.75" customHeight="1">
      <c r="A733" s="51"/>
      <c r="B733" s="51"/>
      <c r="E733" s="82"/>
      <c r="G733" s="182"/>
      <c r="H733" s="182"/>
    </row>
    <row r="734" spans="1:8" ht="15.75" customHeight="1">
      <c r="A734" s="51"/>
      <c r="B734" s="51"/>
      <c r="E734" s="82"/>
      <c r="G734" s="182"/>
      <c r="H734" s="182"/>
    </row>
    <row r="735" spans="1:8" ht="15.75" customHeight="1">
      <c r="A735" s="51"/>
      <c r="B735" s="51"/>
      <c r="E735" s="82"/>
      <c r="G735" s="182"/>
      <c r="H735" s="182"/>
    </row>
    <row r="736" spans="1:8" ht="15.75" customHeight="1">
      <c r="A736" s="51"/>
      <c r="B736" s="51"/>
      <c r="E736" s="82"/>
      <c r="G736" s="182"/>
      <c r="H736" s="182"/>
    </row>
    <row r="737" spans="1:8" ht="15.75" customHeight="1">
      <c r="A737" s="51"/>
      <c r="B737" s="51"/>
      <c r="E737" s="82"/>
      <c r="G737" s="182"/>
      <c r="H737" s="182"/>
    </row>
    <row r="738" spans="1:8" ht="15.75" customHeight="1">
      <c r="A738" s="51"/>
      <c r="B738" s="51"/>
      <c r="E738" s="82"/>
      <c r="G738" s="182"/>
      <c r="H738" s="182"/>
    </row>
    <row r="739" spans="1:8" ht="15.75" customHeight="1">
      <c r="A739" s="51"/>
      <c r="B739" s="51"/>
      <c r="E739" s="82"/>
      <c r="G739" s="182"/>
      <c r="H739" s="182"/>
    </row>
    <row r="740" spans="1:8" ht="15.75" customHeight="1">
      <c r="A740" s="51"/>
      <c r="B740" s="51"/>
      <c r="E740" s="82"/>
      <c r="G740" s="182"/>
      <c r="H740" s="182"/>
    </row>
    <row r="741" spans="1:8" ht="15.75" customHeight="1">
      <c r="A741" s="51"/>
      <c r="B741" s="51"/>
      <c r="E741" s="82"/>
      <c r="G741" s="182"/>
      <c r="H741" s="182"/>
    </row>
    <row r="742" spans="1:8" ht="15.75" customHeight="1">
      <c r="A742" s="51"/>
      <c r="B742" s="51"/>
      <c r="E742" s="82"/>
      <c r="G742" s="182"/>
      <c r="H742" s="182"/>
    </row>
    <row r="743" spans="1:8" ht="15.75" customHeight="1">
      <c r="A743" s="51"/>
      <c r="B743" s="51"/>
      <c r="E743" s="82"/>
      <c r="G743" s="182"/>
      <c r="H743" s="182"/>
    </row>
    <row r="744" spans="1:8" ht="15.75" customHeight="1">
      <c r="A744" s="51"/>
      <c r="B744" s="51"/>
      <c r="E744" s="82"/>
      <c r="G744" s="182"/>
      <c r="H744" s="182"/>
    </row>
    <row r="745" spans="1:8" ht="15.75" customHeight="1">
      <c r="A745" s="51"/>
      <c r="B745" s="51"/>
      <c r="E745" s="82"/>
      <c r="G745" s="182"/>
      <c r="H745" s="182"/>
    </row>
    <row r="746" spans="1:8" ht="15.75" customHeight="1">
      <c r="A746" s="51"/>
      <c r="B746" s="51"/>
      <c r="E746" s="82"/>
      <c r="G746" s="182"/>
      <c r="H746" s="182"/>
    </row>
    <row r="747" spans="1:8" ht="15.75" customHeight="1">
      <c r="A747" s="51"/>
      <c r="B747" s="51"/>
      <c r="E747" s="82"/>
      <c r="G747" s="182"/>
      <c r="H747" s="182"/>
    </row>
    <row r="748" spans="1:8" ht="15.75" customHeight="1">
      <c r="A748" s="51"/>
      <c r="B748" s="51"/>
      <c r="E748" s="82"/>
      <c r="G748" s="182"/>
      <c r="H748" s="182"/>
    </row>
    <row r="749" spans="1:8" ht="15.75" customHeight="1">
      <c r="A749" s="51"/>
      <c r="B749" s="51"/>
      <c r="E749" s="82"/>
      <c r="G749" s="182"/>
      <c r="H749" s="182"/>
    </row>
    <row r="750" spans="1:8" ht="15.75" customHeight="1">
      <c r="A750" s="51"/>
      <c r="B750" s="51"/>
      <c r="E750" s="82"/>
      <c r="G750" s="182"/>
      <c r="H750" s="182"/>
    </row>
    <row r="751" spans="1:8" ht="15.75" customHeight="1">
      <c r="A751" s="51"/>
      <c r="B751" s="51"/>
      <c r="E751" s="82"/>
      <c r="G751" s="182"/>
      <c r="H751" s="182"/>
    </row>
    <row r="752" spans="1:8" ht="15.75" customHeight="1">
      <c r="A752" s="51"/>
      <c r="B752" s="51"/>
      <c r="E752" s="82"/>
      <c r="G752" s="182"/>
      <c r="H752" s="182"/>
    </row>
    <row r="753" spans="1:8" ht="15.75" customHeight="1">
      <c r="A753" s="51"/>
      <c r="B753" s="51"/>
      <c r="E753" s="82"/>
      <c r="G753" s="182"/>
      <c r="H753" s="182"/>
    </row>
    <row r="754" spans="1:8" ht="15.75" customHeight="1">
      <c r="A754" s="51"/>
      <c r="B754" s="51"/>
      <c r="E754" s="82"/>
      <c r="G754" s="182"/>
      <c r="H754" s="182"/>
    </row>
    <row r="755" spans="1:8" ht="15.75" customHeight="1">
      <c r="A755" s="51"/>
      <c r="B755" s="51"/>
      <c r="E755" s="82"/>
      <c r="G755" s="182"/>
      <c r="H755" s="182"/>
    </row>
    <row r="756" spans="1:8" ht="15.75" customHeight="1">
      <c r="A756" s="51"/>
      <c r="B756" s="51"/>
      <c r="E756" s="82"/>
      <c r="G756" s="182"/>
      <c r="H756" s="182"/>
    </row>
    <row r="757" spans="1:8" ht="15.75" customHeight="1">
      <c r="A757" s="51"/>
      <c r="B757" s="51"/>
      <c r="E757" s="82"/>
      <c r="G757" s="182"/>
      <c r="H757" s="182"/>
    </row>
    <row r="758" spans="1:8" ht="15.75" customHeight="1">
      <c r="A758" s="51"/>
      <c r="B758" s="51"/>
      <c r="E758" s="82"/>
      <c r="G758" s="182"/>
      <c r="H758" s="182"/>
    </row>
    <row r="759" spans="1:8" ht="15.75" customHeight="1">
      <c r="A759" s="51"/>
      <c r="B759" s="51"/>
      <c r="E759" s="82"/>
      <c r="G759" s="182"/>
      <c r="H759" s="182"/>
    </row>
    <row r="760" spans="1:8" ht="15.75" customHeight="1">
      <c r="A760" s="51"/>
      <c r="B760" s="51"/>
      <c r="E760" s="82"/>
      <c r="G760" s="182"/>
      <c r="H760" s="182"/>
    </row>
    <row r="761" spans="1:8" ht="15.75" customHeight="1">
      <c r="A761" s="51"/>
      <c r="B761" s="51"/>
      <c r="E761" s="82"/>
      <c r="G761" s="182"/>
      <c r="H761" s="182"/>
    </row>
    <row r="762" spans="1:8" ht="15.75" customHeight="1">
      <c r="A762" s="51"/>
      <c r="B762" s="51"/>
      <c r="E762" s="82"/>
      <c r="G762" s="182"/>
      <c r="H762" s="182"/>
    </row>
    <row r="763" spans="1:8" ht="15.75" customHeight="1">
      <c r="A763" s="51"/>
      <c r="B763" s="51"/>
      <c r="E763" s="82"/>
      <c r="G763" s="182"/>
      <c r="H763" s="182"/>
    </row>
    <row r="764" spans="1:8" ht="15.75" customHeight="1">
      <c r="A764" s="51"/>
      <c r="B764" s="51"/>
      <c r="E764" s="82"/>
      <c r="G764" s="182"/>
      <c r="H764" s="182"/>
    </row>
    <row r="765" spans="1:8" ht="15.75" customHeight="1">
      <c r="A765" s="51"/>
      <c r="B765" s="51"/>
      <c r="E765" s="82"/>
      <c r="G765" s="182"/>
      <c r="H765" s="182"/>
    </row>
    <row r="766" spans="1:8" ht="15.75" customHeight="1">
      <c r="A766" s="51"/>
      <c r="B766" s="51"/>
      <c r="E766" s="82"/>
      <c r="G766" s="182"/>
      <c r="H766" s="182"/>
    </row>
    <row r="767" spans="1:8" ht="15.75" customHeight="1">
      <c r="A767" s="51"/>
      <c r="B767" s="51"/>
      <c r="E767" s="82"/>
      <c r="G767" s="182"/>
      <c r="H767" s="182"/>
    </row>
    <row r="768" spans="1:8" ht="15.75" customHeight="1">
      <c r="A768" s="51"/>
      <c r="B768" s="51"/>
      <c r="E768" s="82"/>
      <c r="G768" s="182"/>
      <c r="H768" s="182"/>
    </row>
    <row r="769" spans="1:8" ht="15.75" customHeight="1">
      <c r="A769" s="51"/>
      <c r="B769" s="51"/>
      <c r="E769" s="82"/>
      <c r="G769" s="182"/>
      <c r="H769" s="182"/>
    </row>
    <row r="770" spans="1:8" ht="15.75" customHeight="1">
      <c r="A770" s="51"/>
      <c r="B770" s="51"/>
      <c r="E770" s="82"/>
      <c r="G770" s="182"/>
      <c r="H770" s="182"/>
    </row>
    <row r="771" spans="1:8" ht="15.75" customHeight="1">
      <c r="A771" s="51"/>
      <c r="B771" s="51"/>
      <c r="E771" s="82"/>
      <c r="G771" s="182"/>
      <c r="H771" s="182"/>
    </row>
    <row r="772" spans="1:8" ht="15.75" customHeight="1">
      <c r="A772" s="51"/>
      <c r="B772" s="51"/>
      <c r="E772" s="82"/>
      <c r="G772" s="182"/>
      <c r="H772" s="182"/>
    </row>
    <row r="773" spans="1:8" ht="15.75" customHeight="1">
      <c r="A773" s="51"/>
      <c r="B773" s="51"/>
      <c r="E773" s="82"/>
      <c r="G773" s="182"/>
      <c r="H773" s="182"/>
    </row>
    <row r="774" spans="1:8" ht="15.75" customHeight="1">
      <c r="A774" s="51"/>
      <c r="B774" s="51"/>
      <c r="E774" s="82"/>
      <c r="G774" s="182"/>
      <c r="H774" s="182"/>
    </row>
    <row r="775" spans="1:8" ht="15.75" customHeight="1">
      <c r="A775" s="51"/>
      <c r="B775" s="51"/>
      <c r="E775" s="82"/>
      <c r="G775" s="182"/>
      <c r="H775" s="182"/>
    </row>
    <row r="776" spans="1:8" ht="15.75" customHeight="1">
      <c r="A776" s="51"/>
      <c r="B776" s="51"/>
      <c r="E776" s="82"/>
      <c r="G776" s="182"/>
      <c r="H776" s="182"/>
    </row>
    <row r="777" spans="1:8" ht="15.75" customHeight="1">
      <c r="A777" s="51"/>
      <c r="B777" s="51"/>
      <c r="E777" s="82"/>
      <c r="G777" s="182"/>
      <c r="H777" s="182"/>
    </row>
    <row r="778" spans="1:8" ht="15.75" customHeight="1">
      <c r="A778" s="51"/>
      <c r="B778" s="51"/>
      <c r="E778" s="82"/>
      <c r="G778" s="182"/>
      <c r="H778" s="182"/>
    </row>
    <row r="779" spans="1:8" ht="15.75" customHeight="1">
      <c r="A779" s="51"/>
      <c r="B779" s="51"/>
      <c r="E779" s="82"/>
      <c r="G779" s="182"/>
      <c r="H779" s="182"/>
    </row>
    <row r="780" spans="1:8" ht="15.75" customHeight="1">
      <c r="A780" s="51"/>
      <c r="B780" s="51"/>
      <c r="E780" s="82"/>
      <c r="G780" s="182"/>
      <c r="H780" s="182"/>
    </row>
    <row r="781" spans="1:8" ht="15.75" customHeight="1">
      <c r="A781" s="51"/>
      <c r="B781" s="51"/>
      <c r="E781" s="82"/>
      <c r="G781" s="182"/>
      <c r="H781" s="182"/>
    </row>
    <row r="782" spans="1:8" ht="15.75" customHeight="1">
      <c r="A782" s="51"/>
      <c r="B782" s="51"/>
      <c r="E782" s="82"/>
      <c r="G782" s="182"/>
      <c r="H782" s="182"/>
    </row>
    <row r="783" spans="1:8" ht="15.75" customHeight="1">
      <c r="A783" s="51"/>
      <c r="B783" s="51"/>
      <c r="E783" s="82"/>
      <c r="G783" s="182"/>
      <c r="H783" s="182"/>
    </row>
    <row r="784" spans="1:8" ht="15.75" customHeight="1">
      <c r="A784" s="51"/>
      <c r="B784" s="51"/>
      <c r="E784" s="82"/>
      <c r="G784" s="182"/>
      <c r="H784" s="182"/>
    </row>
    <row r="785" spans="1:8" ht="15.75" customHeight="1">
      <c r="A785" s="51"/>
      <c r="B785" s="51"/>
      <c r="E785" s="82"/>
      <c r="G785" s="182"/>
      <c r="H785" s="182"/>
    </row>
    <row r="786" spans="1:8" ht="15.75" customHeight="1">
      <c r="A786" s="51"/>
      <c r="B786" s="51"/>
      <c r="E786" s="82"/>
      <c r="G786" s="182"/>
      <c r="H786" s="182"/>
    </row>
    <row r="787" spans="1:8" ht="15.75" customHeight="1">
      <c r="A787" s="51"/>
      <c r="B787" s="51"/>
      <c r="E787" s="82"/>
      <c r="G787" s="182"/>
      <c r="H787" s="182"/>
    </row>
    <row r="788" spans="1:8" ht="15.75" customHeight="1">
      <c r="A788" s="51"/>
      <c r="B788" s="51"/>
      <c r="E788" s="82"/>
      <c r="G788" s="182"/>
      <c r="H788" s="182"/>
    </row>
    <row r="789" spans="1:8" ht="15.75" customHeight="1">
      <c r="A789" s="51"/>
      <c r="B789" s="51"/>
      <c r="E789" s="82"/>
      <c r="G789" s="182"/>
      <c r="H789" s="182"/>
    </row>
    <row r="790" spans="1:8" ht="15.75" customHeight="1">
      <c r="A790" s="51"/>
      <c r="B790" s="51"/>
      <c r="E790" s="82"/>
      <c r="G790" s="182"/>
      <c r="H790" s="182"/>
    </row>
    <row r="791" spans="1:8" ht="15.75" customHeight="1">
      <c r="A791" s="51"/>
      <c r="B791" s="51"/>
      <c r="E791" s="82"/>
      <c r="G791" s="182"/>
      <c r="H791" s="182"/>
    </row>
    <row r="792" spans="1:8" ht="15.75" customHeight="1">
      <c r="A792" s="51"/>
      <c r="B792" s="51"/>
      <c r="E792" s="82"/>
      <c r="G792" s="182"/>
      <c r="H792" s="182"/>
    </row>
    <row r="793" spans="1:8" ht="15.75" customHeight="1">
      <c r="A793" s="51"/>
      <c r="B793" s="51"/>
      <c r="E793" s="82"/>
      <c r="G793" s="182"/>
      <c r="H793" s="182"/>
    </row>
    <row r="794" spans="1:8" ht="15.75" customHeight="1">
      <c r="A794" s="51"/>
      <c r="B794" s="51"/>
      <c r="E794" s="82"/>
      <c r="G794" s="182"/>
      <c r="H794" s="182"/>
    </row>
    <row r="795" spans="1:8" ht="15.75" customHeight="1">
      <c r="A795" s="51"/>
      <c r="B795" s="51"/>
      <c r="E795" s="82"/>
      <c r="G795" s="182"/>
      <c r="H795" s="182"/>
    </row>
    <row r="796" spans="1:8" ht="15.75" customHeight="1">
      <c r="A796" s="51"/>
      <c r="B796" s="51"/>
      <c r="E796" s="82"/>
      <c r="G796" s="182"/>
      <c r="H796" s="182"/>
    </row>
    <row r="797" spans="1:8" ht="15.75" customHeight="1">
      <c r="A797" s="51"/>
      <c r="B797" s="51"/>
      <c r="E797" s="82"/>
      <c r="G797" s="182"/>
      <c r="H797" s="182"/>
    </row>
    <row r="798" spans="1:8" ht="15.75" customHeight="1">
      <c r="A798" s="51"/>
      <c r="B798" s="51"/>
      <c r="E798" s="82"/>
      <c r="G798" s="182"/>
      <c r="H798" s="182"/>
    </row>
    <row r="799" spans="1:8" ht="15.75" customHeight="1">
      <c r="A799" s="51"/>
      <c r="B799" s="51"/>
      <c r="E799" s="82"/>
      <c r="G799" s="182"/>
      <c r="H799" s="182"/>
    </row>
    <row r="800" spans="1:8" ht="15.75" customHeight="1">
      <c r="A800" s="51"/>
      <c r="B800" s="51"/>
      <c r="E800" s="82"/>
      <c r="G800" s="182"/>
      <c r="H800" s="182"/>
    </row>
    <row r="801" spans="1:8" ht="15.75" customHeight="1">
      <c r="A801" s="51"/>
      <c r="B801" s="51"/>
      <c r="E801" s="82"/>
      <c r="G801" s="182"/>
      <c r="H801" s="182"/>
    </row>
    <row r="802" spans="1:8" ht="15.75" customHeight="1">
      <c r="A802" s="51"/>
      <c r="B802" s="51"/>
      <c r="E802" s="82"/>
      <c r="G802" s="182"/>
      <c r="H802" s="182"/>
    </row>
    <row r="803" spans="1:8" ht="15.75" customHeight="1">
      <c r="A803" s="51"/>
      <c r="B803" s="51"/>
      <c r="E803" s="82"/>
      <c r="G803" s="182"/>
      <c r="H803" s="182"/>
    </row>
    <row r="804" spans="1:8" ht="15.75" customHeight="1">
      <c r="A804" s="51"/>
      <c r="B804" s="51"/>
      <c r="E804" s="82"/>
      <c r="G804" s="182"/>
      <c r="H804" s="182"/>
    </row>
    <row r="805" spans="1:8" ht="15.75" customHeight="1">
      <c r="A805" s="51"/>
      <c r="B805" s="51"/>
      <c r="E805" s="82"/>
      <c r="G805" s="182"/>
      <c r="H805" s="182"/>
    </row>
    <row r="806" spans="1:8" ht="15.75" customHeight="1">
      <c r="A806" s="51"/>
      <c r="B806" s="51"/>
      <c r="E806" s="82"/>
      <c r="G806" s="182"/>
      <c r="H806" s="182"/>
    </row>
    <row r="807" spans="1:8" ht="15.75" customHeight="1">
      <c r="A807" s="51"/>
      <c r="B807" s="51"/>
      <c r="E807" s="82"/>
      <c r="G807" s="182"/>
      <c r="H807" s="182"/>
    </row>
    <row r="808" spans="1:8" ht="15.75" customHeight="1">
      <c r="A808" s="51"/>
      <c r="B808" s="51"/>
      <c r="E808" s="82"/>
      <c r="G808" s="182"/>
      <c r="H808" s="182"/>
    </row>
    <row r="809" spans="1:8" ht="15.75" customHeight="1">
      <c r="A809" s="51"/>
      <c r="B809" s="51"/>
      <c r="E809" s="82"/>
      <c r="G809" s="182"/>
      <c r="H809" s="182"/>
    </row>
    <row r="810" spans="1:8" ht="15.75" customHeight="1">
      <c r="A810" s="51"/>
      <c r="B810" s="51"/>
      <c r="E810" s="82"/>
      <c r="G810" s="182"/>
      <c r="H810" s="182"/>
    </row>
    <row r="811" spans="1:8" ht="15.75" customHeight="1">
      <c r="A811" s="51"/>
      <c r="B811" s="51"/>
      <c r="E811" s="82"/>
      <c r="G811" s="182"/>
      <c r="H811" s="182"/>
    </row>
    <row r="812" spans="1:8" ht="15.75" customHeight="1">
      <c r="A812" s="51"/>
      <c r="B812" s="51"/>
      <c r="E812" s="82"/>
      <c r="G812" s="182"/>
      <c r="H812" s="182"/>
    </row>
    <row r="813" spans="1:8" ht="15.75" customHeight="1">
      <c r="A813" s="51"/>
      <c r="B813" s="51"/>
      <c r="E813" s="82"/>
      <c r="G813" s="182"/>
      <c r="H813" s="182"/>
    </row>
    <row r="814" spans="1:8" ht="15.75" customHeight="1">
      <c r="A814" s="51"/>
      <c r="B814" s="51"/>
      <c r="E814" s="82"/>
      <c r="G814" s="182"/>
      <c r="H814" s="182"/>
    </row>
    <row r="815" spans="1:8" ht="15.75" customHeight="1">
      <c r="A815" s="51"/>
      <c r="B815" s="51"/>
      <c r="E815" s="82"/>
      <c r="G815" s="182"/>
      <c r="H815" s="182"/>
    </row>
    <row r="816" spans="1:8" ht="15.75" customHeight="1">
      <c r="A816" s="51"/>
      <c r="B816" s="51"/>
      <c r="E816" s="82"/>
      <c r="G816" s="182"/>
      <c r="H816" s="182"/>
    </row>
    <row r="817" spans="1:8" ht="15.75" customHeight="1">
      <c r="A817" s="51"/>
      <c r="B817" s="51"/>
      <c r="E817" s="82"/>
      <c r="G817" s="182"/>
      <c r="H817" s="182"/>
    </row>
    <row r="818" spans="1:8" ht="15.75" customHeight="1">
      <c r="A818" s="51"/>
      <c r="B818" s="51"/>
      <c r="E818" s="82"/>
      <c r="G818" s="182"/>
      <c r="H818" s="182"/>
    </row>
    <row r="819" spans="1:8" ht="15.75" customHeight="1">
      <c r="A819" s="51"/>
      <c r="B819" s="51"/>
      <c r="E819" s="82"/>
      <c r="G819" s="182"/>
      <c r="H819" s="182"/>
    </row>
    <row r="820" spans="1:8" ht="15.75" customHeight="1">
      <c r="A820" s="51"/>
      <c r="B820" s="51"/>
      <c r="E820" s="82"/>
      <c r="G820" s="182"/>
      <c r="H820" s="182"/>
    </row>
    <row r="821" spans="1:8" ht="15.75" customHeight="1">
      <c r="A821" s="51"/>
      <c r="B821" s="51"/>
      <c r="E821" s="82"/>
      <c r="G821" s="182"/>
      <c r="H821" s="182"/>
    </row>
    <row r="822" spans="1:8" ht="15.75" customHeight="1">
      <c r="A822" s="51"/>
      <c r="B822" s="51"/>
      <c r="E822" s="82"/>
      <c r="G822" s="182"/>
      <c r="H822" s="182"/>
    </row>
    <row r="823" spans="1:8" ht="15.75" customHeight="1">
      <c r="A823" s="51"/>
      <c r="B823" s="51"/>
      <c r="E823" s="82"/>
      <c r="G823" s="182"/>
      <c r="H823" s="182"/>
    </row>
    <row r="824" spans="1:8" ht="15.75" customHeight="1">
      <c r="A824" s="51"/>
      <c r="B824" s="51"/>
      <c r="E824" s="82"/>
      <c r="G824" s="182"/>
      <c r="H824" s="182"/>
    </row>
    <row r="825" spans="1:8" ht="15.75" customHeight="1">
      <c r="A825" s="51"/>
      <c r="B825" s="51"/>
      <c r="E825" s="82"/>
      <c r="G825" s="182"/>
      <c r="H825" s="182"/>
    </row>
    <row r="826" spans="1:8" ht="15.75" customHeight="1">
      <c r="A826" s="51"/>
      <c r="B826" s="51"/>
      <c r="E826" s="82"/>
      <c r="G826" s="182"/>
      <c r="H826" s="182"/>
    </row>
    <row r="827" spans="1:8" ht="15.75" customHeight="1">
      <c r="A827" s="51"/>
      <c r="B827" s="51"/>
      <c r="E827" s="82"/>
      <c r="G827" s="182"/>
      <c r="H827" s="182"/>
    </row>
    <row r="828" spans="1:8" ht="15.75" customHeight="1">
      <c r="A828" s="51"/>
      <c r="B828" s="51"/>
      <c r="E828" s="82"/>
      <c r="G828" s="182"/>
      <c r="H828" s="182"/>
    </row>
    <row r="829" spans="1:8" ht="15.75" customHeight="1">
      <c r="A829" s="51"/>
      <c r="B829" s="51"/>
      <c r="E829" s="82"/>
      <c r="G829" s="182"/>
      <c r="H829" s="182"/>
    </row>
    <row r="830" spans="1:8" ht="15.75" customHeight="1">
      <c r="A830" s="51"/>
      <c r="B830" s="51"/>
      <c r="E830" s="82"/>
      <c r="G830" s="182"/>
      <c r="H830" s="182"/>
    </row>
    <row r="831" spans="1:8" ht="15.75" customHeight="1">
      <c r="A831" s="51"/>
      <c r="B831" s="51"/>
      <c r="E831" s="82"/>
      <c r="G831" s="182"/>
      <c r="H831" s="182"/>
    </row>
    <row r="832" spans="1:8" ht="15.75" customHeight="1">
      <c r="A832" s="51"/>
      <c r="B832" s="51"/>
      <c r="E832" s="82"/>
      <c r="G832" s="182"/>
      <c r="H832" s="182"/>
    </row>
    <row r="833" spans="1:8" ht="15.75" customHeight="1">
      <c r="A833" s="51"/>
      <c r="B833" s="51"/>
      <c r="E833" s="82"/>
      <c r="G833" s="182"/>
      <c r="H833" s="182"/>
    </row>
    <row r="834" spans="1:8" ht="15.75" customHeight="1">
      <c r="A834" s="51"/>
      <c r="B834" s="51"/>
      <c r="E834" s="82"/>
      <c r="G834" s="182"/>
      <c r="H834" s="182"/>
    </row>
    <row r="835" spans="1:8" ht="15.75" customHeight="1">
      <c r="A835" s="51"/>
      <c r="B835" s="51"/>
      <c r="E835" s="82"/>
      <c r="G835" s="182"/>
      <c r="H835" s="182"/>
    </row>
    <row r="836" spans="1:8" ht="15.75" customHeight="1">
      <c r="A836" s="51"/>
      <c r="B836" s="51"/>
      <c r="E836" s="82"/>
      <c r="G836" s="182"/>
      <c r="H836" s="182"/>
    </row>
    <row r="837" spans="1:8" ht="15.75" customHeight="1">
      <c r="A837" s="51"/>
      <c r="B837" s="51"/>
      <c r="E837" s="82"/>
      <c r="G837" s="182"/>
      <c r="H837" s="182"/>
    </row>
    <row r="838" spans="1:8" ht="15.75" customHeight="1">
      <c r="A838" s="51"/>
      <c r="B838" s="51"/>
      <c r="E838" s="82"/>
      <c r="G838" s="182"/>
      <c r="H838" s="182"/>
    </row>
    <row r="839" spans="1:8" ht="15.75" customHeight="1">
      <c r="A839" s="51"/>
      <c r="B839" s="51"/>
      <c r="E839" s="82"/>
      <c r="G839" s="182"/>
      <c r="H839" s="182"/>
    </row>
    <row r="840" spans="1:8" ht="15.75" customHeight="1">
      <c r="A840" s="51"/>
      <c r="B840" s="51"/>
      <c r="E840" s="82"/>
      <c r="G840" s="182"/>
      <c r="H840" s="182"/>
    </row>
    <row r="841" spans="1:8" ht="15.75" customHeight="1">
      <c r="A841" s="51"/>
      <c r="B841" s="51"/>
      <c r="E841" s="82"/>
      <c r="G841" s="182"/>
      <c r="H841" s="182"/>
    </row>
    <row r="842" spans="1:8" ht="15.75" customHeight="1">
      <c r="A842" s="51"/>
      <c r="B842" s="51"/>
      <c r="E842" s="82"/>
      <c r="G842" s="182"/>
      <c r="H842" s="182"/>
    </row>
    <row r="843" spans="1:8" ht="15.75" customHeight="1">
      <c r="A843" s="51"/>
      <c r="B843" s="51"/>
      <c r="E843" s="82"/>
      <c r="G843" s="182"/>
      <c r="H843" s="182"/>
    </row>
    <row r="844" spans="1:8" ht="15.75" customHeight="1">
      <c r="A844" s="51"/>
      <c r="B844" s="51"/>
      <c r="E844" s="82"/>
      <c r="G844" s="182"/>
      <c r="H844" s="182"/>
    </row>
    <row r="845" spans="1:8" ht="15.75" customHeight="1">
      <c r="A845" s="51"/>
      <c r="B845" s="51"/>
      <c r="E845" s="82"/>
      <c r="G845" s="182"/>
      <c r="H845" s="182"/>
    </row>
    <row r="846" spans="1:8" ht="15.75" customHeight="1">
      <c r="A846" s="51"/>
      <c r="B846" s="51"/>
      <c r="E846" s="82"/>
      <c r="G846" s="182"/>
      <c r="H846" s="182"/>
    </row>
    <row r="847" spans="1:8" ht="15.75" customHeight="1">
      <c r="A847" s="51"/>
      <c r="B847" s="51"/>
      <c r="E847" s="82"/>
      <c r="G847" s="182"/>
      <c r="H847" s="182"/>
    </row>
    <row r="848" spans="1:8" ht="15.75" customHeight="1">
      <c r="A848" s="51"/>
      <c r="B848" s="51"/>
      <c r="E848" s="82"/>
      <c r="G848" s="182"/>
      <c r="H848" s="182"/>
    </row>
    <row r="849" spans="1:8" ht="15.75" customHeight="1">
      <c r="A849" s="51"/>
      <c r="B849" s="51"/>
      <c r="E849" s="82"/>
      <c r="G849" s="182"/>
      <c r="H849" s="182"/>
    </row>
    <row r="850" spans="1:8" ht="15.75" customHeight="1">
      <c r="A850" s="51"/>
      <c r="B850" s="51"/>
      <c r="E850" s="82"/>
      <c r="G850" s="182"/>
      <c r="H850" s="182"/>
    </row>
    <row r="851" spans="1:8" ht="15.75" customHeight="1">
      <c r="A851" s="51"/>
      <c r="B851" s="51"/>
      <c r="E851" s="82"/>
      <c r="G851" s="182"/>
      <c r="H851" s="182"/>
    </row>
    <row r="852" spans="1:8" ht="15.75" customHeight="1">
      <c r="A852" s="51"/>
      <c r="B852" s="51"/>
      <c r="E852" s="82"/>
      <c r="G852" s="182"/>
      <c r="H852" s="182"/>
    </row>
    <row r="853" spans="1:8" ht="15.75" customHeight="1">
      <c r="A853" s="51"/>
      <c r="B853" s="51"/>
      <c r="E853" s="82"/>
      <c r="G853" s="182"/>
      <c r="H853" s="182"/>
    </row>
    <row r="854" spans="1:8" ht="15.75" customHeight="1">
      <c r="A854" s="51"/>
      <c r="B854" s="51"/>
      <c r="E854" s="82"/>
      <c r="G854" s="182"/>
      <c r="H854" s="182"/>
    </row>
    <row r="855" spans="1:8" ht="15.75" customHeight="1">
      <c r="A855" s="51"/>
      <c r="B855" s="51"/>
      <c r="E855" s="82"/>
      <c r="G855" s="182"/>
      <c r="H855" s="182"/>
    </row>
    <row r="856" spans="1:8" ht="15.75" customHeight="1">
      <c r="A856" s="51"/>
      <c r="B856" s="51"/>
      <c r="E856" s="82"/>
      <c r="G856" s="182"/>
      <c r="H856" s="182"/>
    </row>
    <row r="857" spans="1:8" ht="15.75" customHeight="1">
      <c r="A857" s="51"/>
      <c r="B857" s="51"/>
      <c r="E857" s="82"/>
      <c r="G857" s="182"/>
      <c r="H857" s="182"/>
    </row>
    <row r="858" spans="1:8" ht="15.75" customHeight="1">
      <c r="A858" s="51"/>
      <c r="B858" s="51"/>
      <c r="E858" s="82"/>
      <c r="G858" s="182"/>
      <c r="H858" s="182"/>
    </row>
    <row r="859" spans="1:8" ht="15.75" customHeight="1">
      <c r="A859" s="51"/>
      <c r="B859" s="51"/>
      <c r="E859" s="82"/>
      <c r="G859" s="182"/>
      <c r="H859" s="182"/>
    </row>
    <row r="860" spans="1:8" ht="15.75" customHeight="1">
      <c r="A860" s="51"/>
      <c r="B860" s="51"/>
      <c r="E860" s="82"/>
      <c r="G860" s="182"/>
      <c r="H860" s="182"/>
    </row>
    <row r="861" spans="1:8" ht="15.75" customHeight="1">
      <c r="A861" s="51"/>
      <c r="B861" s="51"/>
      <c r="E861" s="82"/>
      <c r="G861" s="182"/>
      <c r="H861" s="182"/>
    </row>
    <row r="862" spans="1:8" ht="15.75" customHeight="1">
      <c r="A862" s="51"/>
      <c r="B862" s="51"/>
      <c r="E862" s="82"/>
      <c r="G862" s="182"/>
      <c r="H862" s="182"/>
    </row>
    <row r="863" spans="1:8" ht="15.75" customHeight="1">
      <c r="A863" s="51"/>
      <c r="B863" s="51"/>
      <c r="E863" s="82"/>
      <c r="G863" s="182"/>
      <c r="H863" s="182"/>
    </row>
    <row r="864" spans="1:8" ht="15.75" customHeight="1">
      <c r="A864" s="51"/>
      <c r="B864" s="51"/>
      <c r="E864" s="82"/>
      <c r="G864" s="182"/>
      <c r="H864" s="182"/>
    </row>
    <row r="865" spans="1:8" ht="15.75" customHeight="1">
      <c r="A865" s="51"/>
      <c r="B865" s="51"/>
      <c r="E865" s="82"/>
      <c r="G865" s="182"/>
      <c r="H865" s="182"/>
    </row>
    <row r="866" spans="1:8" ht="15.75" customHeight="1">
      <c r="A866" s="51"/>
      <c r="B866" s="51"/>
      <c r="E866" s="82"/>
      <c r="G866" s="182"/>
      <c r="H866" s="182"/>
    </row>
    <row r="867" spans="1:8" ht="15.75" customHeight="1">
      <c r="A867" s="51"/>
      <c r="B867" s="51"/>
      <c r="E867" s="82"/>
      <c r="G867" s="182"/>
      <c r="H867" s="182"/>
    </row>
    <row r="868" spans="1:8" ht="15.75" customHeight="1">
      <c r="A868" s="51"/>
      <c r="B868" s="51"/>
      <c r="E868" s="82"/>
      <c r="G868" s="182"/>
      <c r="H868" s="182"/>
    </row>
    <row r="869" spans="1:8" ht="15.75" customHeight="1">
      <c r="A869" s="51"/>
      <c r="B869" s="51"/>
      <c r="E869" s="82"/>
      <c r="G869" s="182"/>
      <c r="H869" s="182"/>
    </row>
    <row r="870" spans="1:8" ht="15.75" customHeight="1">
      <c r="A870" s="51"/>
      <c r="B870" s="51"/>
      <c r="E870" s="82"/>
      <c r="G870" s="182"/>
      <c r="H870" s="182"/>
    </row>
    <row r="871" spans="1:8" ht="15.75" customHeight="1">
      <c r="A871" s="51"/>
      <c r="B871" s="51"/>
      <c r="E871" s="82"/>
      <c r="G871" s="182"/>
      <c r="H871" s="182"/>
    </row>
    <row r="872" spans="1:8" ht="15.75" customHeight="1">
      <c r="A872" s="51"/>
      <c r="B872" s="51"/>
      <c r="E872" s="82"/>
      <c r="G872" s="182"/>
      <c r="H872" s="182"/>
    </row>
    <row r="873" spans="1:8" ht="15.75" customHeight="1">
      <c r="A873" s="51"/>
      <c r="B873" s="51"/>
      <c r="E873" s="82"/>
      <c r="G873" s="182"/>
      <c r="H873" s="182"/>
    </row>
    <row r="874" spans="1:8" ht="15.75" customHeight="1">
      <c r="A874" s="51"/>
      <c r="B874" s="51"/>
      <c r="E874" s="82"/>
      <c r="G874" s="182"/>
      <c r="H874" s="182"/>
    </row>
    <row r="875" spans="1:8" ht="15.75" customHeight="1">
      <c r="A875" s="51"/>
      <c r="B875" s="51"/>
      <c r="E875" s="82"/>
      <c r="G875" s="182"/>
      <c r="H875" s="182"/>
    </row>
    <row r="876" spans="1:8" ht="15.75" customHeight="1">
      <c r="A876" s="51"/>
      <c r="B876" s="51"/>
      <c r="E876" s="82"/>
      <c r="G876" s="182"/>
      <c r="H876" s="182"/>
    </row>
    <row r="877" spans="1:8" ht="15.75" customHeight="1">
      <c r="A877" s="51"/>
      <c r="B877" s="51"/>
      <c r="E877" s="82"/>
      <c r="G877" s="182"/>
      <c r="H877" s="182"/>
    </row>
    <row r="878" spans="1:8" ht="15.75" customHeight="1">
      <c r="A878" s="51"/>
      <c r="B878" s="51"/>
      <c r="E878" s="82"/>
      <c r="G878" s="182"/>
      <c r="H878" s="182"/>
    </row>
    <row r="879" spans="1:8" ht="15.75" customHeight="1">
      <c r="A879" s="51"/>
      <c r="B879" s="51"/>
      <c r="E879" s="82"/>
      <c r="G879" s="182"/>
      <c r="H879" s="182"/>
    </row>
    <row r="880" spans="1:8" ht="15.75" customHeight="1">
      <c r="A880" s="51"/>
      <c r="B880" s="51"/>
      <c r="E880" s="82"/>
      <c r="G880" s="182"/>
      <c r="H880" s="182"/>
    </row>
    <row r="881" spans="1:8" ht="15.75" customHeight="1">
      <c r="A881" s="51"/>
      <c r="B881" s="51"/>
      <c r="E881" s="82"/>
      <c r="G881" s="182"/>
      <c r="H881" s="182"/>
    </row>
    <row r="882" spans="1:8" ht="15.75" customHeight="1">
      <c r="A882" s="51"/>
      <c r="B882" s="51"/>
      <c r="E882" s="82"/>
      <c r="G882" s="182"/>
      <c r="H882" s="182"/>
    </row>
    <row r="883" spans="1:8" ht="15.75" customHeight="1">
      <c r="A883" s="51"/>
      <c r="B883" s="51"/>
      <c r="E883" s="82"/>
      <c r="G883" s="182"/>
      <c r="H883" s="182"/>
    </row>
    <row r="884" spans="1:8" ht="15.75" customHeight="1">
      <c r="A884" s="51"/>
      <c r="B884" s="51"/>
      <c r="E884" s="82"/>
      <c r="G884" s="182"/>
      <c r="H884" s="182"/>
    </row>
    <row r="885" spans="1:8" ht="15.75" customHeight="1">
      <c r="A885" s="51"/>
      <c r="B885" s="51"/>
      <c r="E885" s="82"/>
      <c r="G885" s="182"/>
      <c r="H885" s="182"/>
    </row>
    <row r="886" spans="1:8" ht="15.75" customHeight="1">
      <c r="A886" s="51"/>
      <c r="B886" s="51"/>
      <c r="E886" s="82"/>
      <c r="G886" s="182"/>
      <c r="H886" s="182"/>
    </row>
    <row r="887" spans="1:8" ht="15.75" customHeight="1">
      <c r="A887" s="51"/>
      <c r="B887" s="51"/>
      <c r="E887" s="82"/>
      <c r="G887" s="182"/>
      <c r="H887" s="182"/>
    </row>
    <row r="888" spans="1:8" ht="15.75" customHeight="1">
      <c r="A888" s="51"/>
      <c r="B888" s="51"/>
      <c r="E888" s="82"/>
      <c r="G888" s="182"/>
      <c r="H888" s="182"/>
    </row>
    <row r="889" spans="1:8" ht="15.75" customHeight="1">
      <c r="A889" s="51"/>
      <c r="B889" s="51"/>
      <c r="E889" s="82"/>
      <c r="G889" s="182"/>
      <c r="H889" s="182"/>
    </row>
    <row r="890" spans="1:8" ht="15.75" customHeight="1">
      <c r="A890" s="51"/>
      <c r="B890" s="51"/>
      <c r="E890" s="82"/>
      <c r="G890" s="182"/>
      <c r="H890" s="182"/>
    </row>
    <row r="891" spans="1:8" ht="15.75" customHeight="1">
      <c r="A891" s="51"/>
      <c r="B891" s="51"/>
      <c r="E891" s="82"/>
      <c r="G891" s="182"/>
      <c r="H891" s="182"/>
    </row>
    <row r="892" spans="1:8" ht="15.75" customHeight="1">
      <c r="A892" s="51"/>
      <c r="B892" s="51"/>
      <c r="E892" s="82"/>
      <c r="G892" s="182"/>
      <c r="H892" s="182"/>
    </row>
    <row r="893" spans="1:8" ht="15.75" customHeight="1">
      <c r="A893" s="51"/>
      <c r="B893" s="51"/>
      <c r="E893" s="82"/>
      <c r="G893" s="182"/>
      <c r="H893" s="182"/>
    </row>
    <row r="894" spans="1:8" ht="15.75" customHeight="1">
      <c r="A894" s="51"/>
      <c r="B894" s="51"/>
      <c r="E894" s="82"/>
      <c r="G894" s="182"/>
      <c r="H894" s="182"/>
    </row>
    <row r="895" spans="1:8" ht="15.75" customHeight="1">
      <c r="A895" s="51"/>
      <c r="B895" s="51"/>
      <c r="E895" s="82"/>
      <c r="G895" s="182"/>
      <c r="H895" s="182"/>
    </row>
    <row r="896" spans="1:8" ht="15.75" customHeight="1">
      <c r="A896" s="51"/>
      <c r="B896" s="51"/>
      <c r="E896" s="82"/>
      <c r="G896" s="182"/>
      <c r="H896" s="182"/>
    </row>
    <row r="897" spans="1:8" ht="15.75" customHeight="1">
      <c r="A897" s="51"/>
      <c r="B897" s="51"/>
      <c r="E897" s="82"/>
      <c r="G897" s="182"/>
      <c r="H897" s="182"/>
    </row>
    <row r="898" spans="1:8" ht="15.75" customHeight="1">
      <c r="A898" s="51"/>
      <c r="B898" s="51"/>
      <c r="E898" s="82"/>
      <c r="G898" s="182"/>
      <c r="H898" s="182"/>
    </row>
    <row r="899" spans="1:8" ht="15.75" customHeight="1">
      <c r="A899" s="51"/>
      <c r="B899" s="51"/>
      <c r="E899" s="82"/>
      <c r="G899" s="182"/>
      <c r="H899" s="182"/>
    </row>
    <row r="900" spans="1:8" ht="15.75" customHeight="1">
      <c r="A900" s="51"/>
      <c r="B900" s="51"/>
      <c r="E900" s="82"/>
      <c r="G900" s="182"/>
      <c r="H900" s="182"/>
    </row>
    <row r="901" spans="1:8" ht="15.75" customHeight="1">
      <c r="A901" s="51"/>
      <c r="B901" s="51"/>
      <c r="E901" s="82"/>
      <c r="G901" s="182"/>
      <c r="H901" s="182"/>
    </row>
    <row r="902" spans="1:8" ht="15.75" customHeight="1">
      <c r="A902" s="51"/>
      <c r="B902" s="51"/>
      <c r="E902" s="82"/>
      <c r="G902" s="182"/>
      <c r="H902" s="182"/>
    </row>
    <row r="903" spans="1:8" ht="15.75" customHeight="1">
      <c r="A903" s="51"/>
      <c r="B903" s="51"/>
      <c r="E903" s="82"/>
      <c r="G903" s="182"/>
      <c r="H903" s="182"/>
    </row>
    <row r="904" spans="1:8" ht="15.75" customHeight="1">
      <c r="A904" s="51"/>
      <c r="B904" s="51"/>
      <c r="E904" s="82"/>
      <c r="G904" s="182"/>
      <c r="H904" s="182"/>
    </row>
    <row r="905" spans="1:8" ht="15.75" customHeight="1">
      <c r="A905" s="51"/>
      <c r="B905" s="51"/>
      <c r="E905" s="82"/>
      <c r="G905" s="182"/>
      <c r="H905" s="182"/>
    </row>
    <row r="906" spans="1:8" ht="15.75" customHeight="1">
      <c r="A906" s="51"/>
      <c r="B906" s="51"/>
      <c r="E906" s="82"/>
      <c r="G906" s="182"/>
      <c r="H906" s="182"/>
    </row>
    <row r="907" spans="1:8" ht="15.75" customHeight="1">
      <c r="A907" s="51"/>
      <c r="B907" s="51"/>
      <c r="E907" s="82"/>
      <c r="G907" s="182"/>
      <c r="H907" s="182"/>
    </row>
    <row r="908" spans="1:8" ht="15.75" customHeight="1">
      <c r="A908" s="51"/>
      <c r="B908" s="51"/>
      <c r="E908" s="82"/>
      <c r="G908" s="182"/>
      <c r="H908" s="182"/>
    </row>
    <row r="909" spans="1:8" ht="15.75" customHeight="1">
      <c r="A909" s="51"/>
      <c r="B909" s="51"/>
      <c r="E909" s="82"/>
      <c r="G909" s="182"/>
      <c r="H909" s="182"/>
    </row>
    <row r="910" spans="1:8" ht="15.75" customHeight="1">
      <c r="A910" s="51"/>
      <c r="B910" s="51"/>
      <c r="E910" s="82"/>
      <c r="G910" s="182"/>
      <c r="H910" s="182"/>
    </row>
    <row r="911" spans="1:8" ht="15.75" customHeight="1">
      <c r="A911" s="51"/>
      <c r="B911" s="51"/>
      <c r="E911" s="82"/>
      <c r="G911" s="182"/>
      <c r="H911" s="182"/>
    </row>
    <row r="912" spans="1:8" ht="15.75" customHeight="1">
      <c r="A912" s="51"/>
      <c r="B912" s="51"/>
      <c r="E912" s="82"/>
      <c r="G912" s="182"/>
      <c r="H912" s="182"/>
    </row>
    <row r="913" spans="1:8" ht="15.75" customHeight="1">
      <c r="A913" s="51"/>
      <c r="B913" s="51"/>
      <c r="E913" s="82"/>
      <c r="G913" s="182"/>
      <c r="H913" s="182"/>
    </row>
    <row r="914" spans="1:8" ht="15.75" customHeight="1">
      <c r="A914" s="51"/>
      <c r="B914" s="51"/>
      <c r="E914" s="82"/>
      <c r="G914" s="182"/>
      <c r="H914" s="182"/>
    </row>
    <row r="915" spans="1:8" ht="15.75" customHeight="1">
      <c r="A915" s="51"/>
      <c r="B915" s="51"/>
      <c r="E915" s="82"/>
      <c r="G915" s="182"/>
      <c r="H915" s="182"/>
    </row>
    <row r="916" spans="1:8" ht="15.75" customHeight="1">
      <c r="A916" s="51"/>
      <c r="B916" s="51"/>
      <c r="E916" s="82"/>
      <c r="G916" s="182"/>
      <c r="H916" s="182"/>
    </row>
    <row r="917" spans="1:8" ht="15.75" customHeight="1">
      <c r="A917" s="51"/>
      <c r="B917" s="51"/>
      <c r="E917" s="82"/>
      <c r="G917" s="182"/>
      <c r="H917" s="182"/>
    </row>
    <row r="918" spans="1:8" ht="15.75" customHeight="1">
      <c r="A918" s="51"/>
      <c r="B918" s="51"/>
      <c r="E918" s="82"/>
      <c r="G918" s="182"/>
      <c r="H918" s="182"/>
    </row>
    <row r="919" spans="1:8" ht="15.75" customHeight="1">
      <c r="A919" s="51"/>
      <c r="B919" s="51"/>
      <c r="E919" s="82"/>
      <c r="G919" s="182"/>
      <c r="H919" s="182"/>
    </row>
    <row r="920" spans="1:8" ht="15.75" customHeight="1">
      <c r="A920" s="51"/>
      <c r="B920" s="51"/>
      <c r="E920" s="82"/>
      <c r="G920" s="182"/>
      <c r="H920" s="182"/>
    </row>
    <row r="921" spans="1:8" ht="15.75" customHeight="1">
      <c r="A921" s="51"/>
      <c r="B921" s="51"/>
      <c r="E921" s="82"/>
      <c r="G921" s="182"/>
      <c r="H921" s="182"/>
    </row>
    <row r="922" spans="1:8" ht="15.75" customHeight="1">
      <c r="A922" s="51"/>
      <c r="B922" s="51"/>
      <c r="E922" s="82"/>
      <c r="G922" s="182"/>
      <c r="H922" s="182"/>
    </row>
    <row r="923" spans="1:8" ht="15.75" customHeight="1">
      <c r="A923" s="51"/>
      <c r="B923" s="51"/>
      <c r="E923" s="82"/>
      <c r="G923" s="182"/>
      <c r="H923" s="182"/>
    </row>
    <row r="924" spans="1:8" ht="15.75" customHeight="1">
      <c r="A924" s="51"/>
      <c r="B924" s="51"/>
      <c r="E924" s="82"/>
      <c r="G924" s="182"/>
      <c r="H924" s="182"/>
    </row>
    <row r="925" spans="1:8" ht="15.75" customHeight="1">
      <c r="A925" s="51"/>
      <c r="B925" s="51"/>
      <c r="E925" s="82"/>
      <c r="G925" s="182"/>
      <c r="H925" s="182"/>
    </row>
    <row r="926" spans="1:8" ht="15.75" customHeight="1">
      <c r="A926" s="51"/>
      <c r="B926" s="51"/>
      <c r="E926" s="82"/>
      <c r="G926" s="182"/>
      <c r="H926" s="182"/>
    </row>
    <row r="927" spans="1:8" ht="15.75" customHeight="1">
      <c r="A927" s="51"/>
      <c r="B927" s="51"/>
      <c r="E927" s="82"/>
      <c r="G927" s="182"/>
      <c r="H927" s="182"/>
    </row>
    <row r="928" spans="1:8" ht="15.75" customHeight="1">
      <c r="A928" s="51"/>
      <c r="B928" s="51"/>
      <c r="E928" s="82"/>
      <c r="G928" s="182"/>
      <c r="H928" s="182"/>
    </row>
    <row r="929" spans="1:8" ht="15.75" customHeight="1">
      <c r="A929" s="51"/>
      <c r="B929" s="51"/>
      <c r="E929" s="82"/>
      <c r="G929" s="182"/>
      <c r="H929" s="182"/>
    </row>
    <row r="930" spans="1:8" ht="15.75" customHeight="1">
      <c r="A930" s="51"/>
      <c r="B930" s="51"/>
      <c r="E930" s="82"/>
      <c r="G930" s="182"/>
      <c r="H930" s="182"/>
    </row>
    <row r="931" spans="1:8" ht="15.75" customHeight="1">
      <c r="A931" s="51"/>
      <c r="B931" s="51"/>
      <c r="E931" s="82"/>
      <c r="G931" s="182"/>
      <c r="H931" s="182"/>
    </row>
    <row r="932" spans="1:8" ht="15.75" customHeight="1">
      <c r="A932" s="51"/>
      <c r="B932" s="51"/>
      <c r="E932" s="82"/>
      <c r="G932" s="182"/>
      <c r="H932" s="182"/>
    </row>
    <row r="933" spans="1:8" ht="15.75" customHeight="1">
      <c r="A933" s="51"/>
      <c r="B933" s="51"/>
      <c r="E933" s="82"/>
      <c r="G933" s="182"/>
      <c r="H933" s="182"/>
    </row>
    <row r="934" spans="1:8" ht="15.75" customHeight="1">
      <c r="A934" s="51"/>
      <c r="B934" s="51"/>
      <c r="E934" s="82"/>
      <c r="G934" s="182"/>
      <c r="H934" s="182"/>
    </row>
    <row r="935" spans="1:8" ht="15.75" customHeight="1">
      <c r="A935" s="51"/>
      <c r="B935" s="51"/>
      <c r="E935" s="82"/>
      <c r="G935" s="182"/>
      <c r="H935" s="182"/>
    </row>
    <row r="936" spans="1:8" ht="15.75" customHeight="1">
      <c r="A936" s="51"/>
      <c r="B936" s="51"/>
      <c r="E936" s="82"/>
      <c r="G936" s="182"/>
      <c r="H936" s="182"/>
    </row>
    <row r="937" spans="1:8" ht="15.75" customHeight="1">
      <c r="A937" s="51"/>
      <c r="B937" s="51"/>
      <c r="E937" s="82"/>
      <c r="G937" s="182"/>
      <c r="H937" s="182"/>
    </row>
    <row r="938" spans="1:8" ht="15.75" customHeight="1">
      <c r="A938" s="51"/>
      <c r="B938" s="51"/>
      <c r="E938" s="82"/>
      <c r="G938" s="182"/>
      <c r="H938" s="182"/>
    </row>
    <row r="939" spans="1:8" ht="15.75" customHeight="1">
      <c r="A939" s="51"/>
      <c r="B939" s="51"/>
      <c r="E939" s="82"/>
      <c r="G939" s="182"/>
      <c r="H939" s="182"/>
    </row>
    <row r="940" spans="1:8" ht="15.75" customHeight="1">
      <c r="A940" s="51"/>
      <c r="B940" s="51"/>
      <c r="E940" s="82"/>
      <c r="G940" s="182"/>
      <c r="H940" s="182"/>
    </row>
    <row r="941" spans="1:8" ht="15.75" customHeight="1">
      <c r="A941" s="51"/>
      <c r="B941" s="51"/>
      <c r="E941" s="82"/>
      <c r="G941" s="182"/>
      <c r="H941" s="182"/>
    </row>
    <row r="942" spans="1:8" ht="15.75" customHeight="1">
      <c r="A942" s="51"/>
      <c r="B942" s="51"/>
      <c r="E942" s="82"/>
      <c r="G942" s="182"/>
      <c r="H942" s="182"/>
    </row>
    <row r="943" spans="1:8" ht="15.75" customHeight="1">
      <c r="A943" s="51"/>
      <c r="B943" s="51"/>
      <c r="E943" s="82"/>
      <c r="G943" s="182"/>
      <c r="H943" s="182"/>
    </row>
    <row r="944" spans="1:8" ht="15.75" customHeight="1">
      <c r="A944" s="51"/>
      <c r="B944" s="51"/>
      <c r="E944" s="82"/>
      <c r="G944" s="182"/>
      <c r="H944" s="182"/>
    </row>
    <row r="945" spans="1:8" ht="15.75" customHeight="1">
      <c r="A945" s="51"/>
      <c r="B945" s="51"/>
      <c r="E945" s="82"/>
      <c r="G945" s="182"/>
      <c r="H945" s="182"/>
    </row>
    <row r="946" spans="1:8" ht="15.75" customHeight="1">
      <c r="A946" s="51"/>
      <c r="B946" s="51"/>
      <c r="E946" s="82"/>
      <c r="G946" s="182"/>
      <c r="H946" s="182"/>
    </row>
    <row r="947" spans="1:8" ht="15.75" customHeight="1">
      <c r="A947" s="51"/>
      <c r="B947" s="51"/>
      <c r="E947" s="82"/>
      <c r="G947" s="182"/>
      <c r="H947" s="182"/>
    </row>
    <row r="948" spans="1:8" ht="15.75" customHeight="1">
      <c r="A948" s="51"/>
      <c r="B948" s="51"/>
      <c r="E948" s="82"/>
      <c r="G948" s="182"/>
      <c r="H948" s="182"/>
    </row>
    <row r="949" spans="1:8" ht="15.75" customHeight="1">
      <c r="A949" s="51"/>
      <c r="B949" s="51"/>
      <c r="E949" s="82"/>
      <c r="G949" s="182"/>
      <c r="H949" s="182"/>
    </row>
    <row r="950" spans="1:8" ht="15.75" customHeight="1">
      <c r="A950" s="51"/>
      <c r="B950" s="51"/>
      <c r="E950" s="82"/>
      <c r="G950" s="182"/>
      <c r="H950" s="182"/>
    </row>
    <row r="951" spans="1:8" ht="15.75" customHeight="1">
      <c r="A951" s="51"/>
      <c r="B951" s="51"/>
      <c r="E951" s="82"/>
      <c r="G951" s="182"/>
      <c r="H951" s="182"/>
    </row>
    <row r="952" spans="1:8" ht="15.75" customHeight="1">
      <c r="A952" s="51"/>
      <c r="B952" s="51"/>
      <c r="E952" s="82"/>
      <c r="G952" s="182"/>
      <c r="H952" s="182"/>
    </row>
    <row r="953" spans="1:8" ht="15.75" customHeight="1">
      <c r="A953" s="51"/>
      <c r="B953" s="51"/>
      <c r="E953" s="82"/>
      <c r="G953" s="182"/>
      <c r="H953" s="182"/>
    </row>
    <row r="954" spans="1:8" ht="15.75" customHeight="1">
      <c r="A954" s="51"/>
      <c r="B954" s="51"/>
      <c r="E954" s="82"/>
      <c r="G954" s="182"/>
      <c r="H954" s="182"/>
    </row>
    <row r="955" spans="1:8" ht="15.75" customHeight="1">
      <c r="A955" s="51"/>
      <c r="B955" s="51"/>
      <c r="E955" s="82"/>
      <c r="G955" s="182"/>
      <c r="H955" s="182"/>
    </row>
    <row r="956" spans="1:8" ht="15.75" customHeight="1">
      <c r="A956" s="51"/>
      <c r="B956" s="51"/>
      <c r="E956" s="82"/>
      <c r="G956" s="182"/>
      <c r="H956" s="182"/>
    </row>
    <row r="957" spans="1:8" ht="15.75" customHeight="1">
      <c r="A957" s="51"/>
      <c r="B957" s="51"/>
      <c r="E957" s="82"/>
      <c r="G957" s="182"/>
      <c r="H957" s="182"/>
    </row>
    <row r="958" spans="1:8" ht="15.75" customHeight="1">
      <c r="A958" s="51"/>
      <c r="B958" s="51"/>
      <c r="E958" s="82"/>
      <c r="G958" s="182"/>
      <c r="H958" s="182"/>
    </row>
    <row r="959" spans="1:8" ht="15.75" customHeight="1">
      <c r="A959" s="51"/>
      <c r="B959" s="51"/>
      <c r="E959" s="82"/>
      <c r="G959" s="182"/>
      <c r="H959" s="182"/>
    </row>
    <row r="960" spans="1:8" ht="15.75" customHeight="1">
      <c r="A960" s="51"/>
      <c r="B960" s="51"/>
      <c r="E960" s="82"/>
      <c r="G960" s="182"/>
      <c r="H960" s="182"/>
    </row>
    <row r="961" spans="1:8" ht="15.75" customHeight="1">
      <c r="A961" s="51"/>
      <c r="B961" s="51"/>
      <c r="E961" s="82"/>
      <c r="G961" s="182"/>
      <c r="H961" s="182"/>
    </row>
    <row r="962" spans="1:8" ht="15.75" customHeight="1">
      <c r="A962" s="51"/>
      <c r="B962" s="51"/>
      <c r="E962" s="82"/>
      <c r="G962" s="182"/>
      <c r="H962" s="182"/>
    </row>
    <row r="963" spans="1:8" ht="15.75" customHeight="1">
      <c r="A963" s="51"/>
      <c r="B963" s="51"/>
      <c r="E963" s="82"/>
      <c r="G963" s="182"/>
      <c r="H963" s="182"/>
    </row>
    <row r="964" spans="1:8" ht="15.75" customHeight="1">
      <c r="A964" s="51"/>
      <c r="B964" s="51"/>
      <c r="E964" s="82"/>
      <c r="G964" s="182"/>
      <c r="H964" s="182"/>
    </row>
    <row r="965" spans="1:8" ht="15.75" customHeight="1">
      <c r="A965" s="51"/>
      <c r="B965" s="51"/>
      <c r="E965" s="82"/>
      <c r="G965" s="182"/>
      <c r="H965" s="182"/>
    </row>
    <row r="966" spans="1:8" ht="15.75" customHeight="1">
      <c r="A966" s="51"/>
      <c r="B966" s="51"/>
      <c r="E966" s="82"/>
      <c r="G966" s="182"/>
      <c r="H966" s="182"/>
    </row>
    <row r="967" spans="1:8" ht="15.75" customHeight="1">
      <c r="A967" s="51"/>
      <c r="B967" s="51"/>
      <c r="E967" s="82"/>
      <c r="G967" s="182"/>
      <c r="H967" s="182"/>
    </row>
    <row r="968" spans="1:8" ht="15.75" customHeight="1">
      <c r="A968" s="51"/>
      <c r="B968" s="51"/>
      <c r="E968" s="82"/>
      <c r="G968" s="182"/>
      <c r="H968" s="182"/>
    </row>
    <row r="969" spans="1:8" ht="15.75" customHeight="1">
      <c r="A969" s="51"/>
      <c r="B969" s="51"/>
      <c r="E969" s="82"/>
      <c r="G969" s="182"/>
      <c r="H969" s="182"/>
    </row>
    <row r="970" spans="1:8" ht="15.75" customHeight="1">
      <c r="A970" s="51"/>
      <c r="B970" s="51"/>
      <c r="E970" s="82"/>
      <c r="G970" s="182"/>
      <c r="H970" s="182"/>
    </row>
    <row r="971" spans="1:8" ht="15.75" customHeight="1">
      <c r="A971" s="51"/>
      <c r="B971" s="51"/>
      <c r="E971" s="82"/>
      <c r="G971" s="182"/>
      <c r="H971" s="182"/>
    </row>
    <row r="972" spans="1:8" ht="15.75" customHeight="1">
      <c r="A972" s="51"/>
      <c r="B972" s="51"/>
      <c r="E972" s="82"/>
      <c r="G972" s="182"/>
      <c r="H972" s="182"/>
    </row>
    <row r="973" spans="1:8" ht="15.75" customHeight="1">
      <c r="A973" s="51"/>
      <c r="B973" s="51"/>
      <c r="E973" s="82"/>
      <c r="G973" s="182"/>
      <c r="H973" s="182"/>
    </row>
    <row r="974" spans="1:8" ht="15.75" customHeight="1">
      <c r="A974" s="51"/>
      <c r="B974" s="51"/>
      <c r="E974" s="82"/>
      <c r="G974" s="182"/>
      <c r="H974" s="182"/>
    </row>
    <row r="975" spans="1:8" ht="15.75" customHeight="1">
      <c r="A975" s="51"/>
      <c r="B975" s="51"/>
      <c r="E975" s="82"/>
      <c r="G975" s="182"/>
      <c r="H975" s="182"/>
    </row>
    <row r="976" spans="1:8" ht="15.75" customHeight="1">
      <c r="A976" s="51"/>
      <c r="B976" s="51"/>
      <c r="E976" s="82"/>
      <c r="G976" s="182"/>
      <c r="H976" s="182"/>
    </row>
    <row r="977" spans="1:8" ht="15.75" customHeight="1">
      <c r="A977" s="51"/>
      <c r="B977" s="51"/>
      <c r="E977" s="82"/>
      <c r="G977" s="182"/>
      <c r="H977" s="182"/>
    </row>
    <row r="978" spans="1:8" ht="15.75" customHeight="1">
      <c r="A978" s="51"/>
      <c r="B978" s="51"/>
      <c r="E978" s="82"/>
      <c r="G978" s="182"/>
      <c r="H978" s="182"/>
    </row>
    <row r="979" spans="1:8" ht="15.75" customHeight="1">
      <c r="A979" s="51"/>
      <c r="B979" s="51"/>
      <c r="E979" s="82"/>
      <c r="G979" s="182"/>
      <c r="H979" s="182"/>
    </row>
    <row r="980" spans="1:8" ht="15.75" customHeight="1">
      <c r="A980" s="51"/>
      <c r="B980" s="51"/>
      <c r="E980" s="82"/>
      <c r="G980" s="182"/>
      <c r="H980" s="182"/>
    </row>
    <row r="981" spans="1:8" ht="15.75" customHeight="1">
      <c r="A981" s="51"/>
      <c r="B981" s="51"/>
      <c r="E981" s="82"/>
      <c r="G981" s="182"/>
      <c r="H981" s="182"/>
    </row>
    <row r="982" spans="1:8" ht="15.75" customHeight="1">
      <c r="A982" s="51"/>
      <c r="B982" s="51"/>
      <c r="E982" s="82"/>
      <c r="G982" s="182"/>
      <c r="H982" s="182"/>
    </row>
    <row r="983" spans="1:8" ht="15.75" customHeight="1">
      <c r="A983" s="51"/>
      <c r="B983" s="51"/>
      <c r="E983" s="82"/>
      <c r="G983" s="182"/>
      <c r="H983" s="182"/>
    </row>
    <row r="984" spans="1:8" ht="15.75" customHeight="1">
      <c r="A984" s="51"/>
      <c r="B984" s="51"/>
      <c r="E984" s="82"/>
      <c r="G984" s="182"/>
      <c r="H984" s="182"/>
    </row>
    <row r="985" spans="1:8" ht="15.75" customHeight="1">
      <c r="A985" s="51"/>
      <c r="B985" s="51"/>
      <c r="E985" s="82"/>
      <c r="G985" s="182"/>
      <c r="H985" s="182"/>
    </row>
    <row r="986" spans="1:8" ht="15.75" customHeight="1">
      <c r="A986" s="51"/>
      <c r="B986" s="51"/>
      <c r="E986" s="82"/>
      <c r="G986" s="182"/>
      <c r="H986" s="182"/>
    </row>
    <row r="987" spans="1:8" ht="15.75" customHeight="1">
      <c r="A987" s="51"/>
      <c r="B987" s="51"/>
      <c r="E987" s="82"/>
      <c r="G987" s="182"/>
      <c r="H987" s="182"/>
    </row>
    <row r="988" spans="1:8" ht="15.75" customHeight="1">
      <c r="A988" s="51"/>
      <c r="B988" s="51"/>
      <c r="E988" s="82"/>
      <c r="G988" s="182"/>
      <c r="H988" s="182"/>
    </row>
    <row r="989" spans="1:8" ht="15.75" customHeight="1">
      <c r="A989" s="51"/>
      <c r="B989" s="51"/>
      <c r="E989" s="82"/>
      <c r="G989" s="182"/>
      <c r="H989" s="182"/>
    </row>
    <row r="990" spans="1:8" ht="15.75" customHeight="1">
      <c r="A990" s="51"/>
      <c r="B990" s="51"/>
      <c r="E990" s="82"/>
      <c r="G990" s="182"/>
      <c r="H990" s="182"/>
    </row>
    <row r="991" spans="1:8" ht="15.75" customHeight="1">
      <c r="A991" s="51"/>
      <c r="B991" s="51"/>
      <c r="E991" s="82"/>
      <c r="G991" s="182"/>
      <c r="H991" s="182"/>
    </row>
    <row r="992" spans="1:8" ht="15.75" customHeight="1">
      <c r="A992" s="51"/>
      <c r="B992" s="51"/>
      <c r="E992" s="82"/>
      <c r="G992" s="182"/>
      <c r="H992" s="182"/>
    </row>
    <row r="993" spans="1:8" ht="15.75" customHeight="1">
      <c r="A993" s="51"/>
      <c r="B993" s="51"/>
      <c r="E993" s="82"/>
      <c r="G993" s="182"/>
      <c r="H993" s="182"/>
    </row>
    <row r="994" spans="1:8" ht="15.75" customHeight="1">
      <c r="A994" s="51"/>
      <c r="B994" s="51"/>
      <c r="E994" s="82"/>
      <c r="G994" s="182"/>
      <c r="H994" s="182"/>
    </row>
    <row r="995" spans="1:8" ht="15.75" customHeight="1">
      <c r="A995" s="51"/>
      <c r="B995" s="51"/>
      <c r="E995" s="82"/>
      <c r="G995" s="182"/>
      <c r="H995" s="182"/>
    </row>
    <row r="996" spans="1:8" ht="15.75" customHeight="1">
      <c r="A996" s="51"/>
      <c r="B996" s="51"/>
      <c r="E996" s="82"/>
      <c r="G996" s="182"/>
      <c r="H996" s="182"/>
    </row>
    <row r="997" spans="1:8" ht="15.75" customHeight="1">
      <c r="A997" s="51"/>
      <c r="B997" s="51"/>
      <c r="E997" s="82"/>
      <c r="G997" s="182"/>
      <c r="H997" s="182"/>
    </row>
    <row r="998" spans="1:8" ht="15.75" customHeight="1">
      <c r="A998" s="51"/>
      <c r="B998" s="51"/>
      <c r="E998" s="82"/>
      <c r="G998" s="182"/>
      <c r="H998" s="182"/>
    </row>
    <row r="999" spans="1:8" ht="15.75" customHeight="1">
      <c r="A999" s="51"/>
      <c r="B999" s="51"/>
      <c r="E999" s="82"/>
      <c r="G999" s="182"/>
      <c r="H999" s="182"/>
    </row>
    <row r="1000" spans="1:8" ht="15.75" customHeight="1">
      <c r="A1000" s="51"/>
      <c r="B1000" s="51"/>
      <c r="E1000" s="82"/>
      <c r="G1000" s="182"/>
      <c r="H1000" s="182"/>
    </row>
  </sheetData>
  <autoFilter ref="A3:H324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6"/>
  <sheetViews>
    <sheetView workbookViewId="0">
      <pane xSplit="1" ySplit="2" topLeftCell="B762" activePane="bottomRight" state="frozen"/>
      <selection pane="topRight" activeCell="B1" sqref="B1"/>
      <selection pane="bottomLeft" activeCell="A3" sqref="A3"/>
      <selection pane="bottomRight" activeCell="A782" sqref="A782"/>
    </sheetView>
  </sheetViews>
  <sheetFormatPr defaultColWidth="14.42578125" defaultRowHeight="15" customHeight="1"/>
  <cols>
    <col min="1" max="1" width="22.5703125" customWidth="1"/>
    <col min="2" max="2" width="131" customWidth="1"/>
    <col min="3" max="26" width="8.7109375" customWidth="1"/>
  </cols>
  <sheetData>
    <row r="1" spans="1:2">
      <c r="A1" s="186" t="s">
        <v>3818</v>
      </c>
      <c r="B1" s="187"/>
    </row>
    <row r="2" spans="1:2">
      <c r="A2" s="188" t="s">
        <v>1399</v>
      </c>
      <c r="B2" s="77"/>
    </row>
    <row r="3" spans="1:2">
      <c r="A3" s="189" t="s">
        <v>3788</v>
      </c>
      <c r="B3" s="190" t="s">
        <v>36</v>
      </c>
    </row>
    <row r="4" spans="1:2">
      <c r="A4" s="191" t="s">
        <v>26</v>
      </c>
      <c r="B4" s="192" t="s">
        <v>3795</v>
      </c>
    </row>
    <row r="5" spans="1:2">
      <c r="A5" s="193" t="s">
        <v>1007</v>
      </c>
      <c r="B5" s="194" t="s">
        <v>1008</v>
      </c>
    </row>
    <row r="6" spans="1:2">
      <c r="A6" s="195" t="s">
        <v>1400</v>
      </c>
      <c r="B6" s="196" t="s">
        <v>1401</v>
      </c>
    </row>
    <row r="7" spans="1:2">
      <c r="A7" s="195" t="s">
        <v>1402</v>
      </c>
      <c r="B7" s="196" t="s">
        <v>1403</v>
      </c>
    </row>
    <row r="8" spans="1:2">
      <c r="A8" s="195" t="s">
        <v>1406</v>
      </c>
      <c r="B8" s="196" t="s">
        <v>1407</v>
      </c>
    </row>
    <row r="9" spans="1:2">
      <c r="A9" s="195" t="s">
        <v>1408</v>
      </c>
      <c r="B9" s="196" t="s">
        <v>1409</v>
      </c>
    </row>
    <row r="10" spans="1:2">
      <c r="A10" s="195" t="s">
        <v>1410</v>
      </c>
      <c r="B10" s="196" t="s">
        <v>1411</v>
      </c>
    </row>
    <row r="11" spans="1:2">
      <c r="A11" s="195" t="s">
        <v>1412</v>
      </c>
      <c r="B11" s="196" t="s">
        <v>1413</v>
      </c>
    </row>
    <row r="12" spans="1:2">
      <c r="A12" s="195" t="s">
        <v>1414</v>
      </c>
      <c r="B12" s="196" t="s">
        <v>1415</v>
      </c>
    </row>
    <row r="13" spans="1:2" ht="15.75" customHeight="1">
      <c r="A13" s="195" t="s">
        <v>1416</v>
      </c>
      <c r="B13" s="196" t="s">
        <v>1417</v>
      </c>
    </row>
    <row r="14" spans="1:2">
      <c r="A14" s="193" t="s">
        <v>1057</v>
      </c>
      <c r="B14" s="194" t="s">
        <v>1058</v>
      </c>
    </row>
    <row r="15" spans="1:2">
      <c r="A15" s="195" t="s">
        <v>1421</v>
      </c>
      <c r="B15" s="196" t="s">
        <v>1422</v>
      </c>
    </row>
    <row r="16" spans="1:2">
      <c r="A16" s="195" t="s">
        <v>1423</v>
      </c>
      <c r="B16" s="196" t="s">
        <v>1424</v>
      </c>
    </row>
    <row r="17" spans="1:2">
      <c r="A17" s="195" t="s">
        <v>1425</v>
      </c>
      <c r="B17" s="196" t="s">
        <v>1426</v>
      </c>
    </row>
    <row r="18" spans="1:2">
      <c r="A18" s="195" t="s">
        <v>1427</v>
      </c>
      <c r="B18" s="196" t="s">
        <v>1428</v>
      </c>
    </row>
    <row r="19" spans="1:2">
      <c r="A19" s="195" t="s">
        <v>1430</v>
      </c>
      <c r="B19" s="196" t="s">
        <v>1431</v>
      </c>
    </row>
    <row r="20" spans="1:2">
      <c r="A20" s="195" t="s">
        <v>1433</v>
      </c>
      <c r="B20" s="196" t="s">
        <v>1434</v>
      </c>
    </row>
    <row r="21" spans="1:2" ht="15.75" customHeight="1">
      <c r="A21" s="195" t="s">
        <v>1435</v>
      </c>
      <c r="B21" s="196" t="s">
        <v>1436</v>
      </c>
    </row>
    <row r="22" spans="1:2" ht="15.75" customHeight="1">
      <c r="A22" s="195" t="s">
        <v>1439</v>
      </c>
      <c r="B22" s="196" t="s">
        <v>1440</v>
      </c>
    </row>
    <row r="23" spans="1:2" ht="15.75" customHeight="1">
      <c r="A23" s="195" t="s">
        <v>1441</v>
      </c>
      <c r="B23" s="196" t="s">
        <v>1442</v>
      </c>
    </row>
    <row r="24" spans="1:2" ht="15.75" customHeight="1">
      <c r="A24" s="195" t="s">
        <v>1444</v>
      </c>
      <c r="B24" s="196" t="s">
        <v>1445</v>
      </c>
    </row>
    <row r="25" spans="1:2" ht="15.75" customHeight="1">
      <c r="A25" s="195" t="s">
        <v>1446</v>
      </c>
      <c r="B25" s="196" t="s">
        <v>1447</v>
      </c>
    </row>
    <row r="26" spans="1:2" ht="15.75" customHeight="1">
      <c r="A26" s="195" t="s">
        <v>1448</v>
      </c>
      <c r="B26" s="196" t="s">
        <v>1449</v>
      </c>
    </row>
    <row r="27" spans="1:2" ht="15.75" customHeight="1">
      <c r="A27" s="195" t="s">
        <v>1450</v>
      </c>
      <c r="B27" s="196" t="s">
        <v>1451</v>
      </c>
    </row>
    <row r="28" spans="1:2" ht="15.75" customHeight="1">
      <c r="A28" s="195" t="s">
        <v>1454</v>
      </c>
      <c r="B28" s="196" t="s">
        <v>1455</v>
      </c>
    </row>
    <row r="29" spans="1:2" ht="15.75" customHeight="1">
      <c r="A29" s="195" t="s">
        <v>1456</v>
      </c>
      <c r="B29" s="196" t="s">
        <v>1457</v>
      </c>
    </row>
    <row r="30" spans="1:2" ht="15.75" customHeight="1">
      <c r="A30" s="195" t="s">
        <v>1458</v>
      </c>
      <c r="B30" s="196" t="s">
        <v>1459</v>
      </c>
    </row>
    <row r="31" spans="1:2" ht="15.75" customHeight="1">
      <c r="A31" s="195" t="s">
        <v>1460</v>
      </c>
      <c r="B31" s="196" t="s">
        <v>1461</v>
      </c>
    </row>
    <row r="32" spans="1:2" ht="15.75" customHeight="1">
      <c r="A32" s="195" t="s">
        <v>1462</v>
      </c>
      <c r="B32" s="196" t="s">
        <v>1463</v>
      </c>
    </row>
    <row r="33" spans="1:2" ht="15.75" customHeight="1">
      <c r="A33" s="195" t="s">
        <v>1464</v>
      </c>
      <c r="B33" s="196" t="s">
        <v>1465</v>
      </c>
    </row>
    <row r="34" spans="1:2" ht="15.75" customHeight="1">
      <c r="A34" s="195" t="s">
        <v>1468</v>
      </c>
      <c r="B34" s="196" t="s">
        <v>1469</v>
      </c>
    </row>
    <row r="35" spans="1:2" ht="15.75" customHeight="1">
      <c r="A35" s="195" t="s">
        <v>1470</v>
      </c>
      <c r="B35" s="196" t="s">
        <v>1471</v>
      </c>
    </row>
    <row r="36" spans="1:2" ht="15.75" customHeight="1">
      <c r="A36" s="195" t="s">
        <v>1472</v>
      </c>
      <c r="B36" s="196" t="s">
        <v>1473</v>
      </c>
    </row>
    <row r="37" spans="1:2" ht="15.75" customHeight="1">
      <c r="A37" s="191" t="s">
        <v>33</v>
      </c>
      <c r="B37" s="192" t="s">
        <v>32</v>
      </c>
    </row>
    <row r="38" spans="1:2" ht="15.75" customHeight="1">
      <c r="A38" s="193" t="s">
        <v>1088</v>
      </c>
      <c r="B38" s="194" t="s">
        <v>1089</v>
      </c>
    </row>
    <row r="39" spans="1:2" ht="15.75" customHeight="1">
      <c r="A39" s="195" t="s">
        <v>1474</v>
      </c>
      <c r="B39" s="196" t="s">
        <v>1475</v>
      </c>
    </row>
    <row r="40" spans="1:2" ht="15.75" customHeight="1">
      <c r="A40" s="195" t="s">
        <v>1476</v>
      </c>
      <c r="B40" s="196" t="s">
        <v>1477</v>
      </c>
    </row>
    <row r="41" spans="1:2" ht="15.75" customHeight="1">
      <c r="A41" s="195" t="s">
        <v>1478</v>
      </c>
      <c r="B41" s="196" t="s">
        <v>1479</v>
      </c>
    </row>
    <row r="42" spans="1:2" ht="15.75" customHeight="1">
      <c r="A42" s="195" t="s">
        <v>1482</v>
      </c>
      <c r="B42" s="196" t="s">
        <v>1483</v>
      </c>
    </row>
    <row r="43" spans="1:2" ht="15.75" customHeight="1">
      <c r="A43" s="195" t="s">
        <v>1484</v>
      </c>
      <c r="B43" s="196" t="s">
        <v>1485</v>
      </c>
    </row>
    <row r="44" spans="1:2" ht="15.75" customHeight="1">
      <c r="A44" s="195" t="s">
        <v>1486</v>
      </c>
      <c r="B44" s="196" t="s">
        <v>1487</v>
      </c>
    </row>
    <row r="45" spans="1:2" ht="15.75" customHeight="1">
      <c r="A45" s="195" t="s">
        <v>1488</v>
      </c>
      <c r="B45" s="196" t="s">
        <v>1489</v>
      </c>
    </row>
    <row r="46" spans="1:2" ht="15.75" customHeight="1">
      <c r="A46" s="195" t="s">
        <v>1490</v>
      </c>
      <c r="B46" s="196" t="s">
        <v>1491</v>
      </c>
    </row>
    <row r="47" spans="1:2" ht="15.75" customHeight="1">
      <c r="A47" s="195" t="s">
        <v>1492</v>
      </c>
      <c r="B47" s="196" t="s">
        <v>1493</v>
      </c>
    </row>
    <row r="48" spans="1:2" ht="15.75" customHeight="1">
      <c r="A48" s="195" t="s">
        <v>1496</v>
      </c>
      <c r="B48" s="196" t="s">
        <v>1497</v>
      </c>
    </row>
    <row r="49" spans="1:2" ht="15.75" customHeight="1">
      <c r="A49" s="195" t="s">
        <v>1498</v>
      </c>
      <c r="B49" s="196" t="s">
        <v>1499</v>
      </c>
    </row>
    <row r="50" spans="1:2" ht="15.75" customHeight="1">
      <c r="A50" s="195" t="s">
        <v>1500</v>
      </c>
      <c r="B50" s="196" t="s">
        <v>1501</v>
      </c>
    </row>
    <row r="51" spans="1:2" ht="15.75" customHeight="1">
      <c r="A51" s="195" t="s">
        <v>1502</v>
      </c>
      <c r="B51" s="196" t="s">
        <v>1503</v>
      </c>
    </row>
    <row r="52" spans="1:2" ht="15.75" customHeight="1">
      <c r="A52" s="195" t="s">
        <v>1504</v>
      </c>
      <c r="B52" s="196" t="s">
        <v>1505</v>
      </c>
    </row>
    <row r="53" spans="1:2" ht="15.75" customHeight="1">
      <c r="A53" s="195" t="s">
        <v>1506</v>
      </c>
      <c r="B53" s="196" t="s">
        <v>1507</v>
      </c>
    </row>
    <row r="54" spans="1:2" ht="15.75" customHeight="1">
      <c r="A54" s="195" t="s">
        <v>1510</v>
      </c>
      <c r="B54" s="196" t="s">
        <v>1511</v>
      </c>
    </row>
    <row r="55" spans="1:2" ht="15.75" customHeight="1">
      <c r="A55" s="195" t="s">
        <v>1512</v>
      </c>
      <c r="B55" s="196" t="s">
        <v>1513</v>
      </c>
    </row>
    <row r="56" spans="1:2" ht="15.75" customHeight="1">
      <c r="A56" s="195" t="s">
        <v>1514</v>
      </c>
      <c r="B56" s="196" t="s">
        <v>1515</v>
      </c>
    </row>
    <row r="57" spans="1:2" ht="15.75" customHeight="1">
      <c r="A57" s="195" t="s">
        <v>1516</v>
      </c>
      <c r="B57" s="196" t="s">
        <v>1517</v>
      </c>
    </row>
    <row r="58" spans="1:2" ht="15.75" customHeight="1">
      <c r="A58" s="195" t="s">
        <v>1518</v>
      </c>
      <c r="B58" s="196" t="s">
        <v>1519</v>
      </c>
    </row>
    <row r="59" spans="1:2" ht="15.75" customHeight="1">
      <c r="A59" s="195" t="s">
        <v>1520</v>
      </c>
      <c r="B59" s="196" t="s">
        <v>1521</v>
      </c>
    </row>
    <row r="60" spans="1:2" ht="15.75" customHeight="1">
      <c r="A60" s="195" t="s">
        <v>1524</v>
      </c>
      <c r="B60" s="196" t="s">
        <v>1525</v>
      </c>
    </row>
    <row r="61" spans="1:2" ht="15.75" customHeight="1">
      <c r="A61" s="195" t="s">
        <v>1527</v>
      </c>
      <c r="B61" s="196" t="s">
        <v>1528</v>
      </c>
    </row>
    <row r="62" spans="1:2" ht="15.75" customHeight="1">
      <c r="A62" s="195" t="s">
        <v>1530</v>
      </c>
      <c r="B62" s="196" t="s">
        <v>1531</v>
      </c>
    </row>
    <row r="63" spans="1:2" ht="15.75" customHeight="1">
      <c r="A63" s="195" t="s">
        <v>1533</v>
      </c>
      <c r="B63" s="196" t="s">
        <v>1534</v>
      </c>
    </row>
    <row r="64" spans="1:2" ht="15.75" customHeight="1">
      <c r="A64" s="195" t="s">
        <v>1536</v>
      </c>
      <c r="B64" s="196" t="s">
        <v>1537</v>
      </c>
    </row>
    <row r="65" spans="1:2" ht="15.75" customHeight="1">
      <c r="A65" s="195" t="s">
        <v>1539</v>
      </c>
      <c r="B65" s="196" t="s">
        <v>1540</v>
      </c>
    </row>
    <row r="66" spans="1:2" ht="15.75" customHeight="1">
      <c r="A66" s="195" t="s">
        <v>1543</v>
      </c>
      <c r="B66" s="196" t="s">
        <v>1544</v>
      </c>
    </row>
    <row r="67" spans="1:2" ht="15.75" customHeight="1">
      <c r="A67" s="195" t="s">
        <v>1545</v>
      </c>
      <c r="B67" s="196" t="s">
        <v>1546</v>
      </c>
    </row>
    <row r="68" spans="1:2" ht="15.75" customHeight="1">
      <c r="A68" s="195" t="s">
        <v>1547</v>
      </c>
      <c r="B68" s="196" t="s">
        <v>1548</v>
      </c>
    </row>
    <row r="69" spans="1:2" ht="15.75" customHeight="1">
      <c r="A69" s="195" t="s">
        <v>1549</v>
      </c>
      <c r="B69" s="196" t="s">
        <v>1550</v>
      </c>
    </row>
    <row r="70" spans="1:2" ht="15.75" customHeight="1">
      <c r="A70" s="195" t="s">
        <v>1551</v>
      </c>
      <c r="B70" s="196" t="s">
        <v>1552</v>
      </c>
    </row>
    <row r="71" spans="1:2" ht="15.75" customHeight="1">
      <c r="A71" s="195" t="s">
        <v>1553</v>
      </c>
      <c r="B71" s="196" t="s">
        <v>1554</v>
      </c>
    </row>
    <row r="72" spans="1:2" ht="15.75" customHeight="1">
      <c r="A72" s="195" t="s">
        <v>1557</v>
      </c>
      <c r="B72" s="196" t="s">
        <v>1558</v>
      </c>
    </row>
    <row r="73" spans="1:2" ht="15.75" customHeight="1">
      <c r="A73" s="195" t="s">
        <v>1559</v>
      </c>
      <c r="B73" s="196" t="s">
        <v>1560</v>
      </c>
    </row>
    <row r="74" spans="1:2" ht="15.75" customHeight="1">
      <c r="A74" s="195" t="s">
        <v>1561</v>
      </c>
      <c r="B74" s="196" t="s">
        <v>1562</v>
      </c>
    </row>
    <row r="75" spans="1:2" ht="15.75" customHeight="1">
      <c r="A75" s="195" t="s">
        <v>1563</v>
      </c>
      <c r="B75" s="196" t="s">
        <v>1564</v>
      </c>
    </row>
    <row r="76" spans="1:2" ht="15.75" customHeight="1">
      <c r="A76" s="195" t="s">
        <v>1565</v>
      </c>
      <c r="B76" s="196" t="s">
        <v>1566</v>
      </c>
    </row>
    <row r="77" spans="1:2" ht="15.75" customHeight="1">
      <c r="A77" s="195" t="s">
        <v>1567</v>
      </c>
      <c r="B77" s="196" t="s">
        <v>1568</v>
      </c>
    </row>
    <row r="78" spans="1:2" ht="15.75" customHeight="1">
      <c r="A78" s="195" t="s">
        <v>1571</v>
      </c>
      <c r="B78" s="196" t="s">
        <v>1572</v>
      </c>
    </row>
    <row r="79" spans="1:2" ht="15.75" customHeight="1">
      <c r="A79" s="195" t="s">
        <v>1573</v>
      </c>
      <c r="B79" s="196" t="s">
        <v>1574</v>
      </c>
    </row>
    <row r="80" spans="1:2" ht="15.75" customHeight="1">
      <c r="A80" s="195" t="s">
        <v>1575</v>
      </c>
      <c r="B80" s="196" t="s">
        <v>1576</v>
      </c>
    </row>
    <row r="81" spans="1:2" ht="15.75" customHeight="1">
      <c r="A81" s="195" t="s">
        <v>1577</v>
      </c>
      <c r="B81" s="196" t="s">
        <v>1578</v>
      </c>
    </row>
    <row r="82" spans="1:2" ht="15.75" customHeight="1">
      <c r="A82" s="195" t="s">
        <v>1579</v>
      </c>
      <c r="B82" s="196" t="s">
        <v>1580</v>
      </c>
    </row>
    <row r="83" spans="1:2" ht="15.75" customHeight="1">
      <c r="A83" s="195" t="s">
        <v>1581</v>
      </c>
      <c r="B83" s="196" t="s">
        <v>1582</v>
      </c>
    </row>
    <row r="84" spans="1:2" ht="15.75" customHeight="1">
      <c r="A84" s="195" t="s">
        <v>1585</v>
      </c>
      <c r="B84" s="196" t="s">
        <v>1586</v>
      </c>
    </row>
    <row r="85" spans="1:2" ht="15.75" customHeight="1">
      <c r="A85" s="195" t="s">
        <v>1587</v>
      </c>
      <c r="B85" s="196" t="s">
        <v>1588</v>
      </c>
    </row>
    <row r="86" spans="1:2" ht="15.75" customHeight="1">
      <c r="A86" s="195" t="s">
        <v>1589</v>
      </c>
      <c r="B86" s="196" t="s">
        <v>1590</v>
      </c>
    </row>
    <row r="87" spans="1:2" ht="15.75" customHeight="1">
      <c r="A87" s="195" t="s">
        <v>1591</v>
      </c>
      <c r="B87" s="196" t="s">
        <v>1592</v>
      </c>
    </row>
    <row r="88" spans="1:2" ht="15.75" customHeight="1">
      <c r="A88" s="195" t="s">
        <v>1593</v>
      </c>
      <c r="B88" s="196" t="s">
        <v>1594</v>
      </c>
    </row>
    <row r="89" spans="1:2" ht="15.75" customHeight="1">
      <c r="A89" s="195" t="s">
        <v>1595</v>
      </c>
      <c r="B89" s="196" t="s">
        <v>1596</v>
      </c>
    </row>
    <row r="90" spans="1:2" ht="15.75" customHeight="1">
      <c r="A90" s="195" t="s">
        <v>1599</v>
      </c>
      <c r="B90" s="196" t="s">
        <v>1600</v>
      </c>
    </row>
    <row r="91" spans="1:2" ht="15.75" customHeight="1">
      <c r="A91" s="195" t="s">
        <v>1602</v>
      </c>
      <c r="B91" s="196" t="s">
        <v>1603</v>
      </c>
    </row>
    <row r="92" spans="1:2" ht="15.75" customHeight="1">
      <c r="A92" s="195" t="s">
        <v>1605</v>
      </c>
      <c r="B92" s="196" t="s">
        <v>1606</v>
      </c>
    </row>
    <row r="93" spans="1:2" ht="15.75" customHeight="1">
      <c r="A93" s="195" t="s">
        <v>1608</v>
      </c>
      <c r="B93" s="196" t="s">
        <v>1609</v>
      </c>
    </row>
    <row r="94" spans="1:2" ht="15.75" customHeight="1">
      <c r="A94" s="195" t="s">
        <v>1611</v>
      </c>
      <c r="B94" s="196" t="s">
        <v>1403</v>
      </c>
    </row>
    <row r="95" spans="1:2" ht="15.75" customHeight="1">
      <c r="A95" s="193" t="s">
        <v>1090</v>
      </c>
      <c r="B95" s="194" t="s">
        <v>1091</v>
      </c>
    </row>
    <row r="96" spans="1:2" ht="15.75" customHeight="1">
      <c r="A96" s="195" t="s">
        <v>1613</v>
      </c>
      <c r="B96" s="196" t="s">
        <v>1614</v>
      </c>
    </row>
    <row r="97" spans="1:2" ht="15.75" customHeight="1">
      <c r="A97" s="195" t="s">
        <v>1616</v>
      </c>
      <c r="B97" s="196" t="s">
        <v>1617</v>
      </c>
    </row>
    <row r="98" spans="1:2" ht="15.75" customHeight="1">
      <c r="A98" s="195" t="s">
        <v>1618</v>
      </c>
      <c r="B98" s="196" t="s">
        <v>1619</v>
      </c>
    </row>
    <row r="99" spans="1:2" ht="15.75" customHeight="1">
      <c r="A99" s="195" t="s">
        <v>1620</v>
      </c>
      <c r="B99" s="196" t="s">
        <v>1621</v>
      </c>
    </row>
    <row r="100" spans="1:2" ht="15.75" customHeight="1">
      <c r="A100" s="195" t="s">
        <v>1622</v>
      </c>
      <c r="B100" s="196" t="s">
        <v>1623</v>
      </c>
    </row>
    <row r="101" spans="1:2" ht="15.75" customHeight="1">
      <c r="A101" s="195" t="s">
        <v>1624</v>
      </c>
      <c r="B101" s="196" t="s">
        <v>1625</v>
      </c>
    </row>
    <row r="102" spans="1:2" ht="15.75" customHeight="1">
      <c r="A102" s="195" t="s">
        <v>1626</v>
      </c>
      <c r="B102" s="196" t="s">
        <v>1627</v>
      </c>
    </row>
    <row r="103" spans="1:2" ht="15.75" customHeight="1">
      <c r="A103" s="195" t="s">
        <v>1629</v>
      </c>
      <c r="B103" s="196" t="s">
        <v>1630</v>
      </c>
    </row>
    <row r="104" spans="1:2" ht="15.75" customHeight="1">
      <c r="A104" s="195" t="s">
        <v>1631</v>
      </c>
      <c r="B104" s="196" t="s">
        <v>1632</v>
      </c>
    </row>
    <row r="105" spans="1:2" ht="15.75" customHeight="1">
      <c r="A105" s="195" t="s">
        <v>1633</v>
      </c>
      <c r="B105" s="196" t="s">
        <v>1634</v>
      </c>
    </row>
    <row r="106" spans="1:2" ht="15.75" customHeight="1">
      <c r="A106" s="195" t="s">
        <v>1635</v>
      </c>
      <c r="B106" s="196" t="s">
        <v>1636</v>
      </c>
    </row>
    <row r="107" spans="1:2" ht="15.75" customHeight="1">
      <c r="A107" s="195" t="s">
        <v>1637</v>
      </c>
      <c r="B107" s="196" t="s">
        <v>1638</v>
      </c>
    </row>
    <row r="108" spans="1:2" ht="15.75" customHeight="1">
      <c r="A108" s="195" t="s">
        <v>1639</v>
      </c>
      <c r="B108" s="196" t="s">
        <v>1640</v>
      </c>
    </row>
    <row r="109" spans="1:2" ht="15.75" customHeight="1">
      <c r="A109" s="195" t="s">
        <v>1642</v>
      </c>
      <c r="B109" s="196" t="s">
        <v>1643</v>
      </c>
    </row>
    <row r="110" spans="1:2" ht="15.75" customHeight="1">
      <c r="A110" s="195" t="s">
        <v>1644</v>
      </c>
      <c r="B110" s="196" t="s">
        <v>1645</v>
      </c>
    </row>
    <row r="111" spans="1:2" ht="15.75" customHeight="1">
      <c r="A111" s="195" t="s">
        <v>1646</v>
      </c>
      <c r="B111" s="196" t="s">
        <v>1647</v>
      </c>
    </row>
    <row r="112" spans="1:2" ht="15.75" customHeight="1">
      <c r="A112" s="195" t="s">
        <v>1648</v>
      </c>
      <c r="B112" s="196" t="s">
        <v>1649</v>
      </c>
    </row>
    <row r="113" spans="1:2" ht="15.75" customHeight="1">
      <c r="A113" s="195" t="s">
        <v>1650</v>
      </c>
      <c r="B113" s="196" t="s">
        <v>1651</v>
      </c>
    </row>
    <row r="114" spans="1:2" ht="15.75" customHeight="1">
      <c r="A114" s="195" t="s">
        <v>1652</v>
      </c>
      <c r="B114" s="196" t="s">
        <v>1653</v>
      </c>
    </row>
    <row r="115" spans="1:2" ht="15.75" customHeight="1">
      <c r="A115" s="195" t="s">
        <v>1655</v>
      </c>
      <c r="B115" s="196" t="s">
        <v>1656</v>
      </c>
    </row>
    <row r="116" spans="1:2" ht="15.75" customHeight="1">
      <c r="A116" s="195" t="s">
        <v>1657</v>
      </c>
      <c r="B116" s="196" t="s">
        <v>1658</v>
      </c>
    </row>
    <row r="117" spans="1:2" ht="15.75" customHeight="1">
      <c r="A117" s="195" t="s">
        <v>1659</v>
      </c>
      <c r="B117" s="196" t="s">
        <v>1660</v>
      </c>
    </row>
    <row r="118" spans="1:2" ht="15.75" customHeight="1">
      <c r="A118" s="195" t="s">
        <v>1661</v>
      </c>
      <c r="B118" s="196" t="s">
        <v>1662</v>
      </c>
    </row>
    <row r="119" spans="1:2" ht="15.75" customHeight="1">
      <c r="A119" s="195" t="s">
        <v>1663</v>
      </c>
      <c r="B119" s="196" t="s">
        <v>1664</v>
      </c>
    </row>
    <row r="120" spans="1:2" ht="15.75" customHeight="1">
      <c r="A120" s="195" t="s">
        <v>1665</v>
      </c>
      <c r="B120" s="196" t="s">
        <v>1666</v>
      </c>
    </row>
    <row r="121" spans="1:2" ht="15.75" customHeight="1">
      <c r="A121" s="195" t="s">
        <v>1668</v>
      </c>
      <c r="B121" s="196" t="s">
        <v>1669</v>
      </c>
    </row>
    <row r="122" spans="1:2" ht="15.75" customHeight="1">
      <c r="A122" s="195" t="s">
        <v>1670</v>
      </c>
      <c r="B122" s="196" t="s">
        <v>1671</v>
      </c>
    </row>
    <row r="123" spans="1:2" ht="15.75" customHeight="1">
      <c r="A123" s="195" t="s">
        <v>1672</v>
      </c>
      <c r="B123" s="196" t="s">
        <v>1673</v>
      </c>
    </row>
    <row r="124" spans="1:2" ht="15.75" customHeight="1">
      <c r="A124" s="195" t="s">
        <v>1674</v>
      </c>
      <c r="B124" s="196" t="s">
        <v>1675</v>
      </c>
    </row>
    <row r="125" spans="1:2" ht="15.75" customHeight="1">
      <c r="A125" s="195" t="s">
        <v>1676</v>
      </c>
      <c r="B125" s="196" t="s">
        <v>1677</v>
      </c>
    </row>
    <row r="126" spans="1:2" ht="15.75" customHeight="1">
      <c r="A126" s="195" t="s">
        <v>1678</v>
      </c>
      <c r="B126" s="196" t="s">
        <v>1679</v>
      </c>
    </row>
    <row r="127" spans="1:2" ht="15.75" customHeight="1">
      <c r="A127" s="195" t="s">
        <v>1681</v>
      </c>
      <c r="B127" s="196" t="s">
        <v>1682</v>
      </c>
    </row>
    <row r="128" spans="1:2" ht="15.75" customHeight="1">
      <c r="A128" s="195" t="s">
        <v>1683</v>
      </c>
      <c r="B128" s="196" t="s">
        <v>1684</v>
      </c>
    </row>
    <row r="129" spans="1:2" ht="15.75" customHeight="1">
      <c r="A129" s="195" t="s">
        <v>1685</v>
      </c>
      <c r="B129" s="196" t="s">
        <v>1686</v>
      </c>
    </row>
    <row r="130" spans="1:2" ht="15.75" customHeight="1">
      <c r="A130" s="195" t="s">
        <v>1687</v>
      </c>
      <c r="B130" s="196" t="s">
        <v>1688</v>
      </c>
    </row>
    <row r="131" spans="1:2" ht="15.75" customHeight="1">
      <c r="A131" s="195" t="s">
        <v>1689</v>
      </c>
      <c r="B131" s="196" t="s">
        <v>1690</v>
      </c>
    </row>
    <row r="132" spans="1:2" ht="15.75" customHeight="1">
      <c r="A132" s="195" t="s">
        <v>1691</v>
      </c>
      <c r="B132" s="196" t="s">
        <v>1692</v>
      </c>
    </row>
    <row r="133" spans="1:2" ht="15.75" customHeight="1">
      <c r="A133" s="195" t="s">
        <v>1696</v>
      </c>
      <c r="B133" s="196" t="s">
        <v>1697</v>
      </c>
    </row>
    <row r="134" spans="1:2" ht="15.75" customHeight="1">
      <c r="A134" s="195" t="s">
        <v>1698</v>
      </c>
      <c r="B134" s="196" t="s">
        <v>1699</v>
      </c>
    </row>
    <row r="135" spans="1:2" ht="15.75" customHeight="1">
      <c r="A135" s="195" t="s">
        <v>1700</v>
      </c>
      <c r="B135" s="196" t="s">
        <v>1701</v>
      </c>
    </row>
    <row r="136" spans="1:2" ht="15.75" customHeight="1">
      <c r="A136" s="195" t="s">
        <v>1702</v>
      </c>
      <c r="B136" s="196" t="s">
        <v>1703</v>
      </c>
    </row>
    <row r="137" spans="1:2" ht="15.75" customHeight="1">
      <c r="A137" s="195" t="s">
        <v>1704</v>
      </c>
      <c r="B137" s="196" t="s">
        <v>1705</v>
      </c>
    </row>
    <row r="138" spans="1:2" ht="15.75" customHeight="1">
      <c r="A138" s="195" t="s">
        <v>1706</v>
      </c>
      <c r="B138" s="196" t="s">
        <v>1707</v>
      </c>
    </row>
    <row r="139" spans="1:2" ht="15.75" customHeight="1">
      <c r="A139" s="195" t="s">
        <v>1708</v>
      </c>
      <c r="B139" s="196" t="s">
        <v>1709</v>
      </c>
    </row>
    <row r="140" spans="1:2" ht="15.75" customHeight="1">
      <c r="A140" s="195" t="s">
        <v>1710</v>
      </c>
      <c r="B140" s="196" t="s">
        <v>1711</v>
      </c>
    </row>
    <row r="141" spans="1:2" ht="15.75" customHeight="1">
      <c r="A141" s="195" t="s">
        <v>1715</v>
      </c>
      <c r="B141" s="196" t="s">
        <v>1716</v>
      </c>
    </row>
    <row r="142" spans="1:2" ht="15.75" customHeight="1">
      <c r="A142" s="195" t="s">
        <v>1717</v>
      </c>
      <c r="B142" s="196" t="s">
        <v>1718</v>
      </c>
    </row>
    <row r="143" spans="1:2" ht="15.75" customHeight="1">
      <c r="A143" s="195" t="s">
        <v>1719</v>
      </c>
      <c r="B143" s="196" t="s">
        <v>1720</v>
      </c>
    </row>
    <row r="144" spans="1:2" ht="15.75" customHeight="1">
      <c r="A144" s="195" t="s">
        <v>1721</v>
      </c>
      <c r="B144" s="196" t="s">
        <v>1722</v>
      </c>
    </row>
    <row r="145" spans="1:2" ht="15.75" customHeight="1">
      <c r="A145" s="195" t="s">
        <v>1723</v>
      </c>
      <c r="B145" s="196" t="s">
        <v>1724</v>
      </c>
    </row>
    <row r="146" spans="1:2" ht="15.75" customHeight="1">
      <c r="A146" s="195" t="s">
        <v>1725</v>
      </c>
      <c r="B146" s="196" t="s">
        <v>1726</v>
      </c>
    </row>
    <row r="147" spans="1:2" ht="15.75" customHeight="1">
      <c r="A147" s="195" t="s">
        <v>1727</v>
      </c>
      <c r="B147" s="196" t="s">
        <v>1728</v>
      </c>
    </row>
    <row r="148" spans="1:2" ht="15.75" customHeight="1">
      <c r="A148" s="195" t="s">
        <v>1729</v>
      </c>
      <c r="B148" s="196" t="s">
        <v>1730</v>
      </c>
    </row>
    <row r="149" spans="1:2" ht="15.75" customHeight="1">
      <c r="A149" s="195" t="s">
        <v>1733</v>
      </c>
      <c r="B149" s="196" t="s">
        <v>1734</v>
      </c>
    </row>
    <row r="150" spans="1:2" ht="15.75" customHeight="1">
      <c r="A150" s="195" t="s">
        <v>1735</v>
      </c>
      <c r="B150" s="196" t="s">
        <v>1736</v>
      </c>
    </row>
    <row r="151" spans="1:2" ht="15.75" customHeight="1">
      <c r="A151" s="195" t="s">
        <v>1737</v>
      </c>
      <c r="B151" s="196" t="s">
        <v>1738</v>
      </c>
    </row>
    <row r="152" spans="1:2" ht="15.75" customHeight="1">
      <c r="A152" s="195" t="s">
        <v>1739</v>
      </c>
      <c r="B152" s="196" t="s">
        <v>1740</v>
      </c>
    </row>
    <row r="153" spans="1:2" ht="15.75" customHeight="1">
      <c r="A153" s="195" t="s">
        <v>1741</v>
      </c>
      <c r="B153" s="196" t="s">
        <v>1742</v>
      </c>
    </row>
    <row r="154" spans="1:2" ht="15.75" customHeight="1">
      <c r="A154" s="195" t="s">
        <v>1743</v>
      </c>
      <c r="B154" s="196" t="s">
        <v>1744</v>
      </c>
    </row>
    <row r="155" spans="1:2" ht="15.75" customHeight="1">
      <c r="A155" s="195" t="s">
        <v>1745</v>
      </c>
      <c r="B155" s="196" t="s">
        <v>1746</v>
      </c>
    </row>
    <row r="156" spans="1:2" ht="15.75" customHeight="1">
      <c r="A156" s="195" t="s">
        <v>1747</v>
      </c>
      <c r="B156" s="196" t="s">
        <v>1748</v>
      </c>
    </row>
    <row r="157" spans="1:2" ht="15.75" customHeight="1">
      <c r="A157" s="195" t="s">
        <v>1753</v>
      </c>
      <c r="B157" s="196" t="s">
        <v>1546</v>
      </c>
    </row>
    <row r="158" spans="1:2" ht="15.75" customHeight="1">
      <c r="A158" s="195" t="s">
        <v>1754</v>
      </c>
      <c r="B158" s="196" t="s">
        <v>1755</v>
      </c>
    </row>
    <row r="159" spans="1:2" ht="15.75" customHeight="1">
      <c r="A159" s="195" t="s">
        <v>1756</v>
      </c>
      <c r="B159" s="196" t="s">
        <v>1757</v>
      </c>
    </row>
    <row r="160" spans="1:2" ht="15.75" customHeight="1">
      <c r="A160" s="195" t="s">
        <v>1758</v>
      </c>
      <c r="B160" s="196" t="s">
        <v>1759</v>
      </c>
    </row>
    <row r="161" spans="1:2" ht="15.75" customHeight="1">
      <c r="A161" s="195" t="s">
        <v>1760</v>
      </c>
      <c r="B161" s="196" t="s">
        <v>1761</v>
      </c>
    </row>
    <row r="162" spans="1:2" ht="15.75" customHeight="1">
      <c r="A162" s="195" t="s">
        <v>1762</v>
      </c>
      <c r="B162" s="196" t="s">
        <v>1763</v>
      </c>
    </row>
    <row r="163" spans="1:2" ht="15.75" customHeight="1">
      <c r="A163" s="195" t="s">
        <v>1764</v>
      </c>
      <c r="B163" s="196" t="s">
        <v>1765</v>
      </c>
    </row>
    <row r="164" spans="1:2" ht="15.75" customHeight="1">
      <c r="A164" s="195" t="s">
        <v>1766</v>
      </c>
      <c r="B164" s="196" t="s">
        <v>1767</v>
      </c>
    </row>
    <row r="165" spans="1:2" ht="15.75" customHeight="1">
      <c r="A165" s="195" t="s">
        <v>1771</v>
      </c>
      <c r="B165" s="196" t="s">
        <v>1772</v>
      </c>
    </row>
    <row r="166" spans="1:2" ht="15.75" customHeight="1">
      <c r="A166" s="195" t="s">
        <v>1773</v>
      </c>
      <c r="B166" s="196" t="s">
        <v>1774</v>
      </c>
    </row>
    <row r="167" spans="1:2" ht="15.75" customHeight="1">
      <c r="A167" s="195" t="s">
        <v>1775</v>
      </c>
      <c r="B167" s="196" t="s">
        <v>1776</v>
      </c>
    </row>
    <row r="168" spans="1:2" ht="15.75" customHeight="1">
      <c r="A168" s="195" t="s">
        <v>1777</v>
      </c>
      <c r="B168" s="196" t="s">
        <v>1778</v>
      </c>
    </row>
    <row r="169" spans="1:2" ht="15.75" customHeight="1">
      <c r="A169" s="195" t="s">
        <v>1779</v>
      </c>
      <c r="B169" s="196" t="s">
        <v>1780</v>
      </c>
    </row>
    <row r="170" spans="1:2" ht="15.75" customHeight="1">
      <c r="A170" s="195" t="s">
        <v>1781</v>
      </c>
      <c r="B170" s="196" t="s">
        <v>1782</v>
      </c>
    </row>
    <row r="171" spans="1:2" ht="15.75" customHeight="1">
      <c r="A171" s="195" t="s">
        <v>1783</v>
      </c>
      <c r="B171" s="196" t="s">
        <v>1784</v>
      </c>
    </row>
    <row r="172" spans="1:2" ht="15.75" customHeight="1">
      <c r="A172" s="195" t="s">
        <v>1785</v>
      </c>
      <c r="B172" s="196" t="s">
        <v>1786</v>
      </c>
    </row>
    <row r="173" spans="1:2" ht="15.75" customHeight="1">
      <c r="A173" s="195" t="s">
        <v>1790</v>
      </c>
      <c r="B173" s="196" t="s">
        <v>1791</v>
      </c>
    </row>
    <row r="174" spans="1:2" ht="15.75" customHeight="1">
      <c r="A174" s="195" t="s">
        <v>1792</v>
      </c>
      <c r="B174" s="196" t="s">
        <v>1793</v>
      </c>
    </row>
    <row r="175" spans="1:2" ht="15.75" customHeight="1">
      <c r="A175" s="195" t="s">
        <v>1796</v>
      </c>
      <c r="B175" s="196" t="s">
        <v>1797</v>
      </c>
    </row>
    <row r="176" spans="1:2" ht="15.75" customHeight="1">
      <c r="A176" s="195" t="s">
        <v>1798</v>
      </c>
      <c r="B176" s="196" t="s">
        <v>1799</v>
      </c>
    </row>
    <row r="177" spans="1:2" ht="15.75" customHeight="1">
      <c r="A177" s="195" t="s">
        <v>1800</v>
      </c>
      <c r="B177" s="196" t="s">
        <v>1801</v>
      </c>
    </row>
    <row r="178" spans="1:2" ht="15.75" customHeight="1">
      <c r="A178" s="195" t="s">
        <v>1802</v>
      </c>
      <c r="B178" s="196" t="s">
        <v>1803</v>
      </c>
    </row>
    <row r="179" spans="1:2" ht="15.75" customHeight="1">
      <c r="A179" s="195" t="s">
        <v>1804</v>
      </c>
      <c r="B179" s="196" t="s">
        <v>1805</v>
      </c>
    </row>
    <row r="180" spans="1:2" ht="15.75" customHeight="1">
      <c r="A180" s="195" t="s">
        <v>1806</v>
      </c>
      <c r="B180" s="196" t="s">
        <v>1807</v>
      </c>
    </row>
    <row r="181" spans="1:2" ht="15.75" customHeight="1">
      <c r="A181" s="195" t="s">
        <v>1808</v>
      </c>
      <c r="B181" s="196" t="s">
        <v>1809</v>
      </c>
    </row>
    <row r="182" spans="1:2" ht="15.75" customHeight="1">
      <c r="A182" s="195" t="s">
        <v>1810</v>
      </c>
      <c r="B182" s="196" t="s">
        <v>1811</v>
      </c>
    </row>
    <row r="183" spans="1:2" ht="15.75" customHeight="1">
      <c r="A183" s="195" t="s">
        <v>1812</v>
      </c>
      <c r="B183" s="196" t="s">
        <v>1813</v>
      </c>
    </row>
    <row r="184" spans="1:2" ht="15.75" customHeight="1">
      <c r="A184" s="195" t="s">
        <v>1814</v>
      </c>
      <c r="B184" s="196" t="s">
        <v>1815</v>
      </c>
    </row>
    <row r="185" spans="1:2" ht="15.75" customHeight="1">
      <c r="A185" s="195" t="s">
        <v>1817</v>
      </c>
      <c r="B185" s="196" t="s">
        <v>1818</v>
      </c>
    </row>
    <row r="186" spans="1:2" ht="15.75" customHeight="1">
      <c r="A186" s="195" t="s">
        <v>1819</v>
      </c>
      <c r="B186" s="196" t="s">
        <v>1820</v>
      </c>
    </row>
    <row r="187" spans="1:2" ht="15.75" customHeight="1">
      <c r="A187" s="195" t="s">
        <v>1821</v>
      </c>
      <c r="B187" s="196" t="s">
        <v>1822</v>
      </c>
    </row>
    <row r="188" spans="1:2" ht="15.75" customHeight="1">
      <c r="A188" s="195" t="s">
        <v>1823</v>
      </c>
      <c r="B188" s="196" t="s">
        <v>1824</v>
      </c>
    </row>
    <row r="189" spans="1:2" ht="15.75" customHeight="1">
      <c r="A189" s="195" t="s">
        <v>1825</v>
      </c>
      <c r="B189" s="196" t="s">
        <v>1826</v>
      </c>
    </row>
    <row r="190" spans="1:2" ht="15.75" customHeight="1">
      <c r="A190" s="195" t="s">
        <v>1827</v>
      </c>
      <c r="B190" s="196" t="s">
        <v>1828</v>
      </c>
    </row>
    <row r="191" spans="1:2" ht="15.75" customHeight="1">
      <c r="A191" s="195" t="s">
        <v>1829</v>
      </c>
      <c r="B191" s="196" t="s">
        <v>1830</v>
      </c>
    </row>
    <row r="192" spans="1:2" ht="15.75" customHeight="1">
      <c r="A192" s="195" t="s">
        <v>1831</v>
      </c>
      <c r="B192" s="196" t="s">
        <v>1832</v>
      </c>
    </row>
    <row r="193" spans="1:2" ht="15.75" customHeight="1">
      <c r="A193" s="195" t="s">
        <v>1833</v>
      </c>
      <c r="B193" s="196" t="s">
        <v>1834</v>
      </c>
    </row>
    <row r="194" spans="1:2" ht="15.75" customHeight="1">
      <c r="A194" s="195" t="s">
        <v>1835</v>
      </c>
      <c r="B194" s="196" t="s">
        <v>1836</v>
      </c>
    </row>
    <row r="195" spans="1:2" ht="15.75" customHeight="1">
      <c r="A195" s="195" t="s">
        <v>1839</v>
      </c>
      <c r="B195" s="196" t="s">
        <v>1840</v>
      </c>
    </row>
    <row r="196" spans="1:2" ht="15.75" customHeight="1">
      <c r="A196" s="195" t="s">
        <v>1841</v>
      </c>
      <c r="B196" s="196" t="s">
        <v>1842</v>
      </c>
    </row>
    <row r="197" spans="1:2" ht="15.75" customHeight="1">
      <c r="A197" s="195" t="s">
        <v>1843</v>
      </c>
      <c r="B197" s="196" t="s">
        <v>1844</v>
      </c>
    </row>
    <row r="198" spans="1:2" ht="15.75" customHeight="1">
      <c r="A198" s="195" t="s">
        <v>1845</v>
      </c>
      <c r="B198" s="196" t="s">
        <v>1846</v>
      </c>
    </row>
    <row r="199" spans="1:2" ht="15.75" customHeight="1">
      <c r="A199" s="195" t="s">
        <v>1847</v>
      </c>
      <c r="B199" s="196" t="s">
        <v>1848</v>
      </c>
    </row>
    <row r="200" spans="1:2" ht="15.75" customHeight="1">
      <c r="A200" s="195" t="s">
        <v>1849</v>
      </c>
      <c r="B200" s="196" t="s">
        <v>1850</v>
      </c>
    </row>
    <row r="201" spans="1:2" ht="15.75" customHeight="1">
      <c r="A201" s="195" t="s">
        <v>1851</v>
      </c>
      <c r="B201" s="196" t="s">
        <v>1852</v>
      </c>
    </row>
    <row r="202" spans="1:2" ht="15.75" customHeight="1">
      <c r="A202" s="195" t="s">
        <v>1853</v>
      </c>
      <c r="B202" s="196" t="s">
        <v>1854</v>
      </c>
    </row>
    <row r="203" spans="1:2" ht="15.75" customHeight="1">
      <c r="A203" s="195" t="s">
        <v>1855</v>
      </c>
      <c r="B203" s="196" t="s">
        <v>1856</v>
      </c>
    </row>
    <row r="204" spans="1:2" ht="15.75" customHeight="1">
      <c r="A204" s="195" t="s">
        <v>1857</v>
      </c>
      <c r="B204" s="196" t="s">
        <v>1858</v>
      </c>
    </row>
    <row r="205" spans="1:2" ht="15.75" customHeight="1">
      <c r="A205" s="195" t="s">
        <v>1859</v>
      </c>
      <c r="B205" s="196" t="s">
        <v>1860</v>
      </c>
    </row>
    <row r="206" spans="1:2" ht="15.75" customHeight="1">
      <c r="A206" s="195" t="s">
        <v>1861</v>
      </c>
      <c r="B206" s="196" t="s">
        <v>1862</v>
      </c>
    </row>
    <row r="207" spans="1:2" ht="15.75" customHeight="1">
      <c r="A207" s="195" t="s">
        <v>1863</v>
      </c>
      <c r="B207" s="196" t="s">
        <v>1864</v>
      </c>
    </row>
    <row r="208" spans="1:2" ht="15.75" customHeight="1">
      <c r="A208" s="195" t="s">
        <v>1865</v>
      </c>
      <c r="B208" s="196" t="s">
        <v>1866</v>
      </c>
    </row>
    <row r="209" spans="1:2" ht="15.75" customHeight="1">
      <c r="A209" s="195" t="s">
        <v>1867</v>
      </c>
      <c r="B209" s="196" t="s">
        <v>1868</v>
      </c>
    </row>
    <row r="210" spans="1:2" ht="15.75" customHeight="1">
      <c r="A210" s="195" t="s">
        <v>1869</v>
      </c>
      <c r="B210" s="196" t="s">
        <v>1870</v>
      </c>
    </row>
    <row r="211" spans="1:2" ht="15.75" customHeight="1">
      <c r="A211" s="195" t="s">
        <v>1871</v>
      </c>
      <c r="B211" s="196" t="s">
        <v>1872</v>
      </c>
    </row>
    <row r="212" spans="1:2" ht="15.75" customHeight="1">
      <c r="A212" s="195" t="s">
        <v>1873</v>
      </c>
      <c r="B212" s="196" t="s">
        <v>1874</v>
      </c>
    </row>
    <row r="213" spans="1:2" ht="15.75" customHeight="1">
      <c r="A213" s="195" t="s">
        <v>1875</v>
      </c>
      <c r="B213" s="196" t="s">
        <v>1876</v>
      </c>
    </row>
    <row r="214" spans="1:2" ht="15.75" customHeight="1">
      <c r="A214" s="195" t="s">
        <v>1877</v>
      </c>
      <c r="B214" s="196" t="s">
        <v>1878</v>
      </c>
    </row>
    <row r="215" spans="1:2" ht="15.75" customHeight="1">
      <c r="A215" s="195" t="s">
        <v>1879</v>
      </c>
      <c r="B215" s="196" t="s">
        <v>1880</v>
      </c>
    </row>
    <row r="216" spans="1:2" ht="15.75" customHeight="1">
      <c r="A216" s="195" t="s">
        <v>1881</v>
      </c>
      <c r="B216" s="196" t="s">
        <v>1882</v>
      </c>
    </row>
    <row r="217" spans="1:2" ht="15.75" customHeight="1">
      <c r="A217" s="195" t="s">
        <v>1883</v>
      </c>
      <c r="B217" s="196" t="s">
        <v>1884</v>
      </c>
    </row>
    <row r="218" spans="1:2" ht="15.75" customHeight="1">
      <c r="A218" s="195" t="s">
        <v>1885</v>
      </c>
      <c r="B218" s="196" t="s">
        <v>1886</v>
      </c>
    </row>
    <row r="219" spans="1:2" ht="15.75" customHeight="1">
      <c r="A219" s="195" t="s">
        <v>1891</v>
      </c>
      <c r="B219" s="196" t="s">
        <v>1892</v>
      </c>
    </row>
    <row r="220" spans="1:2" ht="15.75" customHeight="1">
      <c r="A220" s="195" t="s">
        <v>1893</v>
      </c>
      <c r="B220" s="196" t="s">
        <v>1894</v>
      </c>
    </row>
    <row r="221" spans="1:2" ht="15.75" customHeight="1">
      <c r="A221" s="193" t="s">
        <v>1092</v>
      </c>
      <c r="B221" s="194" t="s">
        <v>1093</v>
      </c>
    </row>
    <row r="222" spans="1:2" ht="15.75" customHeight="1">
      <c r="A222" s="195" t="s">
        <v>1895</v>
      </c>
      <c r="B222" s="196" t="s">
        <v>1896</v>
      </c>
    </row>
    <row r="223" spans="1:2" ht="15.75" customHeight="1">
      <c r="A223" s="195" t="s">
        <v>1897</v>
      </c>
      <c r="B223" s="196" t="s">
        <v>1898</v>
      </c>
    </row>
    <row r="224" spans="1:2" ht="15.75" customHeight="1">
      <c r="A224" s="195" t="s">
        <v>1899</v>
      </c>
      <c r="B224" s="196" t="s">
        <v>1900</v>
      </c>
    </row>
    <row r="225" spans="1:2" ht="15.75" customHeight="1">
      <c r="A225" s="195" t="s">
        <v>1901</v>
      </c>
      <c r="B225" s="196" t="s">
        <v>1902</v>
      </c>
    </row>
    <row r="226" spans="1:2" ht="15.75" customHeight="1">
      <c r="A226" s="195" t="s">
        <v>1903</v>
      </c>
      <c r="B226" s="196" t="s">
        <v>1904</v>
      </c>
    </row>
    <row r="227" spans="1:2" ht="15.75" customHeight="1">
      <c r="A227" s="195" t="s">
        <v>1905</v>
      </c>
      <c r="B227" s="196" t="s">
        <v>1906</v>
      </c>
    </row>
    <row r="228" spans="1:2" ht="15.75" customHeight="1">
      <c r="A228" s="195" t="s">
        <v>1749</v>
      </c>
      <c r="B228" s="196" t="s">
        <v>1752</v>
      </c>
    </row>
    <row r="229" spans="1:2" ht="15.75" customHeight="1">
      <c r="A229" s="195" t="s">
        <v>1909</v>
      </c>
      <c r="B229" s="196" t="s">
        <v>1910</v>
      </c>
    </row>
    <row r="230" spans="1:2" ht="15.75" customHeight="1">
      <c r="A230" s="195" t="s">
        <v>1911</v>
      </c>
      <c r="B230" s="196" t="s">
        <v>1912</v>
      </c>
    </row>
    <row r="231" spans="1:2" ht="15.75" customHeight="1">
      <c r="A231" s="195" t="s">
        <v>1913</v>
      </c>
      <c r="B231" s="196" t="s">
        <v>1914</v>
      </c>
    </row>
    <row r="232" spans="1:2" ht="15.75" customHeight="1">
      <c r="A232" s="195" t="s">
        <v>1915</v>
      </c>
      <c r="B232" s="196" t="s">
        <v>1916</v>
      </c>
    </row>
    <row r="233" spans="1:2" ht="15.75" customHeight="1">
      <c r="A233" s="195" t="s">
        <v>1917</v>
      </c>
      <c r="B233" s="196" t="s">
        <v>1918</v>
      </c>
    </row>
    <row r="234" spans="1:2" ht="15.75" customHeight="1">
      <c r="A234" s="195" t="s">
        <v>1919</v>
      </c>
      <c r="B234" s="196" t="s">
        <v>1920</v>
      </c>
    </row>
    <row r="235" spans="1:2" ht="15.75" customHeight="1">
      <c r="A235" s="195" t="s">
        <v>1921</v>
      </c>
      <c r="B235" s="196" t="s">
        <v>1922</v>
      </c>
    </row>
    <row r="236" spans="1:2" ht="15.75" customHeight="1">
      <c r="A236" s="195" t="s">
        <v>1924</v>
      </c>
      <c r="B236" s="196" t="s">
        <v>1925</v>
      </c>
    </row>
    <row r="237" spans="1:2" ht="15.75" customHeight="1">
      <c r="A237" s="195" t="s">
        <v>1926</v>
      </c>
      <c r="B237" s="196" t="s">
        <v>1927</v>
      </c>
    </row>
    <row r="238" spans="1:2" ht="15.75" customHeight="1">
      <c r="A238" s="195" t="s">
        <v>1928</v>
      </c>
      <c r="B238" s="196" t="s">
        <v>1929</v>
      </c>
    </row>
    <row r="239" spans="1:2" ht="15.75" customHeight="1">
      <c r="A239" s="195" t="s">
        <v>1930</v>
      </c>
      <c r="B239" s="196" t="s">
        <v>1931</v>
      </c>
    </row>
    <row r="240" spans="1:2" ht="15.75" customHeight="1">
      <c r="A240" s="193" t="s">
        <v>1094</v>
      </c>
      <c r="B240" s="194" t="s">
        <v>1095</v>
      </c>
    </row>
    <row r="241" spans="1:2" ht="15.75" customHeight="1">
      <c r="A241" s="195" t="s">
        <v>1932</v>
      </c>
      <c r="B241" s="196" t="s">
        <v>1933</v>
      </c>
    </row>
    <row r="242" spans="1:2" ht="15.75" customHeight="1">
      <c r="A242" s="195" t="s">
        <v>1934</v>
      </c>
      <c r="B242" s="196" t="s">
        <v>1935</v>
      </c>
    </row>
    <row r="243" spans="1:2" ht="15.75" customHeight="1">
      <c r="A243" s="195" t="s">
        <v>1936</v>
      </c>
      <c r="B243" s="196" t="s">
        <v>1937</v>
      </c>
    </row>
    <row r="244" spans="1:2" ht="15.75" customHeight="1">
      <c r="A244" s="195" t="s">
        <v>1938</v>
      </c>
      <c r="B244" s="196" t="s">
        <v>1939</v>
      </c>
    </row>
    <row r="245" spans="1:2" ht="15.75" customHeight="1">
      <c r="A245" s="195" t="s">
        <v>1942</v>
      </c>
      <c r="B245" s="196" t="s">
        <v>1943</v>
      </c>
    </row>
    <row r="246" spans="1:2" ht="15.75" customHeight="1">
      <c r="A246" s="195" t="s">
        <v>1944</v>
      </c>
      <c r="B246" s="196" t="s">
        <v>1945</v>
      </c>
    </row>
    <row r="247" spans="1:2" ht="15.75" customHeight="1">
      <c r="A247" s="195" t="s">
        <v>1947</v>
      </c>
      <c r="B247" s="196" t="s">
        <v>1948</v>
      </c>
    </row>
    <row r="248" spans="1:2" ht="15.75" customHeight="1">
      <c r="A248" s="195" t="s">
        <v>1949</v>
      </c>
      <c r="B248" s="196" t="s">
        <v>1950</v>
      </c>
    </row>
    <row r="249" spans="1:2" ht="15.75" customHeight="1">
      <c r="A249" s="195" t="s">
        <v>1952</v>
      </c>
      <c r="B249" s="196" t="s">
        <v>1953</v>
      </c>
    </row>
    <row r="250" spans="1:2" ht="15.75" customHeight="1">
      <c r="A250" s="195" t="s">
        <v>1954</v>
      </c>
      <c r="B250" s="196" t="s">
        <v>1955</v>
      </c>
    </row>
    <row r="251" spans="1:2" ht="15.75" customHeight="1">
      <c r="A251" s="195" t="s">
        <v>1958</v>
      </c>
      <c r="B251" s="196" t="s">
        <v>1959</v>
      </c>
    </row>
    <row r="252" spans="1:2" ht="15.75" customHeight="1">
      <c r="A252" s="195" t="s">
        <v>1960</v>
      </c>
      <c r="B252" s="196" t="s">
        <v>1961</v>
      </c>
    </row>
    <row r="253" spans="1:2" ht="15.75" customHeight="1">
      <c r="A253" s="195" t="s">
        <v>1962</v>
      </c>
      <c r="B253" s="196" t="s">
        <v>1963</v>
      </c>
    </row>
    <row r="254" spans="1:2" ht="15.75" customHeight="1">
      <c r="A254" s="195" t="s">
        <v>1964</v>
      </c>
      <c r="B254" s="196" t="s">
        <v>1965</v>
      </c>
    </row>
    <row r="255" spans="1:2" ht="15.75" customHeight="1">
      <c r="A255" s="195" t="s">
        <v>1966</v>
      </c>
      <c r="B255" s="196" t="s">
        <v>1967</v>
      </c>
    </row>
    <row r="256" spans="1:2" ht="15.75" customHeight="1">
      <c r="A256" s="195" t="s">
        <v>1968</v>
      </c>
      <c r="B256" s="196" t="s">
        <v>1969</v>
      </c>
    </row>
    <row r="257" spans="1:2" ht="15.75" customHeight="1">
      <c r="A257" s="195" t="s">
        <v>1970</v>
      </c>
      <c r="B257" s="196" t="s">
        <v>1971</v>
      </c>
    </row>
    <row r="258" spans="1:2" ht="15.75" customHeight="1">
      <c r="A258" s="195" t="s">
        <v>1972</v>
      </c>
      <c r="B258" s="196" t="s">
        <v>1973</v>
      </c>
    </row>
    <row r="259" spans="1:2" ht="15.75" customHeight="1">
      <c r="A259" s="195" t="s">
        <v>1976</v>
      </c>
      <c r="B259" s="196" t="s">
        <v>1977</v>
      </c>
    </row>
    <row r="260" spans="1:2" ht="15.75" customHeight="1">
      <c r="A260" s="195" t="s">
        <v>1979</v>
      </c>
      <c r="B260" s="196" t="s">
        <v>1980</v>
      </c>
    </row>
    <row r="261" spans="1:2" ht="15.75" customHeight="1">
      <c r="A261" s="195" t="s">
        <v>1982</v>
      </c>
      <c r="B261" s="196" t="s">
        <v>1983</v>
      </c>
    </row>
    <row r="262" spans="1:2" ht="15.75" customHeight="1">
      <c r="A262" s="193" t="s">
        <v>1096</v>
      </c>
      <c r="B262" s="194" t="s">
        <v>1097</v>
      </c>
    </row>
    <row r="263" spans="1:2" ht="15.75" customHeight="1">
      <c r="A263" s="195" t="s">
        <v>1984</v>
      </c>
      <c r="B263" s="196" t="s">
        <v>1985</v>
      </c>
    </row>
    <row r="264" spans="1:2" ht="15.75" customHeight="1">
      <c r="A264" s="195" t="s">
        <v>1986</v>
      </c>
      <c r="B264" s="196" t="s">
        <v>1987</v>
      </c>
    </row>
    <row r="265" spans="1:2" ht="15.75" customHeight="1">
      <c r="A265" s="195" t="s">
        <v>1988</v>
      </c>
      <c r="B265" s="196" t="s">
        <v>1989</v>
      </c>
    </row>
    <row r="266" spans="1:2" ht="15.75" customHeight="1">
      <c r="A266" s="195" t="s">
        <v>1991</v>
      </c>
      <c r="B266" s="196" t="s">
        <v>1992</v>
      </c>
    </row>
    <row r="267" spans="1:2" ht="15.75" customHeight="1">
      <c r="A267" s="195" t="s">
        <v>1993</v>
      </c>
      <c r="B267" s="196" t="s">
        <v>1994</v>
      </c>
    </row>
    <row r="268" spans="1:2" ht="15.75" customHeight="1">
      <c r="A268" s="195" t="s">
        <v>1996</v>
      </c>
      <c r="B268" s="196" t="s">
        <v>1997</v>
      </c>
    </row>
    <row r="269" spans="1:2" ht="15.75" customHeight="1">
      <c r="A269" s="195" t="s">
        <v>1999</v>
      </c>
      <c r="B269" s="196" t="s">
        <v>2000</v>
      </c>
    </row>
    <row r="270" spans="1:2" ht="15.75" customHeight="1">
      <c r="A270" s="195" t="s">
        <v>2002</v>
      </c>
      <c r="B270" s="196" t="s">
        <v>2003</v>
      </c>
    </row>
    <row r="271" spans="1:2" ht="15.75" customHeight="1">
      <c r="A271" s="195" t="s">
        <v>2005</v>
      </c>
      <c r="B271" s="196" t="s">
        <v>2006</v>
      </c>
    </row>
    <row r="272" spans="1:2" ht="15.75" customHeight="1">
      <c r="A272" s="195" t="s">
        <v>2008</v>
      </c>
      <c r="B272" s="196" t="s">
        <v>2009</v>
      </c>
    </row>
    <row r="273" spans="1:2" ht="15.75" customHeight="1">
      <c r="A273" s="195" t="s">
        <v>2011</v>
      </c>
      <c r="B273" s="196" t="s">
        <v>2012</v>
      </c>
    </row>
    <row r="274" spans="1:2" ht="15.75" customHeight="1">
      <c r="A274" s="195" t="s">
        <v>2014</v>
      </c>
      <c r="B274" s="196" t="s">
        <v>2015</v>
      </c>
    </row>
    <row r="275" spans="1:2" ht="15.75" customHeight="1">
      <c r="A275" s="195" t="s">
        <v>2017</v>
      </c>
      <c r="B275" s="196" t="s">
        <v>2018</v>
      </c>
    </row>
    <row r="276" spans="1:2" ht="15.75" customHeight="1">
      <c r="A276" s="195" t="s">
        <v>2020</v>
      </c>
      <c r="B276" s="196" t="s">
        <v>2021</v>
      </c>
    </row>
    <row r="277" spans="1:2" ht="15.75" customHeight="1">
      <c r="A277" s="195" t="s">
        <v>2023</v>
      </c>
      <c r="B277" s="196" t="s">
        <v>2024</v>
      </c>
    </row>
    <row r="278" spans="1:2" ht="15.75" customHeight="1">
      <c r="A278" s="195" t="s">
        <v>2026</v>
      </c>
      <c r="B278" s="196" t="s">
        <v>2027</v>
      </c>
    </row>
    <row r="279" spans="1:2" ht="15.75" customHeight="1">
      <c r="A279" s="195" t="s">
        <v>2028</v>
      </c>
      <c r="B279" s="196" t="s">
        <v>2029</v>
      </c>
    </row>
    <row r="280" spans="1:2" ht="15.75" customHeight="1">
      <c r="A280" s="195" t="s">
        <v>2030</v>
      </c>
      <c r="B280" s="196" t="s">
        <v>2031</v>
      </c>
    </row>
    <row r="281" spans="1:2" ht="15.75" customHeight="1">
      <c r="A281" s="195" t="s">
        <v>2034</v>
      </c>
      <c r="B281" s="196" t="s">
        <v>2024</v>
      </c>
    </row>
    <row r="282" spans="1:2" ht="15.75" customHeight="1">
      <c r="A282" s="195" t="s">
        <v>2035</v>
      </c>
      <c r="B282" s="196" t="s">
        <v>2036</v>
      </c>
    </row>
    <row r="283" spans="1:2" ht="15.75" customHeight="1">
      <c r="A283" s="195" t="s">
        <v>2040</v>
      </c>
      <c r="B283" s="196" t="s">
        <v>2041</v>
      </c>
    </row>
    <row r="284" spans="1:2" ht="15.75" customHeight="1">
      <c r="A284" s="195" t="s">
        <v>2042</v>
      </c>
      <c r="B284" s="196" t="s">
        <v>2043</v>
      </c>
    </row>
    <row r="285" spans="1:2" ht="15.75" customHeight="1">
      <c r="A285" s="195" t="s">
        <v>2044</v>
      </c>
      <c r="B285" s="196" t="s">
        <v>2045</v>
      </c>
    </row>
    <row r="286" spans="1:2" ht="15.75" customHeight="1">
      <c r="A286" s="193" t="s">
        <v>1098</v>
      </c>
      <c r="B286" s="194" t="s">
        <v>1099</v>
      </c>
    </row>
    <row r="287" spans="1:2" ht="15.75" customHeight="1">
      <c r="A287" s="195" t="s">
        <v>2046</v>
      </c>
      <c r="B287" s="196" t="s">
        <v>2047</v>
      </c>
    </row>
    <row r="288" spans="1:2" ht="15.75" customHeight="1">
      <c r="A288" s="195" t="s">
        <v>2048</v>
      </c>
      <c r="B288" s="196" t="s">
        <v>2049</v>
      </c>
    </row>
    <row r="289" spans="1:2" ht="15.75" customHeight="1">
      <c r="A289" s="195" t="s">
        <v>2050</v>
      </c>
      <c r="B289" s="196" t="s">
        <v>2051</v>
      </c>
    </row>
    <row r="290" spans="1:2" ht="15.75" customHeight="1">
      <c r="A290" s="195" t="s">
        <v>2052</v>
      </c>
      <c r="B290" s="196" t="s">
        <v>2053</v>
      </c>
    </row>
    <row r="291" spans="1:2" ht="15.75" customHeight="1">
      <c r="A291" s="195" t="s">
        <v>2054</v>
      </c>
      <c r="B291" s="196" t="s">
        <v>2055</v>
      </c>
    </row>
    <row r="292" spans="1:2" ht="15.75" customHeight="1">
      <c r="A292" s="195" t="s">
        <v>2056</v>
      </c>
      <c r="B292" s="196" t="s">
        <v>2057</v>
      </c>
    </row>
    <row r="293" spans="1:2" ht="15.75" customHeight="1">
      <c r="A293" s="195" t="s">
        <v>2058</v>
      </c>
      <c r="B293" s="196" t="s">
        <v>2059</v>
      </c>
    </row>
    <row r="294" spans="1:2" ht="15.75" customHeight="1">
      <c r="A294" s="195" t="s">
        <v>2060</v>
      </c>
      <c r="B294" s="196" t="s">
        <v>2061</v>
      </c>
    </row>
    <row r="295" spans="1:2" ht="15.75" customHeight="1">
      <c r="A295" s="195" t="s">
        <v>2062</v>
      </c>
      <c r="B295" s="196" t="s">
        <v>2063</v>
      </c>
    </row>
    <row r="296" spans="1:2" ht="15.75" customHeight="1">
      <c r="A296" s="195" t="s">
        <v>2064</v>
      </c>
      <c r="B296" s="196" t="s">
        <v>2065</v>
      </c>
    </row>
    <row r="297" spans="1:2" ht="15.75" customHeight="1">
      <c r="A297" s="195" t="s">
        <v>2066</v>
      </c>
      <c r="B297" s="196" t="s">
        <v>2067</v>
      </c>
    </row>
    <row r="298" spans="1:2" ht="15.75" customHeight="1">
      <c r="A298" s="195" t="s">
        <v>2068</v>
      </c>
      <c r="B298" s="196" t="s">
        <v>2069</v>
      </c>
    </row>
    <row r="299" spans="1:2" ht="15.75" customHeight="1">
      <c r="A299" s="195" t="s">
        <v>2070</v>
      </c>
      <c r="B299" s="196" t="s">
        <v>2071</v>
      </c>
    </row>
    <row r="300" spans="1:2" ht="15.75" customHeight="1">
      <c r="A300" s="195" t="s">
        <v>2072</v>
      </c>
      <c r="B300" s="196" t="s">
        <v>2073</v>
      </c>
    </row>
    <row r="301" spans="1:2" ht="15.75" customHeight="1">
      <c r="A301" s="195" t="s">
        <v>2074</v>
      </c>
      <c r="B301" s="196" t="s">
        <v>1436</v>
      </c>
    </row>
    <row r="302" spans="1:2" ht="15.75" customHeight="1">
      <c r="A302" s="193" t="s">
        <v>1100</v>
      </c>
      <c r="B302" s="194" t="s">
        <v>1101</v>
      </c>
    </row>
    <row r="303" spans="1:2" ht="15.75" customHeight="1">
      <c r="A303" s="195" t="s">
        <v>2075</v>
      </c>
      <c r="B303" s="196" t="s">
        <v>2076</v>
      </c>
    </row>
    <row r="304" spans="1:2" ht="15.75" customHeight="1">
      <c r="A304" s="195" t="s">
        <v>2077</v>
      </c>
      <c r="B304" s="196" t="s">
        <v>2078</v>
      </c>
    </row>
    <row r="305" spans="1:2" ht="15.75" customHeight="1">
      <c r="A305" s="195" t="s">
        <v>2079</v>
      </c>
      <c r="B305" s="196" t="s">
        <v>2080</v>
      </c>
    </row>
    <row r="306" spans="1:2" ht="15.75" customHeight="1">
      <c r="A306" s="195" t="s">
        <v>2081</v>
      </c>
      <c r="B306" s="196" t="s">
        <v>2082</v>
      </c>
    </row>
    <row r="307" spans="1:2" ht="15.75" customHeight="1">
      <c r="A307" s="195" t="s">
        <v>2083</v>
      </c>
      <c r="B307" s="196" t="s">
        <v>2084</v>
      </c>
    </row>
    <row r="308" spans="1:2" ht="15.75" customHeight="1">
      <c r="A308" s="195" t="s">
        <v>2085</v>
      </c>
      <c r="B308" s="196" t="s">
        <v>2086</v>
      </c>
    </row>
    <row r="309" spans="1:2" ht="15.75" customHeight="1">
      <c r="A309" s="195" t="s">
        <v>2087</v>
      </c>
      <c r="B309" s="196" t="s">
        <v>2088</v>
      </c>
    </row>
    <row r="310" spans="1:2" ht="15.75" customHeight="1">
      <c r="A310" s="195" t="s">
        <v>2089</v>
      </c>
      <c r="B310" s="196" t="s">
        <v>2090</v>
      </c>
    </row>
    <row r="311" spans="1:2" ht="15.75" customHeight="1">
      <c r="A311" s="195" t="s">
        <v>2091</v>
      </c>
      <c r="B311" s="196" t="s">
        <v>2092</v>
      </c>
    </row>
    <row r="312" spans="1:2" ht="15.75" customHeight="1">
      <c r="A312" s="195" t="s">
        <v>2093</v>
      </c>
      <c r="B312" s="196" t="s">
        <v>2094</v>
      </c>
    </row>
    <row r="313" spans="1:2" ht="15.75" customHeight="1">
      <c r="A313" s="195" t="s">
        <v>2095</v>
      </c>
      <c r="B313" s="196" t="s">
        <v>2096</v>
      </c>
    </row>
    <row r="314" spans="1:2" ht="15.75" customHeight="1">
      <c r="A314" s="195" t="s">
        <v>2097</v>
      </c>
      <c r="B314" s="196" t="s">
        <v>2098</v>
      </c>
    </row>
    <row r="315" spans="1:2" ht="15.75" customHeight="1">
      <c r="A315" s="195" t="s">
        <v>2099</v>
      </c>
      <c r="B315" s="196" t="s">
        <v>2100</v>
      </c>
    </row>
    <row r="316" spans="1:2" ht="15.75" customHeight="1">
      <c r="A316" s="195" t="s">
        <v>2101</v>
      </c>
      <c r="B316" s="196" t="s">
        <v>2102</v>
      </c>
    </row>
    <row r="317" spans="1:2" ht="15.75" customHeight="1">
      <c r="A317" s="195" t="s">
        <v>2103</v>
      </c>
      <c r="B317" s="196" t="s">
        <v>2104</v>
      </c>
    </row>
    <row r="318" spans="1:2" ht="15.75" customHeight="1">
      <c r="A318" s="195" t="s">
        <v>2105</v>
      </c>
      <c r="B318" s="196" t="s">
        <v>2106</v>
      </c>
    </row>
    <row r="319" spans="1:2" ht="15.75" customHeight="1">
      <c r="A319" s="195" t="s">
        <v>2107</v>
      </c>
      <c r="B319" s="196" t="s">
        <v>2108</v>
      </c>
    </row>
    <row r="320" spans="1:2" ht="15.75" customHeight="1">
      <c r="A320" s="195" t="s">
        <v>2109</v>
      </c>
      <c r="B320" s="196" t="s">
        <v>2110</v>
      </c>
    </row>
    <row r="321" spans="1:2" ht="15.75" customHeight="1">
      <c r="A321" s="195" t="s">
        <v>2111</v>
      </c>
      <c r="B321" s="196" t="s">
        <v>2112</v>
      </c>
    </row>
    <row r="322" spans="1:2" ht="15.75" customHeight="1">
      <c r="A322" s="195" t="s">
        <v>2113</v>
      </c>
      <c r="B322" s="196" t="s">
        <v>2114</v>
      </c>
    </row>
    <row r="323" spans="1:2" ht="15.75" customHeight="1">
      <c r="A323" s="195" t="s">
        <v>2115</v>
      </c>
      <c r="B323" s="196" t="s">
        <v>2116</v>
      </c>
    </row>
    <row r="324" spans="1:2" ht="15.75" customHeight="1">
      <c r="A324" s="195" t="s">
        <v>2117</v>
      </c>
      <c r="B324" s="196" t="s">
        <v>2116</v>
      </c>
    </row>
    <row r="325" spans="1:2" ht="15.75" customHeight="1">
      <c r="A325" s="195" t="s">
        <v>2118</v>
      </c>
      <c r="B325" s="196" t="s">
        <v>2119</v>
      </c>
    </row>
    <row r="326" spans="1:2" ht="15.75" customHeight="1">
      <c r="A326" s="195" t="s">
        <v>2120</v>
      </c>
      <c r="B326" s="196" t="s">
        <v>2119</v>
      </c>
    </row>
    <row r="327" spans="1:2" ht="15.75" customHeight="1">
      <c r="A327" s="195" t="s">
        <v>2121</v>
      </c>
      <c r="B327" s="196" t="s">
        <v>2122</v>
      </c>
    </row>
    <row r="328" spans="1:2" ht="15.75" customHeight="1">
      <c r="A328" s="195" t="s">
        <v>2123</v>
      </c>
      <c r="B328" s="196" t="s">
        <v>2124</v>
      </c>
    </row>
    <row r="329" spans="1:2" ht="15.75" customHeight="1">
      <c r="A329" s="195" t="s">
        <v>2125</v>
      </c>
      <c r="B329" s="196" t="s">
        <v>2126</v>
      </c>
    </row>
    <row r="330" spans="1:2" ht="15.75" customHeight="1">
      <c r="A330" s="195" t="s">
        <v>2127</v>
      </c>
      <c r="B330" s="196" t="s">
        <v>2128</v>
      </c>
    </row>
    <row r="331" spans="1:2" ht="15.75" customHeight="1">
      <c r="A331" s="195" t="s">
        <v>2129</v>
      </c>
      <c r="B331" s="196" t="s">
        <v>2130</v>
      </c>
    </row>
    <row r="332" spans="1:2" ht="15.75" customHeight="1">
      <c r="A332" s="195" t="s">
        <v>2131</v>
      </c>
      <c r="B332" s="196" t="s">
        <v>2132</v>
      </c>
    </row>
    <row r="333" spans="1:2" ht="15.75" customHeight="1">
      <c r="A333" s="195" t="s">
        <v>2133</v>
      </c>
      <c r="B333" s="196" t="s">
        <v>2134</v>
      </c>
    </row>
    <row r="334" spans="1:2" ht="15.75" customHeight="1">
      <c r="A334" s="195" t="s">
        <v>2135</v>
      </c>
      <c r="B334" s="196" t="s">
        <v>2136</v>
      </c>
    </row>
    <row r="335" spans="1:2" ht="15.75" customHeight="1">
      <c r="A335" s="195" t="s">
        <v>2137</v>
      </c>
      <c r="B335" s="196" t="s">
        <v>2138</v>
      </c>
    </row>
    <row r="336" spans="1:2" ht="15.75" customHeight="1">
      <c r="A336" s="195" t="s">
        <v>2139</v>
      </c>
      <c r="B336" s="196" t="s">
        <v>2140</v>
      </c>
    </row>
    <row r="337" spans="1:2" ht="15.75" customHeight="1">
      <c r="A337" s="195" t="s">
        <v>2141</v>
      </c>
      <c r="B337" s="196" t="s">
        <v>2142</v>
      </c>
    </row>
    <row r="338" spans="1:2" ht="15.75" customHeight="1">
      <c r="A338" s="195" t="s">
        <v>2143</v>
      </c>
      <c r="B338" s="196" t="s">
        <v>2144</v>
      </c>
    </row>
    <row r="339" spans="1:2" ht="15.75" customHeight="1">
      <c r="A339" s="195" t="s">
        <v>2145</v>
      </c>
      <c r="B339" s="196" t="s">
        <v>2146</v>
      </c>
    </row>
    <row r="340" spans="1:2" ht="15.75" customHeight="1">
      <c r="A340" s="195" t="s">
        <v>2147</v>
      </c>
      <c r="B340" s="196" t="s">
        <v>2148</v>
      </c>
    </row>
    <row r="341" spans="1:2" ht="15.75" customHeight="1">
      <c r="A341" s="195" t="s">
        <v>2149</v>
      </c>
      <c r="B341" s="196" t="s">
        <v>2150</v>
      </c>
    </row>
    <row r="342" spans="1:2" ht="15.75" customHeight="1">
      <c r="A342" s="195" t="s">
        <v>2151</v>
      </c>
      <c r="B342" s="196" t="s">
        <v>2152</v>
      </c>
    </row>
    <row r="343" spans="1:2" ht="15.75" customHeight="1">
      <c r="A343" s="195" t="s">
        <v>2153</v>
      </c>
      <c r="B343" s="196" t="s">
        <v>2154</v>
      </c>
    </row>
    <row r="344" spans="1:2" ht="15.75" customHeight="1">
      <c r="A344" s="195" t="s">
        <v>2155</v>
      </c>
      <c r="B344" s="196" t="s">
        <v>2156</v>
      </c>
    </row>
    <row r="345" spans="1:2" ht="15.75" customHeight="1">
      <c r="A345" s="195" t="s">
        <v>2157</v>
      </c>
      <c r="B345" s="196" t="s">
        <v>1694</v>
      </c>
    </row>
    <row r="346" spans="1:2" ht="15.75" customHeight="1">
      <c r="A346" s="195" t="s">
        <v>2158</v>
      </c>
      <c r="B346" s="196" t="s">
        <v>2159</v>
      </c>
    </row>
    <row r="347" spans="1:2" ht="15.75" customHeight="1">
      <c r="A347" s="195" t="s">
        <v>2160</v>
      </c>
      <c r="B347" s="196" t="s">
        <v>2161</v>
      </c>
    </row>
    <row r="348" spans="1:2" ht="15.75" customHeight="1">
      <c r="A348" s="195" t="s">
        <v>2162</v>
      </c>
      <c r="B348" s="196" t="s">
        <v>2163</v>
      </c>
    </row>
    <row r="349" spans="1:2" ht="15.75" customHeight="1">
      <c r="A349" s="195" t="s">
        <v>2164</v>
      </c>
      <c r="B349" s="196" t="s">
        <v>2165</v>
      </c>
    </row>
    <row r="350" spans="1:2" ht="15.75" customHeight="1">
      <c r="A350" s="195" t="s">
        <v>2166</v>
      </c>
      <c r="B350" s="196" t="s">
        <v>2167</v>
      </c>
    </row>
    <row r="351" spans="1:2" ht="15.75" customHeight="1">
      <c r="A351" s="195" t="s">
        <v>2168</v>
      </c>
      <c r="B351" s="196" t="s">
        <v>2169</v>
      </c>
    </row>
    <row r="352" spans="1:2" ht="15.75" customHeight="1">
      <c r="A352" s="195" t="s">
        <v>2170</v>
      </c>
      <c r="B352" s="196" t="s">
        <v>2171</v>
      </c>
    </row>
    <row r="353" spans="1:2" ht="15.75" customHeight="1">
      <c r="A353" s="195" t="s">
        <v>2172</v>
      </c>
      <c r="B353" s="196" t="s">
        <v>2173</v>
      </c>
    </row>
    <row r="354" spans="1:2" ht="15.75" customHeight="1">
      <c r="A354" s="195" t="s">
        <v>2174</v>
      </c>
      <c r="B354" s="196" t="s">
        <v>2175</v>
      </c>
    </row>
    <row r="355" spans="1:2" ht="15.75" customHeight="1">
      <c r="A355" s="195" t="s">
        <v>2176</v>
      </c>
      <c r="B355" s="196" t="s">
        <v>2177</v>
      </c>
    </row>
    <row r="356" spans="1:2" ht="15.75" customHeight="1">
      <c r="A356" s="195" t="s">
        <v>2178</v>
      </c>
      <c r="B356" s="196" t="s">
        <v>2179</v>
      </c>
    </row>
    <row r="357" spans="1:2" ht="15.75" customHeight="1">
      <c r="A357" s="195" t="s">
        <v>2180</v>
      </c>
      <c r="B357" s="196" t="s">
        <v>2181</v>
      </c>
    </row>
    <row r="358" spans="1:2" ht="15.75" customHeight="1">
      <c r="A358" s="195" t="s">
        <v>2182</v>
      </c>
      <c r="B358" s="196" t="s">
        <v>2183</v>
      </c>
    </row>
    <row r="359" spans="1:2" ht="15.75" customHeight="1">
      <c r="A359" s="195" t="s">
        <v>2184</v>
      </c>
      <c r="B359" s="196" t="s">
        <v>2185</v>
      </c>
    </row>
    <row r="360" spans="1:2" ht="15.75" customHeight="1">
      <c r="A360" s="195" t="s">
        <v>2186</v>
      </c>
      <c r="B360" s="196" t="s">
        <v>2187</v>
      </c>
    </row>
    <row r="361" spans="1:2" ht="15.75" customHeight="1">
      <c r="A361" s="195" t="s">
        <v>2188</v>
      </c>
      <c r="B361" s="196" t="s">
        <v>2189</v>
      </c>
    </row>
    <row r="362" spans="1:2" ht="15.75" customHeight="1">
      <c r="A362" s="195" t="s">
        <v>2190</v>
      </c>
      <c r="B362" s="196" t="s">
        <v>2191</v>
      </c>
    </row>
    <row r="363" spans="1:2" ht="15.75" customHeight="1">
      <c r="A363" s="195" t="s">
        <v>2192</v>
      </c>
      <c r="B363" s="196" t="s">
        <v>2193</v>
      </c>
    </row>
    <row r="364" spans="1:2" ht="15.75" customHeight="1">
      <c r="A364" s="195" t="s">
        <v>2194</v>
      </c>
      <c r="B364" s="196" t="s">
        <v>2195</v>
      </c>
    </row>
    <row r="365" spans="1:2" ht="15.75" customHeight="1">
      <c r="A365" s="195" t="s">
        <v>2196</v>
      </c>
      <c r="B365" s="196" t="s">
        <v>2197</v>
      </c>
    </row>
    <row r="366" spans="1:2" ht="15.75" customHeight="1">
      <c r="A366" s="195" t="s">
        <v>2198</v>
      </c>
      <c r="B366" s="196" t="s">
        <v>2199</v>
      </c>
    </row>
    <row r="367" spans="1:2" ht="15.75" customHeight="1">
      <c r="A367" s="195" t="s">
        <v>2200</v>
      </c>
      <c r="B367" s="196" t="s">
        <v>2201</v>
      </c>
    </row>
    <row r="368" spans="1:2" ht="15.75" customHeight="1">
      <c r="A368" s="195" t="s">
        <v>2202</v>
      </c>
      <c r="B368" s="196" t="s">
        <v>2203</v>
      </c>
    </row>
    <row r="369" spans="1:2" ht="15.75" customHeight="1">
      <c r="A369" s="195" t="s">
        <v>2204</v>
      </c>
      <c r="B369" s="196" t="s">
        <v>2205</v>
      </c>
    </row>
    <row r="370" spans="1:2" ht="15.75" customHeight="1">
      <c r="A370" s="195" t="s">
        <v>2206</v>
      </c>
      <c r="B370" s="196" t="s">
        <v>2207</v>
      </c>
    </row>
    <row r="371" spans="1:2" ht="15.75" customHeight="1">
      <c r="A371" s="195" t="s">
        <v>2208</v>
      </c>
      <c r="B371" s="196" t="s">
        <v>2209</v>
      </c>
    </row>
    <row r="372" spans="1:2" ht="15.75" customHeight="1">
      <c r="A372" s="195" t="s">
        <v>2210</v>
      </c>
      <c r="B372" s="196" t="s">
        <v>2211</v>
      </c>
    </row>
    <row r="373" spans="1:2" ht="15.75" customHeight="1">
      <c r="A373" s="195" t="s">
        <v>2212</v>
      </c>
      <c r="B373" s="196" t="s">
        <v>2213</v>
      </c>
    </row>
    <row r="374" spans="1:2" ht="15.75" customHeight="1">
      <c r="A374" s="195" t="s">
        <v>2214</v>
      </c>
      <c r="B374" s="196" t="s">
        <v>2215</v>
      </c>
    </row>
    <row r="375" spans="1:2" ht="15.75" customHeight="1">
      <c r="A375" s="195" t="s">
        <v>2216</v>
      </c>
      <c r="B375" s="196" t="s">
        <v>2217</v>
      </c>
    </row>
    <row r="376" spans="1:2" ht="15.75" customHeight="1">
      <c r="A376" s="195" t="s">
        <v>2218</v>
      </c>
      <c r="B376" s="196" t="s">
        <v>2219</v>
      </c>
    </row>
    <row r="377" spans="1:2" ht="15.75" customHeight="1">
      <c r="A377" s="195" t="s">
        <v>2220</v>
      </c>
      <c r="B377" s="196" t="s">
        <v>2221</v>
      </c>
    </row>
    <row r="378" spans="1:2" ht="15.75" customHeight="1">
      <c r="A378" s="195" t="s">
        <v>2222</v>
      </c>
      <c r="B378" s="196" t="s">
        <v>2223</v>
      </c>
    </row>
    <row r="379" spans="1:2" ht="15.75" customHeight="1">
      <c r="A379" s="195" t="s">
        <v>2224</v>
      </c>
      <c r="B379" s="196" t="s">
        <v>2225</v>
      </c>
    </row>
    <row r="380" spans="1:2" ht="15.75" customHeight="1">
      <c r="A380" s="195" t="s">
        <v>2226</v>
      </c>
      <c r="B380" s="196" t="s">
        <v>2227</v>
      </c>
    </row>
    <row r="381" spans="1:2" ht="15.75" customHeight="1">
      <c r="A381" s="195" t="s">
        <v>2228</v>
      </c>
      <c r="B381" s="196" t="s">
        <v>2229</v>
      </c>
    </row>
    <row r="382" spans="1:2" ht="15.75" customHeight="1">
      <c r="A382" s="195" t="s">
        <v>2230</v>
      </c>
      <c r="B382" s="196" t="s">
        <v>2231</v>
      </c>
    </row>
    <row r="383" spans="1:2" ht="15.75" customHeight="1">
      <c r="A383" s="195" t="s">
        <v>2232</v>
      </c>
      <c r="B383" s="196" t="s">
        <v>2233</v>
      </c>
    </row>
    <row r="384" spans="1:2" ht="15.75" customHeight="1">
      <c r="A384" s="195" t="s">
        <v>2234</v>
      </c>
      <c r="B384" s="196" t="s">
        <v>2235</v>
      </c>
    </row>
    <row r="385" spans="1:2" ht="15.75" customHeight="1">
      <c r="A385" s="195" t="s">
        <v>2236</v>
      </c>
      <c r="B385" s="196" t="s">
        <v>2237</v>
      </c>
    </row>
    <row r="386" spans="1:2" ht="15.75" customHeight="1">
      <c r="A386" s="195" t="s">
        <v>2238</v>
      </c>
      <c r="B386" s="196" t="s">
        <v>2239</v>
      </c>
    </row>
    <row r="387" spans="1:2" ht="15.75" customHeight="1">
      <c r="A387" s="195" t="s">
        <v>2240</v>
      </c>
      <c r="B387" s="196" t="s">
        <v>1434</v>
      </c>
    </row>
    <row r="388" spans="1:2" ht="15.75" customHeight="1">
      <c r="A388" s="195" t="s">
        <v>2241</v>
      </c>
      <c r="B388" s="196" t="s">
        <v>1445</v>
      </c>
    </row>
    <row r="389" spans="1:2" ht="15.75" customHeight="1">
      <c r="A389" s="195" t="s">
        <v>2242</v>
      </c>
      <c r="B389" s="196" t="s">
        <v>2243</v>
      </c>
    </row>
    <row r="390" spans="1:2" ht="15.75" customHeight="1">
      <c r="A390" s="195" t="s">
        <v>2244</v>
      </c>
      <c r="B390" s="196" t="s">
        <v>2245</v>
      </c>
    </row>
    <row r="391" spans="1:2" ht="15.75" customHeight="1">
      <c r="A391" s="195" t="s">
        <v>2246</v>
      </c>
      <c r="B391" s="196" t="s">
        <v>2247</v>
      </c>
    </row>
    <row r="392" spans="1:2" ht="15.75" customHeight="1">
      <c r="A392" s="195" t="s">
        <v>2248</v>
      </c>
      <c r="B392" s="196" t="s">
        <v>2249</v>
      </c>
    </row>
    <row r="393" spans="1:2" ht="15.75" customHeight="1">
      <c r="A393" s="195" t="s">
        <v>2250</v>
      </c>
      <c r="B393" s="196" t="s">
        <v>2251</v>
      </c>
    </row>
    <row r="394" spans="1:2" ht="15.75" customHeight="1">
      <c r="A394" s="195" t="s">
        <v>2252</v>
      </c>
      <c r="B394" s="196" t="s">
        <v>2253</v>
      </c>
    </row>
    <row r="395" spans="1:2" ht="15.75" customHeight="1">
      <c r="A395" s="195" t="s">
        <v>2254</v>
      </c>
      <c r="B395" s="196" t="s">
        <v>2255</v>
      </c>
    </row>
    <row r="396" spans="1:2" ht="15.75" customHeight="1">
      <c r="A396" s="195" t="s">
        <v>2256</v>
      </c>
      <c r="B396" s="196" t="s">
        <v>2257</v>
      </c>
    </row>
    <row r="397" spans="1:2" ht="15.75" customHeight="1">
      <c r="A397" s="195" t="s">
        <v>2258</v>
      </c>
      <c r="B397" s="196" t="s">
        <v>2259</v>
      </c>
    </row>
    <row r="398" spans="1:2" ht="15.75" customHeight="1">
      <c r="A398" s="195" t="s">
        <v>2260</v>
      </c>
      <c r="B398" s="196" t="s">
        <v>2261</v>
      </c>
    </row>
    <row r="399" spans="1:2" ht="15.75" customHeight="1">
      <c r="A399" s="195" t="s">
        <v>2262</v>
      </c>
      <c r="B399" s="196" t="s">
        <v>2263</v>
      </c>
    </row>
    <row r="400" spans="1:2" ht="15.75" customHeight="1">
      <c r="A400" s="195" t="s">
        <v>2264</v>
      </c>
      <c r="B400" s="196" t="s">
        <v>2265</v>
      </c>
    </row>
    <row r="401" spans="1:2" ht="15.75" customHeight="1">
      <c r="A401" s="195" t="s">
        <v>2266</v>
      </c>
      <c r="B401" s="196" t="s">
        <v>2267</v>
      </c>
    </row>
    <row r="402" spans="1:2" ht="15.75" customHeight="1">
      <c r="A402" s="195" t="s">
        <v>2268</v>
      </c>
      <c r="B402" s="196" t="s">
        <v>2269</v>
      </c>
    </row>
    <row r="403" spans="1:2" ht="15.75" customHeight="1">
      <c r="A403" s="195" t="s">
        <v>2270</v>
      </c>
      <c r="B403" s="196" t="s">
        <v>2271</v>
      </c>
    </row>
    <row r="404" spans="1:2" ht="15.75" customHeight="1">
      <c r="A404" s="195" t="s">
        <v>2272</v>
      </c>
      <c r="B404" s="196" t="s">
        <v>2273</v>
      </c>
    </row>
    <row r="405" spans="1:2" ht="15.75" customHeight="1">
      <c r="A405" s="195" t="s">
        <v>2274</v>
      </c>
      <c r="B405" s="196" t="s">
        <v>2275</v>
      </c>
    </row>
    <row r="406" spans="1:2" ht="15.75" customHeight="1">
      <c r="A406" s="195" t="s">
        <v>2276</v>
      </c>
      <c r="B406" s="196" t="s">
        <v>2277</v>
      </c>
    </row>
    <row r="407" spans="1:2" ht="15.75" customHeight="1">
      <c r="A407" s="195" t="s">
        <v>2278</v>
      </c>
      <c r="B407" s="196" t="s">
        <v>2279</v>
      </c>
    </row>
    <row r="408" spans="1:2" ht="15.75" customHeight="1">
      <c r="A408" s="195" t="s">
        <v>2280</v>
      </c>
      <c r="B408" s="196" t="s">
        <v>2281</v>
      </c>
    </row>
    <row r="409" spans="1:2" ht="15.75" customHeight="1">
      <c r="A409" s="195" t="s">
        <v>2282</v>
      </c>
      <c r="B409" s="196" t="s">
        <v>2283</v>
      </c>
    </row>
    <row r="410" spans="1:2" ht="15.75" customHeight="1">
      <c r="A410" s="195" t="s">
        <v>2284</v>
      </c>
      <c r="B410" s="196" t="s">
        <v>2285</v>
      </c>
    </row>
    <row r="411" spans="1:2" ht="15.75" customHeight="1">
      <c r="A411" s="195" t="s">
        <v>2286</v>
      </c>
      <c r="B411" s="196" t="s">
        <v>2287</v>
      </c>
    </row>
    <row r="412" spans="1:2" ht="15.75" customHeight="1">
      <c r="A412" s="195" t="s">
        <v>2288</v>
      </c>
      <c r="B412" s="196" t="s">
        <v>2289</v>
      </c>
    </row>
    <row r="413" spans="1:2" ht="15.75" customHeight="1">
      <c r="A413" s="195" t="s">
        <v>2290</v>
      </c>
      <c r="B413" s="196" t="s">
        <v>2291</v>
      </c>
    </row>
    <row r="414" spans="1:2" ht="15.75" customHeight="1">
      <c r="A414" s="195" t="s">
        <v>2292</v>
      </c>
      <c r="B414" s="196" t="s">
        <v>2293</v>
      </c>
    </row>
    <row r="415" spans="1:2" ht="15.75" customHeight="1">
      <c r="A415" s="195" t="s">
        <v>2294</v>
      </c>
      <c r="B415" s="196" t="s">
        <v>2295</v>
      </c>
    </row>
    <row r="416" spans="1:2" ht="15.75" customHeight="1">
      <c r="A416" s="195" t="s">
        <v>2296</v>
      </c>
      <c r="B416" s="196" t="s">
        <v>2297</v>
      </c>
    </row>
    <row r="417" spans="1:2" ht="15.75" customHeight="1">
      <c r="A417" s="195" t="s">
        <v>2298</v>
      </c>
      <c r="B417" s="196" t="s">
        <v>2299</v>
      </c>
    </row>
    <row r="418" spans="1:2" ht="15.75" customHeight="1">
      <c r="A418" s="195" t="s">
        <v>2300</v>
      </c>
      <c r="B418" s="196" t="s">
        <v>2301</v>
      </c>
    </row>
    <row r="419" spans="1:2" ht="15.75" customHeight="1">
      <c r="A419" s="195" t="s">
        <v>2302</v>
      </c>
      <c r="B419" s="196" t="s">
        <v>2303</v>
      </c>
    </row>
    <row r="420" spans="1:2" ht="15.75" customHeight="1">
      <c r="A420" s="195" t="s">
        <v>2304</v>
      </c>
      <c r="B420" s="196" t="s">
        <v>2305</v>
      </c>
    </row>
    <row r="421" spans="1:2" ht="15.75" customHeight="1">
      <c r="A421" s="195" t="s">
        <v>2306</v>
      </c>
      <c r="B421" s="196" t="s">
        <v>2307</v>
      </c>
    </row>
    <row r="422" spans="1:2" ht="15.75" customHeight="1">
      <c r="A422" s="195" t="s">
        <v>2308</v>
      </c>
      <c r="B422" s="196" t="s">
        <v>2309</v>
      </c>
    </row>
    <row r="423" spans="1:2" ht="15.75" customHeight="1">
      <c r="A423" s="193" t="s">
        <v>1102</v>
      </c>
      <c r="B423" s="194" t="s">
        <v>1103</v>
      </c>
    </row>
    <row r="424" spans="1:2" ht="15.75" customHeight="1">
      <c r="A424" s="195" t="s">
        <v>2310</v>
      </c>
      <c r="B424" s="196" t="s">
        <v>2311</v>
      </c>
    </row>
    <row r="425" spans="1:2" ht="15.75" customHeight="1">
      <c r="A425" s="195" t="s">
        <v>2312</v>
      </c>
      <c r="B425" s="196" t="s">
        <v>2313</v>
      </c>
    </row>
    <row r="426" spans="1:2" ht="15.75" customHeight="1">
      <c r="A426" s="195" t="s">
        <v>2314</v>
      </c>
      <c r="B426" s="196" t="s">
        <v>2315</v>
      </c>
    </row>
    <row r="427" spans="1:2" ht="15.75" customHeight="1">
      <c r="A427" s="195" t="s">
        <v>2316</v>
      </c>
      <c r="B427" s="196" t="s">
        <v>2317</v>
      </c>
    </row>
    <row r="428" spans="1:2" ht="15.75" customHeight="1">
      <c r="A428" s="195" t="s">
        <v>2318</v>
      </c>
      <c r="B428" s="196" t="s">
        <v>2319</v>
      </c>
    </row>
    <row r="429" spans="1:2" ht="15.75" customHeight="1">
      <c r="A429" s="195" t="s">
        <v>2320</v>
      </c>
      <c r="B429" s="196" t="s">
        <v>2321</v>
      </c>
    </row>
    <row r="430" spans="1:2" ht="15.75" customHeight="1">
      <c r="A430" s="195" t="s">
        <v>2322</v>
      </c>
      <c r="B430" s="196" t="s">
        <v>2323</v>
      </c>
    </row>
    <row r="431" spans="1:2" ht="15.75" customHeight="1">
      <c r="A431" s="195" t="s">
        <v>2324</v>
      </c>
      <c r="B431" s="196" t="s">
        <v>2325</v>
      </c>
    </row>
    <row r="432" spans="1:2" ht="15.75" customHeight="1">
      <c r="A432" s="195" t="s">
        <v>2326</v>
      </c>
      <c r="B432" s="196" t="s">
        <v>2327</v>
      </c>
    </row>
    <row r="433" spans="1:2" ht="15.75" customHeight="1">
      <c r="A433" s="195" t="s">
        <v>2328</v>
      </c>
      <c r="B433" s="196" t="s">
        <v>2329</v>
      </c>
    </row>
    <row r="434" spans="1:2" ht="15.75" customHeight="1">
      <c r="A434" s="195" t="s">
        <v>2330</v>
      </c>
      <c r="B434" s="196" t="s">
        <v>2331</v>
      </c>
    </row>
    <row r="435" spans="1:2" ht="15.75" customHeight="1">
      <c r="A435" s="195" t="s">
        <v>2332</v>
      </c>
      <c r="B435" s="196" t="s">
        <v>2333</v>
      </c>
    </row>
    <row r="436" spans="1:2" ht="15.75" customHeight="1">
      <c r="A436" s="195" t="s">
        <v>2334</v>
      </c>
      <c r="B436" s="196" t="s">
        <v>2335</v>
      </c>
    </row>
    <row r="437" spans="1:2" ht="15.75" customHeight="1">
      <c r="A437" s="195" t="s">
        <v>2336</v>
      </c>
      <c r="B437" s="196" t="s">
        <v>2337</v>
      </c>
    </row>
    <row r="438" spans="1:2" ht="15.75" customHeight="1">
      <c r="A438" s="195" t="s">
        <v>2338</v>
      </c>
      <c r="B438" s="196" t="s">
        <v>2339</v>
      </c>
    </row>
    <row r="439" spans="1:2" ht="15.75" customHeight="1">
      <c r="A439" s="195" t="s">
        <v>2340</v>
      </c>
      <c r="B439" s="196" t="s">
        <v>2341</v>
      </c>
    </row>
    <row r="440" spans="1:2" ht="15.75" customHeight="1">
      <c r="A440" s="195" t="s">
        <v>2342</v>
      </c>
      <c r="B440" s="196" t="s">
        <v>2343</v>
      </c>
    </row>
    <row r="441" spans="1:2" ht="15.75" customHeight="1">
      <c r="A441" s="195" t="s">
        <v>2344</v>
      </c>
      <c r="B441" s="196" t="s">
        <v>2345</v>
      </c>
    </row>
    <row r="442" spans="1:2" ht="15.75" customHeight="1">
      <c r="A442" s="195" t="s">
        <v>2346</v>
      </c>
      <c r="B442" s="196" t="s">
        <v>2347</v>
      </c>
    </row>
    <row r="443" spans="1:2" ht="15.75" customHeight="1">
      <c r="A443" s="195" t="s">
        <v>2348</v>
      </c>
      <c r="B443" s="196" t="s">
        <v>2349</v>
      </c>
    </row>
    <row r="444" spans="1:2" ht="15.75" customHeight="1">
      <c r="A444" s="195" t="s">
        <v>2350</v>
      </c>
      <c r="B444" s="196" t="s">
        <v>2351</v>
      </c>
    </row>
    <row r="445" spans="1:2" ht="15.75" customHeight="1">
      <c r="A445" s="195" t="s">
        <v>2352</v>
      </c>
      <c r="B445" s="196" t="s">
        <v>2353</v>
      </c>
    </row>
    <row r="446" spans="1:2" ht="15.75" customHeight="1">
      <c r="A446" s="195" t="s">
        <v>2354</v>
      </c>
      <c r="B446" s="196" t="s">
        <v>2355</v>
      </c>
    </row>
    <row r="447" spans="1:2" ht="15.75" customHeight="1">
      <c r="A447" s="195" t="s">
        <v>2356</v>
      </c>
      <c r="B447" s="196" t="s">
        <v>2357</v>
      </c>
    </row>
    <row r="448" spans="1:2" ht="15.75" customHeight="1">
      <c r="A448" s="195" t="s">
        <v>2358</v>
      </c>
      <c r="B448" s="196" t="s">
        <v>2359</v>
      </c>
    </row>
    <row r="449" spans="1:2" ht="15.75" customHeight="1">
      <c r="A449" s="195" t="s">
        <v>2360</v>
      </c>
      <c r="B449" s="196" t="s">
        <v>2361</v>
      </c>
    </row>
    <row r="450" spans="1:2" ht="15.75" customHeight="1">
      <c r="A450" s="195" t="s">
        <v>2362</v>
      </c>
      <c r="B450" s="196" t="s">
        <v>2363</v>
      </c>
    </row>
    <row r="451" spans="1:2" ht="15.75" customHeight="1">
      <c r="A451" s="195" t="s">
        <v>2364</v>
      </c>
      <c r="B451" s="196" t="s">
        <v>2365</v>
      </c>
    </row>
    <row r="452" spans="1:2" ht="15.75" customHeight="1">
      <c r="A452" s="195" t="s">
        <v>2366</v>
      </c>
      <c r="B452" s="196" t="s">
        <v>2367</v>
      </c>
    </row>
    <row r="453" spans="1:2" ht="15.75" customHeight="1">
      <c r="A453" s="195" t="s">
        <v>2368</v>
      </c>
      <c r="B453" s="196" t="s">
        <v>2369</v>
      </c>
    </row>
    <row r="454" spans="1:2" ht="15.75" customHeight="1">
      <c r="A454" s="195" t="s">
        <v>2370</v>
      </c>
      <c r="B454" s="196" t="s">
        <v>2371</v>
      </c>
    </row>
    <row r="455" spans="1:2" ht="15.75" customHeight="1">
      <c r="A455" s="195" t="s">
        <v>2372</v>
      </c>
      <c r="B455" s="196" t="s">
        <v>2373</v>
      </c>
    </row>
    <row r="456" spans="1:2" ht="15.75" customHeight="1">
      <c r="A456" s="195" t="s">
        <v>2374</v>
      </c>
      <c r="B456" s="196" t="s">
        <v>2375</v>
      </c>
    </row>
    <row r="457" spans="1:2" ht="15.75" customHeight="1">
      <c r="A457" s="195" t="s">
        <v>2376</v>
      </c>
      <c r="B457" s="196" t="s">
        <v>2377</v>
      </c>
    </row>
    <row r="458" spans="1:2" ht="15.75" customHeight="1">
      <c r="A458" s="195" t="s">
        <v>2378</v>
      </c>
      <c r="B458" s="196" t="s">
        <v>2379</v>
      </c>
    </row>
    <row r="459" spans="1:2" ht="15.75" customHeight="1">
      <c r="A459" s="195" t="s">
        <v>2380</v>
      </c>
      <c r="B459" s="196" t="s">
        <v>2381</v>
      </c>
    </row>
    <row r="460" spans="1:2" ht="15.75" customHeight="1">
      <c r="A460" s="195" t="s">
        <v>2382</v>
      </c>
      <c r="B460" s="196" t="s">
        <v>2383</v>
      </c>
    </row>
    <row r="461" spans="1:2" ht="15.75" customHeight="1">
      <c r="A461" s="195" t="s">
        <v>2384</v>
      </c>
      <c r="B461" s="196" t="s">
        <v>2385</v>
      </c>
    </row>
    <row r="462" spans="1:2" ht="15.75" customHeight="1">
      <c r="A462" s="195" t="s">
        <v>2386</v>
      </c>
      <c r="B462" s="196" t="s">
        <v>2387</v>
      </c>
    </row>
    <row r="463" spans="1:2" ht="15.75" customHeight="1">
      <c r="A463" s="195" t="s">
        <v>2388</v>
      </c>
      <c r="B463" s="196" t="s">
        <v>2389</v>
      </c>
    </row>
    <row r="464" spans="1:2" ht="15.75" customHeight="1">
      <c r="A464" s="195" t="s">
        <v>2390</v>
      </c>
      <c r="B464" s="196" t="s">
        <v>2391</v>
      </c>
    </row>
    <row r="465" spans="1:2" ht="15.75" customHeight="1">
      <c r="A465" s="195" t="s">
        <v>2392</v>
      </c>
      <c r="B465" s="196" t="s">
        <v>2393</v>
      </c>
    </row>
    <row r="466" spans="1:2" ht="15.75" customHeight="1">
      <c r="A466" s="195" t="s">
        <v>2394</v>
      </c>
      <c r="B466" s="196" t="s">
        <v>2395</v>
      </c>
    </row>
    <row r="467" spans="1:2" ht="15.75" customHeight="1">
      <c r="A467" s="195" t="s">
        <v>2396</v>
      </c>
      <c r="B467" s="196" t="s">
        <v>2397</v>
      </c>
    </row>
    <row r="468" spans="1:2" ht="15.75" customHeight="1">
      <c r="A468" s="195" t="s">
        <v>2398</v>
      </c>
      <c r="B468" s="196" t="s">
        <v>2399</v>
      </c>
    </row>
    <row r="469" spans="1:2" ht="15.75" customHeight="1">
      <c r="A469" s="195" t="s">
        <v>2400</v>
      </c>
      <c r="B469" s="196" t="s">
        <v>2401</v>
      </c>
    </row>
    <row r="470" spans="1:2" ht="15.75" customHeight="1">
      <c r="A470" s="195" t="s">
        <v>2402</v>
      </c>
      <c r="B470" s="196" t="s">
        <v>2403</v>
      </c>
    </row>
    <row r="471" spans="1:2" ht="15.75" customHeight="1">
      <c r="A471" s="195" t="s">
        <v>2404</v>
      </c>
      <c r="B471" s="196" t="s">
        <v>2405</v>
      </c>
    </row>
    <row r="472" spans="1:2" ht="15.75" customHeight="1">
      <c r="A472" s="195" t="s">
        <v>2406</v>
      </c>
      <c r="B472" s="196" t="s">
        <v>2407</v>
      </c>
    </row>
    <row r="473" spans="1:2" ht="15.75" customHeight="1">
      <c r="A473" s="195" t="s">
        <v>2408</v>
      </c>
      <c r="B473" s="196" t="s">
        <v>2409</v>
      </c>
    </row>
    <row r="474" spans="1:2" ht="15.75" customHeight="1">
      <c r="A474" s="195" t="s">
        <v>2410</v>
      </c>
      <c r="B474" s="196" t="s">
        <v>2411</v>
      </c>
    </row>
    <row r="475" spans="1:2" ht="15.75" customHeight="1">
      <c r="A475" s="195" t="s">
        <v>2412</v>
      </c>
      <c r="B475" s="196" t="s">
        <v>2413</v>
      </c>
    </row>
    <row r="476" spans="1:2" ht="15.75" customHeight="1">
      <c r="A476" s="195" t="s">
        <v>2414</v>
      </c>
      <c r="B476" s="196" t="s">
        <v>2415</v>
      </c>
    </row>
    <row r="477" spans="1:2" ht="15.75" customHeight="1">
      <c r="A477" s="195" t="s">
        <v>2416</v>
      </c>
      <c r="B477" s="196" t="s">
        <v>2417</v>
      </c>
    </row>
    <row r="478" spans="1:2" ht="15.75" customHeight="1">
      <c r="A478" s="195" t="s">
        <v>2418</v>
      </c>
      <c r="B478" s="196" t="s">
        <v>2419</v>
      </c>
    </row>
    <row r="479" spans="1:2" ht="15.75" customHeight="1">
      <c r="A479" s="195" t="s">
        <v>2420</v>
      </c>
      <c r="B479" s="196" t="s">
        <v>2421</v>
      </c>
    </row>
    <row r="480" spans="1:2" ht="15.75" customHeight="1">
      <c r="A480" s="195" t="s">
        <v>2422</v>
      </c>
      <c r="B480" s="196" t="s">
        <v>2423</v>
      </c>
    </row>
    <row r="481" spans="1:2" ht="15.75" customHeight="1">
      <c r="A481" s="195" t="s">
        <v>2424</v>
      </c>
      <c r="B481" s="196" t="s">
        <v>2425</v>
      </c>
    </row>
    <row r="482" spans="1:2" ht="15.75" customHeight="1">
      <c r="A482" s="195" t="s">
        <v>2426</v>
      </c>
      <c r="B482" s="196" t="s">
        <v>2427</v>
      </c>
    </row>
    <row r="483" spans="1:2" ht="15.75" customHeight="1">
      <c r="A483" s="195" t="s">
        <v>2428</v>
      </c>
      <c r="B483" s="196" t="s">
        <v>2429</v>
      </c>
    </row>
    <row r="484" spans="1:2" ht="15.75" customHeight="1">
      <c r="A484" s="195" t="s">
        <v>2430</v>
      </c>
      <c r="B484" s="196" t="s">
        <v>2431</v>
      </c>
    </row>
    <row r="485" spans="1:2" ht="15.75" customHeight="1">
      <c r="A485" s="195" t="s">
        <v>2432</v>
      </c>
      <c r="B485" s="196" t="s">
        <v>2433</v>
      </c>
    </row>
    <row r="486" spans="1:2" ht="15.75" customHeight="1">
      <c r="A486" s="195" t="s">
        <v>2434</v>
      </c>
      <c r="B486" s="196" t="s">
        <v>2435</v>
      </c>
    </row>
    <row r="487" spans="1:2" ht="15.75" customHeight="1">
      <c r="A487" s="195" t="s">
        <v>2436</v>
      </c>
      <c r="B487" s="196" t="s">
        <v>2437</v>
      </c>
    </row>
    <row r="488" spans="1:2" ht="15.75" customHeight="1">
      <c r="A488" s="195" t="s">
        <v>2438</v>
      </c>
      <c r="B488" s="196" t="s">
        <v>2439</v>
      </c>
    </row>
    <row r="489" spans="1:2" ht="15.75" customHeight="1">
      <c r="A489" s="195" t="s">
        <v>2440</v>
      </c>
      <c r="B489" s="196" t="s">
        <v>2441</v>
      </c>
    </row>
    <row r="490" spans="1:2" ht="15.75" customHeight="1">
      <c r="A490" s="195" t="s">
        <v>2442</v>
      </c>
      <c r="B490" s="196" t="s">
        <v>2443</v>
      </c>
    </row>
    <row r="491" spans="1:2" ht="15.75" customHeight="1">
      <c r="A491" s="195" t="s">
        <v>2444</v>
      </c>
      <c r="B491" s="196" t="s">
        <v>2445</v>
      </c>
    </row>
    <row r="492" spans="1:2" ht="15.75" customHeight="1">
      <c r="A492" s="195" t="s">
        <v>2446</v>
      </c>
      <c r="B492" s="196" t="s">
        <v>2447</v>
      </c>
    </row>
    <row r="493" spans="1:2" ht="15.75" customHeight="1">
      <c r="A493" s="195" t="s">
        <v>2448</v>
      </c>
      <c r="B493" s="196" t="s">
        <v>2449</v>
      </c>
    </row>
    <row r="494" spans="1:2" ht="15.75" customHeight="1">
      <c r="A494" s="195" t="s">
        <v>2450</v>
      </c>
      <c r="B494" s="196" t="s">
        <v>2451</v>
      </c>
    </row>
    <row r="495" spans="1:2" ht="15.75" customHeight="1">
      <c r="A495" s="195" t="s">
        <v>2452</v>
      </c>
      <c r="B495" s="196" t="s">
        <v>2453</v>
      </c>
    </row>
    <row r="496" spans="1:2" ht="15.75" customHeight="1">
      <c r="A496" s="195" t="s">
        <v>2454</v>
      </c>
      <c r="B496" s="196" t="s">
        <v>2455</v>
      </c>
    </row>
    <row r="497" spans="1:2" ht="15.75" customHeight="1">
      <c r="A497" s="195" t="s">
        <v>2456</v>
      </c>
      <c r="B497" s="196" t="s">
        <v>2457</v>
      </c>
    </row>
    <row r="498" spans="1:2" ht="15.75" customHeight="1">
      <c r="A498" s="195" t="s">
        <v>2458</v>
      </c>
      <c r="B498" s="196" t="s">
        <v>2459</v>
      </c>
    </row>
    <row r="499" spans="1:2" ht="15.75" customHeight="1">
      <c r="A499" s="195" t="s">
        <v>2460</v>
      </c>
      <c r="B499" s="196" t="s">
        <v>2461</v>
      </c>
    </row>
    <row r="500" spans="1:2" ht="15.75" customHeight="1">
      <c r="A500" s="195" t="s">
        <v>2462</v>
      </c>
      <c r="B500" s="196" t="s">
        <v>2463</v>
      </c>
    </row>
    <row r="501" spans="1:2" ht="15.75" customHeight="1">
      <c r="A501" s="195" t="s">
        <v>2464</v>
      </c>
      <c r="B501" s="196" t="s">
        <v>2465</v>
      </c>
    </row>
    <row r="502" spans="1:2" ht="15.75" customHeight="1">
      <c r="A502" s="195" t="s">
        <v>2466</v>
      </c>
      <c r="B502" s="196" t="s">
        <v>2467</v>
      </c>
    </row>
    <row r="503" spans="1:2" ht="15.75" customHeight="1">
      <c r="A503" s="195" t="s">
        <v>2468</v>
      </c>
      <c r="B503" s="196" t="s">
        <v>2469</v>
      </c>
    </row>
    <row r="504" spans="1:2" ht="15.75" customHeight="1">
      <c r="A504" s="195" t="s">
        <v>2470</v>
      </c>
      <c r="B504" s="196" t="s">
        <v>2471</v>
      </c>
    </row>
    <row r="505" spans="1:2" ht="15.75" customHeight="1">
      <c r="A505" s="195" t="s">
        <v>2472</v>
      </c>
      <c r="B505" s="196" t="s">
        <v>2473</v>
      </c>
    </row>
    <row r="506" spans="1:2" ht="15.75" customHeight="1">
      <c r="A506" s="195" t="s">
        <v>2474</v>
      </c>
      <c r="B506" s="196" t="s">
        <v>2475</v>
      </c>
    </row>
    <row r="507" spans="1:2" ht="15.75" customHeight="1">
      <c r="A507" s="195" t="s">
        <v>2476</v>
      </c>
      <c r="B507" s="196" t="s">
        <v>2477</v>
      </c>
    </row>
    <row r="508" spans="1:2" ht="15.75" customHeight="1">
      <c r="A508" s="195" t="s">
        <v>2478</v>
      </c>
      <c r="B508" s="196" t="s">
        <v>2479</v>
      </c>
    </row>
    <row r="509" spans="1:2" ht="15.75" customHeight="1">
      <c r="A509" s="195" t="s">
        <v>2480</v>
      </c>
      <c r="B509" s="196" t="s">
        <v>2481</v>
      </c>
    </row>
    <row r="510" spans="1:2" ht="15.75" customHeight="1">
      <c r="A510" s="195" t="s">
        <v>2482</v>
      </c>
      <c r="B510" s="196" t="s">
        <v>2483</v>
      </c>
    </row>
    <row r="511" spans="1:2" ht="15.75" customHeight="1">
      <c r="A511" s="195" t="s">
        <v>2484</v>
      </c>
      <c r="B511" s="196" t="s">
        <v>2485</v>
      </c>
    </row>
    <row r="512" spans="1:2" ht="15.75" customHeight="1">
      <c r="A512" s="195" t="s">
        <v>2486</v>
      </c>
      <c r="B512" s="196" t="s">
        <v>2487</v>
      </c>
    </row>
    <row r="513" spans="1:2" ht="15.75" customHeight="1">
      <c r="A513" s="195" t="s">
        <v>2488</v>
      </c>
      <c r="B513" s="196" t="s">
        <v>2489</v>
      </c>
    </row>
    <row r="514" spans="1:2" ht="15.75" customHeight="1">
      <c r="A514" s="195" t="s">
        <v>2490</v>
      </c>
      <c r="B514" s="196" t="s">
        <v>2491</v>
      </c>
    </row>
    <row r="515" spans="1:2" ht="15.75" customHeight="1">
      <c r="A515" s="195" t="s">
        <v>2492</v>
      </c>
      <c r="B515" s="196" t="s">
        <v>2493</v>
      </c>
    </row>
    <row r="516" spans="1:2" ht="15.75" customHeight="1">
      <c r="A516" s="195" t="s">
        <v>2494</v>
      </c>
      <c r="B516" s="196" t="s">
        <v>2495</v>
      </c>
    </row>
    <row r="517" spans="1:2" ht="15.75" customHeight="1">
      <c r="A517" s="195" t="s">
        <v>2496</v>
      </c>
      <c r="B517" s="196" t="s">
        <v>2497</v>
      </c>
    </row>
    <row r="518" spans="1:2" ht="15.75" customHeight="1">
      <c r="A518" s="195" t="s">
        <v>2498</v>
      </c>
      <c r="B518" s="196" t="s">
        <v>2499</v>
      </c>
    </row>
    <row r="519" spans="1:2" ht="15.75" customHeight="1">
      <c r="A519" s="195" t="s">
        <v>2500</v>
      </c>
      <c r="B519" s="196" t="s">
        <v>2501</v>
      </c>
    </row>
    <row r="520" spans="1:2" ht="15.75" customHeight="1">
      <c r="A520" s="195" t="s">
        <v>2502</v>
      </c>
      <c r="B520" s="196" t="s">
        <v>2503</v>
      </c>
    </row>
    <row r="521" spans="1:2" ht="15.75" customHeight="1">
      <c r="A521" s="195" t="s">
        <v>2504</v>
      </c>
      <c r="B521" s="196" t="s">
        <v>2505</v>
      </c>
    </row>
    <row r="522" spans="1:2" ht="15.75" customHeight="1">
      <c r="A522" s="195" t="s">
        <v>2506</v>
      </c>
      <c r="B522" s="196" t="s">
        <v>2507</v>
      </c>
    </row>
    <row r="523" spans="1:2" ht="15.75" customHeight="1">
      <c r="A523" s="195" t="s">
        <v>2508</v>
      </c>
      <c r="B523" s="196" t="s">
        <v>2509</v>
      </c>
    </row>
    <row r="524" spans="1:2" ht="15.75" customHeight="1">
      <c r="A524" s="195" t="s">
        <v>2510</v>
      </c>
      <c r="B524" s="196" t="s">
        <v>2511</v>
      </c>
    </row>
    <row r="525" spans="1:2" ht="15.75" customHeight="1">
      <c r="A525" s="195" t="s">
        <v>2512</v>
      </c>
      <c r="B525" s="196" t="s">
        <v>2513</v>
      </c>
    </row>
    <row r="526" spans="1:2" ht="15.75" customHeight="1">
      <c r="A526" s="195" t="s">
        <v>2514</v>
      </c>
      <c r="B526" s="196" t="s">
        <v>2515</v>
      </c>
    </row>
    <row r="527" spans="1:2" ht="15.75" customHeight="1">
      <c r="A527" s="195" t="s">
        <v>2516</v>
      </c>
      <c r="B527" s="196" t="s">
        <v>2517</v>
      </c>
    </row>
    <row r="528" spans="1:2" ht="15.75" customHeight="1">
      <c r="A528" s="195" t="s">
        <v>2518</v>
      </c>
      <c r="B528" s="196" t="s">
        <v>2519</v>
      </c>
    </row>
    <row r="529" spans="1:2" ht="15.75" customHeight="1">
      <c r="A529" s="195" t="s">
        <v>2520</v>
      </c>
      <c r="B529" s="196" t="s">
        <v>2521</v>
      </c>
    </row>
    <row r="530" spans="1:2" ht="15.75" customHeight="1">
      <c r="A530" s="195" t="s">
        <v>2522</v>
      </c>
      <c r="B530" s="196" t="s">
        <v>2523</v>
      </c>
    </row>
    <row r="531" spans="1:2" ht="15.75" customHeight="1">
      <c r="A531" s="195" t="s">
        <v>2524</v>
      </c>
      <c r="B531" s="196" t="s">
        <v>2525</v>
      </c>
    </row>
    <row r="532" spans="1:2" ht="15.75" customHeight="1">
      <c r="A532" s="195" t="s">
        <v>2526</v>
      </c>
      <c r="B532" s="196" t="s">
        <v>2527</v>
      </c>
    </row>
    <row r="533" spans="1:2" ht="15.75" customHeight="1">
      <c r="A533" s="195" t="s">
        <v>2528</v>
      </c>
      <c r="B533" s="196" t="s">
        <v>2529</v>
      </c>
    </row>
    <row r="534" spans="1:2" ht="15.75" customHeight="1">
      <c r="A534" s="195" t="s">
        <v>2530</v>
      </c>
      <c r="B534" s="196" t="s">
        <v>2531</v>
      </c>
    </row>
    <row r="535" spans="1:2" ht="15.75" customHeight="1">
      <c r="A535" s="195" t="s">
        <v>2532</v>
      </c>
      <c r="B535" s="196" t="s">
        <v>2533</v>
      </c>
    </row>
    <row r="536" spans="1:2" ht="15.75" customHeight="1">
      <c r="A536" s="195" t="s">
        <v>2534</v>
      </c>
      <c r="B536" s="196" t="s">
        <v>2535</v>
      </c>
    </row>
    <row r="537" spans="1:2" ht="15.75" customHeight="1">
      <c r="A537" s="195" t="s">
        <v>2536</v>
      </c>
      <c r="B537" s="196" t="s">
        <v>2537</v>
      </c>
    </row>
    <row r="538" spans="1:2" ht="15.75" customHeight="1">
      <c r="A538" s="195" t="s">
        <v>2538</v>
      </c>
      <c r="B538" s="196" t="s">
        <v>2539</v>
      </c>
    </row>
    <row r="539" spans="1:2" ht="15.75" customHeight="1">
      <c r="A539" s="195" t="s">
        <v>2540</v>
      </c>
      <c r="B539" s="196" t="s">
        <v>2541</v>
      </c>
    </row>
    <row r="540" spans="1:2" ht="15.75" customHeight="1">
      <c r="A540" s="195" t="s">
        <v>2542</v>
      </c>
      <c r="B540" s="196" t="s">
        <v>2543</v>
      </c>
    </row>
    <row r="541" spans="1:2" ht="15.75" customHeight="1">
      <c r="A541" s="195" t="s">
        <v>2544</v>
      </c>
      <c r="B541" s="196" t="s">
        <v>2545</v>
      </c>
    </row>
    <row r="542" spans="1:2" ht="15.75" customHeight="1">
      <c r="A542" s="195" t="s">
        <v>2546</v>
      </c>
      <c r="B542" s="196" t="s">
        <v>2547</v>
      </c>
    </row>
    <row r="543" spans="1:2" ht="15.75" customHeight="1">
      <c r="A543" s="195" t="s">
        <v>2548</v>
      </c>
      <c r="B543" s="196" t="s">
        <v>2549</v>
      </c>
    </row>
    <row r="544" spans="1:2" ht="15.75" customHeight="1">
      <c r="A544" s="195" t="s">
        <v>2550</v>
      </c>
      <c r="B544" s="196" t="s">
        <v>2551</v>
      </c>
    </row>
    <row r="545" spans="1:2" ht="15.75" customHeight="1">
      <c r="A545" s="195" t="s">
        <v>2552</v>
      </c>
      <c r="B545" s="196" t="s">
        <v>2553</v>
      </c>
    </row>
    <row r="546" spans="1:2" ht="15.75" customHeight="1">
      <c r="A546" s="195" t="s">
        <v>2554</v>
      </c>
      <c r="B546" s="196" t="s">
        <v>2555</v>
      </c>
    </row>
    <row r="547" spans="1:2" ht="15.75" customHeight="1">
      <c r="A547" s="195" t="s">
        <v>2556</v>
      </c>
      <c r="B547" s="196" t="s">
        <v>2557</v>
      </c>
    </row>
    <row r="548" spans="1:2" ht="15.75" customHeight="1">
      <c r="A548" s="195" t="s">
        <v>2558</v>
      </c>
      <c r="B548" s="196" t="s">
        <v>2559</v>
      </c>
    </row>
    <row r="549" spans="1:2" ht="15.75" customHeight="1">
      <c r="A549" s="195" t="s">
        <v>2560</v>
      </c>
      <c r="B549" s="196" t="s">
        <v>2561</v>
      </c>
    </row>
    <row r="550" spans="1:2" ht="15.75" customHeight="1">
      <c r="A550" s="195" t="s">
        <v>2562</v>
      </c>
      <c r="B550" s="196" t="s">
        <v>2563</v>
      </c>
    </row>
    <row r="551" spans="1:2" ht="15.75" customHeight="1">
      <c r="A551" s="195" t="s">
        <v>2564</v>
      </c>
      <c r="B551" s="196" t="s">
        <v>2565</v>
      </c>
    </row>
    <row r="552" spans="1:2" ht="15.75" customHeight="1">
      <c r="A552" s="195" t="s">
        <v>2566</v>
      </c>
      <c r="B552" s="196" t="s">
        <v>2567</v>
      </c>
    </row>
    <row r="553" spans="1:2" ht="15.75" customHeight="1">
      <c r="A553" s="195" t="s">
        <v>2568</v>
      </c>
      <c r="B553" s="196" t="s">
        <v>2569</v>
      </c>
    </row>
    <row r="554" spans="1:2" ht="15.75" customHeight="1">
      <c r="A554" s="195" t="s">
        <v>2570</v>
      </c>
      <c r="B554" s="196" t="s">
        <v>2571</v>
      </c>
    </row>
    <row r="555" spans="1:2" ht="15.75" customHeight="1">
      <c r="A555" s="195" t="s">
        <v>2572</v>
      </c>
      <c r="B555" s="196" t="s">
        <v>2573</v>
      </c>
    </row>
    <row r="556" spans="1:2" ht="15.75" customHeight="1">
      <c r="A556" s="195" t="s">
        <v>2574</v>
      </c>
      <c r="B556" s="196" t="s">
        <v>2575</v>
      </c>
    </row>
    <row r="557" spans="1:2" ht="15.75" customHeight="1">
      <c r="A557" s="195" t="s">
        <v>2576</v>
      </c>
      <c r="B557" s="196" t="s">
        <v>2577</v>
      </c>
    </row>
    <row r="558" spans="1:2" ht="15.75" customHeight="1">
      <c r="A558" s="195" t="s">
        <v>2578</v>
      </c>
      <c r="B558" s="196" t="s">
        <v>2579</v>
      </c>
    </row>
    <row r="559" spans="1:2" ht="15.75" customHeight="1">
      <c r="A559" s="195" t="s">
        <v>2580</v>
      </c>
      <c r="B559" s="196" t="s">
        <v>2581</v>
      </c>
    </row>
    <row r="560" spans="1:2" ht="15.75" customHeight="1">
      <c r="A560" s="195" t="s">
        <v>2582</v>
      </c>
      <c r="B560" s="196" t="s">
        <v>2583</v>
      </c>
    </row>
    <row r="561" spans="1:2" ht="15.75" customHeight="1">
      <c r="A561" s="195" t="s">
        <v>2584</v>
      </c>
      <c r="B561" s="196" t="s">
        <v>2377</v>
      </c>
    </row>
    <row r="562" spans="1:2" ht="15.75" customHeight="1">
      <c r="A562" s="195" t="s">
        <v>2585</v>
      </c>
      <c r="B562" s="196" t="s">
        <v>2586</v>
      </c>
    </row>
    <row r="563" spans="1:2" ht="15.75" customHeight="1">
      <c r="A563" s="195" t="s">
        <v>2587</v>
      </c>
      <c r="B563" s="196" t="s">
        <v>2588</v>
      </c>
    </row>
    <row r="564" spans="1:2" ht="15.75" customHeight="1">
      <c r="A564" s="195" t="s">
        <v>2589</v>
      </c>
      <c r="B564" s="196" t="s">
        <v>2590</v>
      </c>
    </row>
    <row r="565" spans="1:2" ht="15.75" customHeight="1">
      <c r="A565" s="195" t="s">
        <v>2591</v>
      </c>
      <c r="B565" s="196" t="s">
        <v>2592</v>
      </c>
    </row>
    <row r="566" spans="1:2" ht="15.75" customHeight="1">
      <c r="A566" s="195" t="s">
        <v>2593</v>
      </c>
      <c r="B566" s="196" t="s">
        <v>2594</v>
      </c>
    </row>
    <row r="567" spans="1:2" ht="15.75" customHeight="1">
      <c r="A567" s="195" t="s">
        <v>2595</v>
      </c>
      <c r="B567" s="196" t="s">
        <v>2596</v>
      </c>
    </row>
    <row r="568" spans="1:2" ht="15.75" customHeight="1">
      <c r="A568" s="195" t="s">
        <v>2597</v>
      </c>
      <c r="B568" s="196" t="s">
        <v>2598</v>
      </c>
    </row>
    <row r="569" spans="1:2" ht="15.75" customHeight="1">
      <c r="A569" s="195" t="s">
        <v>2599</v>
      </c>
      <c r="B569" s="196" t="s">
        <v>2600</v>
      </c>
    </row>
    <row r="570" spans="1:2" ht="15.75" customHeight="1">
      <c r="A570" s="195" t="s">
        <v>2601</v>
      </c>
      <c r="B570" s="196" t="s">
        <v>2602</v>
      </c>
    </row>
    <row r="571" spans="1:2" ht="15.75" customHeight="1">
      <c r="A571" s="195" t="s">
        <v>2603</v>
      </c>
      <c r="B571" s="196" t="s">
        <v>2604</v>
      </c>
    </row>
    <row r="572" spans="1:2" ht="15.75" customHeight="1">
      <c r="A572" s="195" t="s">
        <v>2605</v>
      </c>
      <c r="B572" s="196" t="s">
        <v>2606</v>
      </c>
    </row>
    <row r="573" spans="1:2" ht="15.75" customHeight="1">
      <c r="A573" s="195" t="s">
        <v>2607</v>
      </c>
      <c r="B573" s="196" t="s">
        <v>2608</v>
      </c>
    </row>
    <row r="574" spans="1:2" ht="15.75" customHeight="1">
      <c r="A574" s="195" t="s">
        <v>2609</v>
      </c>
      <c r="B574" s="196" t="s">
        <v>2610</v>
      </c>
    </row>
    <row r="575" spans="1:2" ht="15.75" customHeight="1">
      <c r="A575" s="195" t="s">
        <v>2611</v>
      </c>
      <c r="B575" s="196" t="s">
        <v>2612</v>
      </c>
    </row>
    <row r="576" spans="1:2" ht="15.75" customHeight="1">
      <c r="A576" s="195" t="s">
        <v>2613</v>
      </c>
      <c r="B576" s="196" t="s">
        <v>2614</v>
      </c>
    </row>
    <row r="577" spans="1:2" ht="15.75" customHeight="1">
      <c r="A577" s="195" t="s">
        <v>2615</v>
      </c>
      <c r="B577" s="196" t="s">
        <v>2616</v>
      </c>
    </row>
    <row r="578" spans="1:2" ht="15.75" customHeight="1">
      <c r="A578" s="195" t="s">
        <v>2617</v>
      </c>
      <c r="B578" s="196" t="s">
        <v>2618</v>
      </c>
    </row>
    <row r="579" spans="1:2" ht="15.75" customHeight="1">
      <c r="A579" s="195" t="s">
        <v>2619</v>
      </c>
      <c r="B579" s="196" t="s">
        <v>2620</v>
      </c>
    </row>
    <row r="580" spans="1:2" ht="15.75" customHeight="1">
      <c r="A580" s="195" t="s">
        <v>2621</v>
      </c>
      <c r="B580" s="196" t="s">
        <v>2622</v>
      </c>
    </row>
    <row r="581" spans="1:2" ht="15.75" customHeight="1">
      <c r="A581" s="195" t="s">
        <v>2623</v>
      </c>
      <c r="B581" s="196" t="s">
        <v>2624</v>
      </c>
    </row>
    <row r="582" spans="1:2" ht="15.75" customHeight="1">
      <c r="A582" s="195" t="s">
        <v>2625</v>
      </c>
      <c r="B582" s="196" t="s">
        <v>2626</v>
      </c>
    </row>
    <row r="583" spans="1:2" ht="15.75" customHeight="1">
      <c r="A583" s="195" t="s">
        <v>2627</v>
      </c>
      <c r="B583" s="196" t="s">
        <v>2628</v>
      </c>
    </row>
    <row r="584" spans="1:2" ht="15.75" customHeight="1">
      <c r="A584" s="195" t="s">
        <v>2629</v>
      </c>
      <c r="B584" s="196" t="s">
        <v>2630</v>
      </c>
    </row>
    <row r="585" spans="1:2" ht="15.75" customHeight="1">
      <c r="A585" s="195" t="s">
        <v>2631</v>
      </c>
      <c r="B585" s="196" t="s">
        <v>2632</v>
      </c>
    </row>
    <row r="586" spans="1:2" ht="15.75" customHeight="1">
      <c r="A586" s="195" t="s">
        <v>2633</v>
      </c>
      <c r="B586" s="196" t="s">
        <v>2634</v>
      </c>
    </row>
    <row r="587" spans="1:2" ht="15.75" customHeight="1">
      <c r="A587" s="195" t="s">
        <v>2635</v>
      </c>
      <c r="B587" s="196" t="s">
        <v>2636</v>
      </c>
    </row>
    <row r="588" spans="1:2" ht="15.75" customHeight="1">
      <c r="A588" s="195" t="s">
        <v>2637</v>
      </c>
      <c r="B588" s="196" t="s">
        <v>2638</v>
      </c>
    </row>
    <row r="589" spans="1:2" ht="15.75" customHeight="1">
      <c r="A589" s="195" t="s">
        <v>2639</v>
      </c>
      <c r="B589" s="196" t="s">
        <v>2640</v>
      </c>
    </row>
    <row r="590" spans="1:2" ht="15.75" customHeight="1">
      <c r="A590" s="195" t="s">
        <v>2641</v>
      </c>
      <c r="B590" s="196" t="s">
        <v>2642</v>
      </c>
    </row>
    <row r="591" spans="1:2" ht="15.75" customHeight="1">
      <c r="A591" s="195" t="s">
        <v>2643</v>
      </c>
      <c r="B591" s="196" t="s">
        <v>2644</v>
      </c>
    </row>
    <row r="592" spans="1:2" ht="15.75" customHeight="1">
      <c r="A592" s="195" t="s">
        <v>2645</v>
      </c>
      <c r="B592" s="196" t="s">
        <v>2646</v>
      </c>
    </row>
    <row r="593" spans="1:2" ht="15.75" customHeight="1">
      <c r="A593" s="195" t="s">
        <v>2647</v>
      </c>
      <c r="B593" s="196" t="s">
        <v>2648</v>
      </c>
    </row>
    <row r="594" spans="1:2" ht="15.75" customHeight="1">
      <c r="A594" s="195" t="s">
        <v>2649</v>
      </c>
      <c r="B594" s="196" t="s">
        <v>2650</v>
      </c>
    </row>
    <row r="595" spans="1:2" ht="15.75" customHeight="1">
      <c r="A595" s="195" t="s">
        <v>2651</v>
      </c>
      <c r="B595" s="196" t="s">
        <v>2652</v>
      </c>
    </row>
    <row r="596" spans="1:2" ht="15.75" customHeight="1">
      <c r="A596" s="195" t="s">
        <v>2653</v>
      </c>
      <c r="B596" s="196" t="s">
        <v>2654</v>
      </c>
    </row>
    <row r="597" spans="1:2" ht="15.75" customHeight="1">
      <c r="A597" s="195" t="s">
        <v>2655</v>
      </c>
      <c r="B597" s="196" t="s">
        <v>2656</v>
      </c>
    </row>
    <row r="598" spans="1:2" ht="15.75" customHeight="1">
      <c r="A598" s="195" t="s">
        <v>2657</v>
      </c>
      <c r="B598" s="196" t="s">
        <v>2658</v>
      </c>
    </row>
    <row r="599" spans="1:2" ht="15.75" customHeight="1">
      <c r="A599" s="195" t="s">
        <v>2659</v>
      </c>
      <c r="B599" s="196" t="s">
        <v>2660</v>
      </c>
    </row>
    <row r="600" spans="1:2" ht="15.75" customHeight="1">
      <c r="A600" s="195" t="s">
        <v>2661</v>
      </c>
      <c r="B600" s="196" t="s">
        <v>2662</v>
      </c>
    </row>
    <row r="601" spans="1:2" ht="15.75" customHeight="1">
      <c r="A601" s="195" t="s">
        <v>2663</v>
      </c>
      <c r="B601" s="196" t="s">
        <v>2664</v>
      </c>
    </row>
    <row r="602" spans="1:2" ht="15.75" customHeight="1">
      <c r="A602" s="195" t="s">
        <v>2665</v>
      </c>
      <c r="B602" s="196" t="s">
        <v>2666</v>
      </c>
    </row>
    <row r="603" spans="1:2" ht="15.75" customHeight="1">
      <c r="A603" s="195" t="s">
        <v>2667</v>
      </c>
      <c r="B603" s="196" t="s">
        <v>2668</v>
      </c>
    </row>
    <row r="604" spans="1:2" ht="15.75" customHeight="1">
      <c r="A604" s="195" t="s">
        <v>2669</v>
      </c>
      <c r="B604" s="196" t="s">
        <v>2670</v>
      </c>
    </row>
    <row r="605" spans="1:2" ht="15.75" customHeight="1">
      <c r="A605" s="195" t="s">
        <v>2671</v>
      </c>
      <c r="B605" s="196" t="s">
        <v>2672</v>
      </c>
    </row>
    <row r="606" spans="1:2" ht="15.75" customHeight="1">
      <c r="A606" s="195" t="s">
        <v>2673</v>
      </c>
      <c r="B606" s="196" t="s">
        <v>2674</v>
      </c>
    </row>
    <row r="607" spans="1:2" ht="15.75" customHeight="1">
      <c r="A607" s="195" t="s">
        <v>2675</v>
      </c>
      <c r="B607" s="196" t="s">
        <v>2676</v>
      </c>
    </row>
    <row r="608" spans="1:2" ht="15.75" customHeight="1">
      <c r="A608" s="195" t="s">
        <v>2677</v>
      </c>
      <c r="B608" s="196" t="s">
        <v>2678</v>
      </c>
    </row>
    <row r="609" spans="1:2" ht="15.75" customHeight="1">
      <c r="A609" s="195" t="s">
        <v>2679</v>
      </c>
      <c r="B609" s="196" t="s">
        <v>2680</v>
      </c>
    </row>
    <row r="610" spans="1:2" ht="15.75" customHeight="1">
      <c r="A610" s="195" t="s">
        <v>2681</v>
      </c>
      <c r="B610" s="196" t="s">
        <v>2682</v>
      </c>
    </row>
    <row r="611" spans="1:2" ht="15.75" customHeight="1">
      <c r="A611" s="195" t="s">
        <v>2683</v>
      </c>
      <c r="B611" s="196" t="s">
        <v>2684</v>
      </c>
    </row>
    <row r="612" spans="1:2" ht="15.75" customHeight="1">
      <c r="A612" s="195" t="s">
        <v>2685</v>
      </c>
      <c r="B612" s="196" t="s">
        <v>2686</v>
      </c>
    </row>
    <row r="613" spans="1:2" ht="15.75" customHeight="1">
      <c r="A613" s="195" t="s">
        <v>2687</v>
      </c>
      <c r="B613" s="196" t="s">
        <v>2688</v>
      </c>
    </row>
    <row r="614" spans="1:2" ht="15.75" customHeight="1">
      <c r="A614" s="195" t="s">
        <v>2689</v>
      </c>
      <c r="B614" s="196" t="s">
        <v>2690</v>
      </c>
    </row>
    <row r="615" spans="1:2" ht="15.75" customHeight="1">
      <c r="A615" s="195" t="s">
        <v>2691</v>
      </c>
      <c r="B615" s="196" t="s">
        <v>2692</v>
      </c>
    </row>
    <row r="616" spans="1:2" ht="15.75" customHeight="1">
      <c r="A616" s="195" t="s">
        <v>2693</v>
      </c>
      <c r="B616" s="196" t="s">
        <v>2694</v>
      </c>
    </row>
    <row r="617" spans="1:2" ht="15.75" customHeight="1">
      <c r="A617" s="195" t="s">
        <v>2695</v>
      </c>
      <c r="B617" s="196" t="s">
        <v>2696</v>
      </c>
    </row>
    <row r="618" spans="1:2" ht="15.75" customHeight="1">
      <c r="A618" s="195" t="s">
        <v>2697</v>
      </c>
      <c r="B618" s="196" t="s">
        <v>2698</v>
      </c>
    </row>
    <row r="619" spans="1:2" ht="15.75" customHeight="1">
      <c r="A619" s="195" t="s">
        <v>2699</v>
      </c>
      <c r="B619" s="196" t="s">
        <v>2700</v>
      </c>
    </row>
    <row r="620" spans="1:2" ht="15.75" customHeight="1">
      <c r="A620" s="195" t="s">
        <v>1768</v>
      </c>
      <c r="B620" s="196" t="s">
        <v>2701</v>
      </c>
    </row>
    <row r="621" spans="1:2" ht="15.75" customHeight="1">
      <c r="A621" s="195" t="s">
        <v>2702</v>
      </c>
      <c r="B621" s="196" t="s">
        <v>2703</v>
      </c>
    </row>
    <row r="622" spans="1:2" ht="15.75" customHeight="1">
      <c r="A622" s="195" t="s">
        <v>2704</v>
      </c>
      <c r="B622" s="196" t="s">
        <v>2705</v>
      </c>
    </row>
    <row r="623" spans="1:2" ht="15.75" customHeight="1">
      <c r="A623" s="195" t="s">
        <v>2706</v>
      </c>
      <c r="B623" s="196" t="s">
        <v>2707</v>
      </c>
    </row>
    <row r="624" spans="1:2" ht="15.75" customHeight="1">
      <c r="A624" s="195" t="s">
        <v>2708</v>
      </c>
      <c r="B624" s="196" t="s">
        <v>2709</v>
      </c>
    </row>
    <row r="625" spans="1:2" ht="15.75" customHeight="1">
      <c r="A625" s="195" t="s">
        <v>2710</v>
      </c>
      <c r="B625" s="196" t="s">
        <v>1864</v>
      </c>
    </row>
    <row r="626" spans="1:2" ht="15.75" customHeight="1">
      <c r="A626" s="195" t="s">
        <v>2711</v>
      </c>
      <c r="B626" s="196" t="s">
        <v>2712</v>
      </c>
    </row>
    <row r="627" spans="1:2" ht="15.75" customHeight="1">
      <c r="A627" s="195" t="s">
        <v>2713</v>
      </c>
      <c r="B627" s="196" t="s">
        <v>2714</v>
      </c>
    </row>
    <row r="628" spans="1:2" ht="15.75" customHeight="1">
      <c r="A628" s="195" t="s">
        <v>2715</v>
      </c>
      <c r="B628" s="196" t="s">
        <v>2716</v>
      </c>
    </row>
    <row r="629" spans="1:2" ht="15.75" customHeight="1">
      <c r="A629" s="195" t="s">
        <v>2717</v>
      </c>
      <c r="B629" s="196" t="s">
        <v>2718</v>
      </c>
    </row>
    <row r="630" spans="1:2" ht="15.75" customHeight="1">
      <c r="A630" s="195" t="s">
        <v>2719</v>
      </c>
      <c r="B630" s="196" t="s">
        <v>2720</v>
      </c>
    </row>
    <row r="631" spans="1:2" ht="15.75" customHeight="1">
      <c r="A631" s="195" t="s">
        <v>2721</v>
      </c>
      <c r="B631" s="196" t="s">
        <v>2722</v>
      </c>
    </row>
    <row r="632" spans="1:2" ht="15.75" customHeight="1">
      <c r="A632" s="195" t="s">
        <v>2723</v>
      </c>
      <c r="B632" s="196" t="s">
        <v>2724</v>
      </c>
    </row>
    <row r="633" spans="1:2" ht="15.75" customHeight="1">
      <c r="A633" s="195" t="s">
        <v>2725</v>
      </c>
      <c r="B633" s="196" t="s">
        <v>2726</v>
      </c>
    </row>
    <row r="634" spans="1:2" ht="15.75" customHeight="1">
      <c r="A634" s="195" t="s">
        <v>2727</v>
      </c>
      <c r="B634" s="196" t="s">
        <v>2728</v>
      </c>
    </row>
    <row r="635" spans="1:2" ht="15.75" customHeight="1">
      <c r="A635" s="195" t="s">
        <v>2729</v>
      </c>
      <c r="B635" s="196" t="s">
        <v>2730</v>
      </c>
    </row>
    <row r="636" spans="1:2" ht="15.75" customHeight="1">
      <c r="A636" s="195" t="s">
        <v>2731</v>
      </c>
      <c r="B636" s="196" t="s">
        <v>2732</v>
      </c>
    </row>
    <row r="637" spans="1:2" ht="15.75" customHeight="1">
      <c r="A637" s="195" t="s">
        <v>2733</v>
      </c>
      <c r="B637" s="196" t="s">
        <v>2734</v>
      </c>
    </row>
    <row r="638" spans="1:2" ht="15.75" customHeight="1">
      <c r="A638" s="195" t="s">
        <v>2735</v>
      </c>
      <c r="B638" s="196" t="s">
        <v>2736</v>
      </c>
    </row>
    <row r="639" spans="1:2" ht="15.75" customHeight="1">
      <c r="A639" s="195" t="s">
        <v>2737</v>
      </c>
      <c r="B639" s="196" t="s">
        <v>2738</v>
      </c>
    </row>
    <row r="640" spans="1:2" ht="15.75" customHeight="1">
      <c r="A640" s="195" t="s">
        <v>2739</v>
      </c>
      <c r="B640" s="196" t="s">
        <v>2740</v>
      </c>
    </row>
    <row r="641" spans="1:2" ht="15.75" customHeight="1">
      <c r="A641" s="195" t="s">
        <v>2741</v>
      </c>
      <c r="B641" s="196" t="s">
        <v>2742</v>
      </c>
    </row>
    <row r="642" spans="1:2" ht="15.75" customHeight="1">
      <c r="A642" s="195" t="s">
        <v>2743</v>
      </c>
      <c r="B642" s="196" t="s">
        <v>2744</v>
      </c>
    </row>
    <row r="643" spans="1:2" ht="15.75" customHeight="1">
      <c r="A643" s="195" t="s">
        <v>2745</v>
      </c>
      <c r="B643" s="196" t="s">
        <v>2746</v>
      </c>
    </row>
    <row r="644" spans="1:2" ht="15.75" customHeight="1">
      <c r="A644" s="195" t="s">
        <v>2747</v>
      </c>
      <c r="B644" s="196" t="s">
        <v>2748</v>
      </c>
    </row>
    <row r="645" spans="1:2" ht="15.75" customHeight="1">
      <c r="A645" s="195" t="s">
        <v>2749</v>
      </c>
      <c r="B645" s="196" t="s">
        <v>2750</v>
      </c>
    </row>
    <row r="646" spans="1:2" ht="15.75" customHeight="1">
      <c r="A646" s="195" t="s">
        <v>2751</v>
      </c>
      <c r="B646" s="196" t="s">
        <v>2752</v>
      </c>
    </row>
    <row r="647" spans="1:2" ht="15.75" customHeight="1">
      <c r="A647" s="195" t="s">
        <v>2753</v>
      </c>
      <c r="B647" s="196" t="s">
        <v>2754</v>
      </c>
    </row>
    <row r="648" spans="1:2" ht="15.75" customHeight="1">
      <c r="A648" s="195" t="s">
        <v>2755</v>
      </c>
      <c r="B648" s="196" t="s">
        <v>2756</v>
      </c>
    </row>
    <row r="649" spans="1:2" ht="15.75" customHeight="1">
      <c r="A649" s="195" t="s">
        <v>2757</v>
      </c>
      <c r="B649" s="196" t="s">
        <v>2758</v>
      </c>
    </row>
    <row r="650" spans="1:2" ht="15.75" customHeight="1">
      <c r="A650" s="195" t="s">
        <v>2759</v>
      </c>
      <c r="B650" s="196" t="s">
        <v>2760</v>
      </c>
    </row>
    <row r="651" spans="1:2" ht="15.75" customHeight="1">
      <c r="A651" s="195" t="s">
        <v>2761</v>
      </c>
      <c r="B651" s="196" t="s">
        <v>2762</v>
      </c>
    </row>
    <row r="652" spans="1:2" ht="15.75" customHeight="1">
      <c r="A652" s="195" t="s">
        <v>2763</v>
      </c>
      <c r="B652" s="196" t="s">
        <v>2764</v>
      </c>
    </row>
    <row r="653" spans="1:2" ht="15.75" customHeight="1">
      <c r="A653" s="195" t="s">
        <v>2765</v>
      </c>
      <c r="B653" s="196" t="s">
        <v>2766</v>
      </c>
    </row>
    <row r="654" spans="1:2" ht="15.75" customHeight="1">
      <c r="A654" s="195" t="s">
        <v>2767</v>
      </c>
      <c r="B654" s="196" t="s">
        <v>2768</v>
      </c>
    </row>
    <row r="655" spans="1:2" ht="15.75" customHeight="1">
      <c r="A655" s="195" t="s">
        <v>2769</v>
      </c>
      <c r="B655" s="196" t="s">
        <v>2770</v>
      </c>
    </row>
    <row r="656" spans="1:2" ht="15.75" customHeight="1">
      <c r="A656" s="195" t="s">
        <v>2771</v>
      </c>
      <c r="B656" s="196" t="s">
        <v>2772</v>
      </c>
    </row>
    <row r="657" spans="1:2" ht="15.75" customHeight="1">
      <c r="A657" s="195" t="s">
        <v>2773</v>
      </c>
      <c r="B657" s="196" t="s">
        <v>2774</v>
      </c>
    </row>
    <row r="658" spans="1:2" ht="15.75" customHeight="1">
      <c r="A658" s="195" t="s">
        <v>2775</v>
      </c>
      <c r="B658" s="196" t="s">
        <v>2776</v>
      </c>
    </row>
    <row r="659" spans="1:2" ht="15.75" customHeight="1">
      <c r="A659" s="195" t="s">
        <v>2777</v>
      </c>
      <c r="B659" s="196" t="s">
        <v>2778</v>
      </c>
    </row>
    <row r="660" spans="1:2" ht="15.75" customHeight="1">
      <c r="A660" s="195" t="s">
        <v>2779</v>
      </c>
      <c r="B660" s="196" t="s">
        <v>2780</v>
      </c>
    </row>
    <row r="661" spans="1:2" ht="15.75" customHeight="1">
      <c r="A661" s="195" t="s">
        <v>2781</v>
      </c>
      <c r="B661" s="196" t="s">
        <v>2782</v>
      </c>
    </row>
    <row r="662" spans="1:2" ht="15.75" customHeight="1">
      <c r="A662" s="195" t="s">
        <v>2783</v>
      </c>
      <c r="B662" s="196" t="s">
        <v>2784</v>
      </c>
    </row>
    <row r="663" spans="1:2" ht="15.75" customHeight="1">
      <c r="A663" s="195" t="s">
        <v>2785</v>
      </c>
      <c r="B663" s="196" t="s">
        <v>2786</v>
      </c>
    </row>
    <row r="664" spans="1:2" ht="15.75" customHeight="1">
      <c r="A664" s="195" t="s">
        <v>2787</v>
      </c>
      <c r="B664" s="196" t="s">
        <v>2788</v>
      </c>
    </row>
    <row r="665" spans="1:2" ht="15.75" customHeight="1">
      <c r="A665" s="195" t="s">
        <v>2789</v>
      </c>
      <c r="B665" s="196" t="s">
        <v>2790</v>
      </c>
    </row>
    <row r="666" spans="1:2" ht="15.75" customHeight="1">
      <c r="A666" s="195" t="s">
        <v>2791</v>
      </c>
      <c r="B666" s="196" t="s">
        <v>2792</v>
      </c>
    </row>
    <row r="667" spans="1:2" ht="15.75" customHeight="1">
      <c r="A667" s="195" t="s">
        <v>2793</v>
      </c>
      <c r="B667" s="196" t="s">
        <v>2794</v>
      </c>
    </row>
    <row r="668" spans="1:2" ht="15.75" customHeight="1">
      <c r="A668" s="195" t="s">
        <v>2795</v>
      </c>
      <c r="B668" s="196" t="s">
        <v>2796</v>
      </c>
    </row>
    <row r="669" spans="1:2" ht="15.75" customHeight="1">
      <c r="A669" s="195" t="s">
        <v>2797</v>
      </c>
      <c r="B669" s="196" t="s">
        <v>2798</v>
      </c>
    </row>
    <row r="670" spans="1:2" ht="15.75" customHeight="1">
      <c r="A670" s="195" t="s">
        <v>2799</v>
      </c>
      <c r="B670" s="196" t="s">
        <v>2800</v>
      </c>
    </row>
    <row r="671" spans="1:2" ht="15.75" customHeight="1">
      <c r="A671" s="195" t="s">
        <v>2801</v>
      </c>
      <c r="B671" s="196" t="s">
        <v>2802</v>
      </c>
    </row>
    <row r="672" spans="1:2" ht="15.75" customHeight="1">
      <c r="A672" s="195" t="s">
        <v>2803</v>
      </c>
      <c r="B672" s="196" t="s">
        <v>2804</v>
      </c>
    </row>
    <row r="673" spans="1:2" ht="15.75" customHeight="1">
      <c r="A673" s="195" t="s">
        <v>2805</v>
      </c>
      <c r="B673" s="196" t="s">
        <v>2806</v>
      </c>
    </row>
    <row r="674" spans="1:2" ht="15.75" customHeight="1">
      <c r="A674" s="195" t="s">
        <v>2807</v>
      </c>
      <c r="B674" s="196" t="s">
        <v>2808</v>
      </c>
    </row>
    <row r="675" spans="1:2" ht="15.75" customHeight="1">
      <c r="A675" s="195" t="s">
        <v>2809</v>
      </c>
      <c r="B675" s="196" t="s">
        <v>2810</v>
      </c>
    </row>
    <row r="676" spans="1:2" ht="15.75" customHeight="1">
      <c r="A676" s="195" t="s">
        <v>2811</v>
      </c>
      <c r="B676" s="196" t="s">
        <v>2812</v>
      </c>
    </row>
    <row r="677" spans="1:2" ht="15.75" customHeight="1">
      <c r="A677" s="195" t="s">
        <v>2813</v>
      </c>
      <c r="B677" s="196" t="s">
        <v>2814</v>
      </c>
    </row>
    <row r="678" spans="1:2" ht="15.75" customHeight="1">
      <c r="A678" s="195" t="s">
        <v>2815</v>
      </c>
      <c r="B678" s="196" t="s">
        <v>2816</v>
      </c>
    </row>
    <row r="679" spans="1:2" ht="15.75" customHeight="1">
      <c r="A679" s="195" t="s">
        <v>2817</v>
      </c>
      <c r="B679" s="196" t="s">
        <v>2818</v>
      </c>
    </row>
    <row r="680" spans="1:2" ht="15.75" customHeight="1">
      <c r="A680" s="195" t="s">
        <v>2819</v>
      </c>
      <c r="B680" s="196" t="s">
        <v>2820</v>
      </c>
    </row>
    <row r="681" spans="1:2" ht="15.75" customHeight="1">
      <c r="A681" s="195" t="s">
        <v>2821</v>
      </c>
      <c r="B681" s="196" t="s">
        <v>2822</v>
      </c>
    </row>
    <row r="682" spans="1:2" ht="15.75" customHeight="1">
      <c r="A682" s="195" t="s">
        <v>2823</v>
      </c>
      <c r="B682" s="196" t="s">
        <v>2824</v>
      </c>
    </row>
    <row r="683" spans="1:2" ht="15.75" customHeight="1">
      <c r="A683" s="195" t="s">
        <v>2825</v>
      </c>
      <c r="B683" s="196" t="s">
        <v>2826</v>
      </c>
    </row>
    <row r="684" spans="1:2" ht="15.75" customHeight="1">
      <c r="A684" s="195" t="s">
        <v>2827</v>
      </c>
      <c r="B684" s="196" t="s">
        <v>2828</v>
      </c>
    </row>
    <row r="685" spans="1:2" ht="15.75" customHeight="1">
      <c r="A685" s="195" t="s">
        <v>2829</v>
      </c>
      <c r="B685" s="196" t="s">
        <v>2830</v>
      </c>
    </row>
    <row r="686" spans="1:2" ht="15.75" customHeight="1">
      <c r="A686" s="195" t="s">
        <v>2831</v>
      </c>
      <c r="B686" s="196" t="s">
        <v>2832</v>
      </c>
    </row>
    <row r="687" spans="1:2" ht="15.75" customHeight="1">
      <c r="A687" s="195" t="s">
        <v>2833</v>
      </c>
      <c r="B687" s="196" t="s">
        <v>2834</v>
      </c>
    </row>
    <row r="688" spans="1:2" ht="15.75" customHeight="1">
      <c r="A688" s="195" t="s">
        <v>2835</v>
      </c>
      <c r="B688" s="196" t="s">
        <v>2836</v>
      </c>
    </row>
    <row r="689" spans="1:2" ht="15.75" customHeight="1">
      <c r="A689" s="195" t="s">
        <v>2837</v>
      </c>
      <c r="B689" s="196" t="s">
        <v>2838</v>
      </c>
    </row>
    <row r="690" spans="1:2" ht="15.75" customHeight="1">
      <c r="A690" s="195" t="s">
        <v>2839</v>
      </c>
      <c r="B690" s="196" t="s">
        <v>2840</v>
      </c>
    </row>
    <row r="691" spans="1:2" ht="15.75" customHeight="1">
      <c r="A691" s="195" t="s">
        <v>2841</v>
      </c>
      <c r="B691" s="196" t="s">
        <v>2842</v>
      </c>
    </row>
    <row r="692" spans="1:2" ht="15.75" customHeight="1">
      <c r="A692" s="195" t="s">
        <v>2843</v>
      </c>
      <c r="B692" s="196" t="s">
        <v>2844</v>
      </c>
    </row>
    <row r="693" spans="1:2" ht="15.75" customHeight="1">
      <c r="A693" s="195" t="s">
        <v>2845</v>
      </c>
      <c r="B693" s="196" t="s">
        <v>2846</v>
      </c>
    </row>
    <row r="694" spans="1:2" ht="15.75" customHeight="1">
      <c r="A694" s="195" t="s">
        <v>2847</v>
      </c>
      <c r="B694" s="196" t="s">
        <v>2848</v>
      </c>
    </row>
    <row r="695" spans="1:2" ht="15.75" customHeight="1">
      <c r="A695" s="195" t="s">
        <v>2849</v>
      </c>
      <c r="B695" s="196" t="s">
        <v>2850</v>
      </c>
    </row>
    <row r="696" spans="1:2" ht="15.75" customHeight="1">
      <c r="A696" s="195" t="s">
        <v>2851</v>
      </c>
      <c r="B696" s="196" t="s">
        <v>2852</v>
      </c>
    </row>
    <row r="697" spans="1:2" ht="15.75" customHeight="1">
      <c r="A697" s="195" t="s">
        <v>2853</v>
      </c>
      <c r="B697" s="196" t="s">
        <v>2854</v>
      </c>
    </row>
    <row r="698" spans="1:2" ht="15.75" customHeight="1">
      <c r="A698" s="195" t="s">
        <v>2855</v>
      </c>
      <c r="B698" s="196" t="s">
        <v>2856</v>
      </c>
    </row>
    <row r="699" spans="1:2" ht="15.75" customHeight="1">
      <c r="A699" s="195" t="s">
        <v>2857</v>
      </c>
      <c r="B699" s="196" t="s">
        <v>2858</v>
      </c>
    </row>
    <row r="700" spans="1:2" ht="15.75" customHeight="1">
      <c r="A700" s="195" t="s">
        <v>2859</v>
      </c>
      <c r="B700" s="196" t="s">
        <v>2860</v>
      </c>
    </row>
    <row r="701" spans="1:2" ht="15.75" customHeight="1">
      <c r="A701" s="195" t="s">
        <v>2861</v>
      </c>
      <c r="B701" s="196" t="s">
        <v>2862</v>
      </c>
    </row>
    <row r="702" spans="1:2" ht="15.75" customHeight="1">
      <c r="A702" s="195" t="s">
        <v>2863</v>
      </c>
      <c r="B702" s="196" t="s">
        <v>2864</v>
      </c>
    </row>
    <row r="703" spans="1:2" ht="15.75" customHeight="1">
      <c r="A703" s="195" t="s">
        <v>2865</v>
      </c>
      <c r="B703" s="196" t="s">
        <v>2866</v>
      </c>
    </row>
    <row r="704" spans="1:2" ht="15.75" customHeight="1">
      <c r="A704" s="195" t="s">
        <v>2867</v>
      </c>
      <c r="B704" s="196" t="s">
        <v>2868</v>
      </c>
    </row>
    <row r="705" spans="1:2" ht="15.75" customHeight="1">
      <c r="A705" s="195" t="s">
        <v>2869</v>
      </c>
      <c r="B705" s="196" t="s">
        <v>2870</v>
      </c>
    </row>
    <row r="706" spans="1:2" ht="15.75" customHeight="1">
      <c r="A706" s="195" t="s">
        <v>2871</v>
      </c>
      <c r="B706" s="196" t="s">
        <v>2872</v>
      </c>
    </row>
    <row r="707" spans="1:2" ht="15.75" customHeight="1">
      <c r="A707" s="195" t="s">
        <v>2873</v>
      </c>
      <c r="B707" s="196" t="s">
        <v>2874</v>
      </c>
    </row>
    <row r="708" spans="1:2" ht="15.75" customHeight="1">
      <c r="A708" s="195" t="s">
        <v>2875</v>
      </c>
      <c r="B708" s="196" t="s">
        <v>2876</v>
      </c>
    </row>
    <row r="709" spans="1:2" ht="15.75" customHeight="1">
      <c r="A709" s="195" t="s">
        <v>2877</v>
      </c>
      <c r="B709" s="196" t="s">
        <v>2878</v>
      </c>
    </row>
    <row r="710" spans="1:2" ht="15.75" customHeight="1">
      <c r="A710" s="195" t="s">
        <v>2879</v>
      </c>
      <c r="B710" s="196" t="s">
        <v>2880</v>
      </c>
    </row>
    <row r="711" spans="1:2" ht="15.75" customHeight="1">
      <c r="A711" s="195" t="s">
        <v>2881</v>
      </c>
      <c r="B711" s="196" t="s">
        <v>2882</v>
      </c>
    </row>
    <row r="712" spans="1:2" ht="15.75" customHeight="1">
      <c r="A712" s="195" t="s">
        <v>2883</v>
      </c>
      <c r="B712" s="196" t="s">
        <v>2884</v>
      </c>
    </row>
    <row r="713" spans="1:2" ht="15.75" customHeight="1">
      <c r="A713" s="195" t="s">
        <v>2885</v>
      </c>
      <c r="B713" s="196" t="s">
        <v>2886</v>
      </c>
    </row>
    <row r="714" spans="1:2" ht="15.75" customHeight="1">
      <c r="A714" s="195" t="s">
        <v>2887</v>
      </c>
      <c r="B714" s="196" t="s">
        <v>2888</v>
      </c>
    </row>
    <row r="715" spans="1:2" ht="15.75" customHeight="1">
      <c r="A715" s="195" t="s">
        <v>2889</v>
      </c>
      <c r="B715" s="196" t="s">
        <v>2890</v>
      </c>
    </row>
    <row r="716" spans="1:2" ht="15.75" customHeight="1">
      <c r="A716" s="195" t="s">
        <v>2891</v>
      </c>
      <c r="B716" s="196" t="s">
        <v>2892</v>
      </c>
    </row>
    <row r="717" spans="1:2" ht="15.75" customHeight="1">
      <c r="A717" s="195" t="s">
        <v>2893</v>
      </c>
      <c r="B717" s="196" t="s">
        <v>2894</v>
      </c>
    </row>
    <row r="718" spans="1:2" ht="15.75" customHeight="1">
      <c r="A718" s="195" t="s">
        <v>2895</v>
      </c>
      <c r="B718" s="196" t="s">
        <v>2896</v>
      </c>
    </row>
    <row r="719" spans="1:2" ht="15.75" customHeight="1">
      <c r="A719" s="195" t="s">
        <v>2897</v>
      </c>
      <c r="B719" s="196" t="s">
        <v>2898</v>
      </c>
    </row>
    <row r="720" spans="1:2" ht="15.75" customHeight="1">
      <c r="A720" s="195" t="s">
        <v>2899</v>
      </c>
      <c r="B720" s="196" t="s">
        <v>2900</v>
      </c>
    </row>
    <row r="721" spans="1:2" ht="15.75" customHeight="1">
      <c r="A721" s="195" t="s">
        <v>2901</v>
      </c>
      <c r="B721" s="196" t="s">
        <v>2902</v>
      </c>
    </row>
    <row r="722" spans="1:2" ht="15.75" customHeight="1">
      <c r="A722" s="195" t="s">
        <v>2903</v>
      </c>
      <c r="B722" s="196" t="s">
        <v>2904</v>
      </c>
    </row>
    <row r="723" spans="1:2" ht="15.75" customHeight="1">
      <c r="A723" s="195" t="s">
        <v>2905</v>
      </c>
      <c r="B723" s="196" t="s">
        <v>2906</v>
      </c>
    </row>
    <row r="724" spans="1:2" ht="15.75" customHeight="1">
      <c r="A724" s="195" t="s">
        <v>2907</v>
      </c>
      <c r="B724" s="196" t="s">
        <v>2908</v>
      </c>
    </row>
    <row r="725" spans="1:2" ht="15.75" customHeight="1">
      <c r="A725" s="195" t="s">
        <v>2909</v>
      </c>
      <c r="B725" s="196" t="s">
        <v>2910</v>
      </c>
    </row>
    <row r="726" spans="1:2" ht="15.75" customHeight="1">
      <c r="A726" s="195" t="s">
        <v>2911</v>
      </c>
      <c r="B726" s="196" t="s">
        <v>2912</v>
      </c>
    </row>
    <row r="727" spans="1:2" ht="15.75" customHeight="1">
      <c r="A727" s="195" t="s">
        <v>2913</v>
      </c>
      <c r="B727" s="196" t="s">
        <v>2914</v>
      </c>
    </row>
    <row r="728" spans="1:2" ht="15.75" customHeight="1">
      <c r="A728" s="195" t="s">
        <v>2915</v>
      </c>
      <c r="B728" s="196" t="s">
        <v>2916</v>
      </c>
    </row>
    <row r="729" spans="1:2" ht="15.75" customHeight="1">
      <c r="A729" s="195" t="s">
        <v>2917</v>
      </c>
      <c r="B729" s="196" t="s">
        <v>2918</v>
      </c>
    </row>
    <row r="730" spans="1:2" ht="15.75" customHeight="1">
      <c r="A730" s="195" t="s">
        <v>2919</v>
      </c>
      <c r="B730" s="196" t="s">
        <v>2920</v>
      </c>
    </row>
    <row r="731" spans="1:2" ht="15.75" customHeight="1">
      <c r="A731" s="195" t="s">
        <v>2921</v>
      </c>
      <c r="B731" s="196" t="s">
        <v>2922</v>
      </c>
    </row>
    <row r="732" spans="1:2" ht="15.75" customHeight="1">
      <c r="A732" s="195" t="s">
        <v>2923</v>
      </c>
      <c r="B732" s="196" t="s">
        <v>2924</v>
      </c>
    </row>
    <row r="733" spans="1:2" ht="15.75" customHeight="1">
      <c r="A733" s="195" t="s">
        <v>2925</v>
      </c>
      <c r="B733" s="196" t="s">
        <v>2926</v>
      </c>
    </row>
    <row r="734" spans="1:2" ht="15.75" customHeight="1">
      <c r="A734" s="195" t="s">
        <v>2927</v>
      </c>
      <c r="B734" s="196" t="s">
        <v>2928</v>
      </c>
    </row>
    <row r="735" spans="1:2" ht="15.75" customHeight="1">
      <c r="A735" s="195" t="s">
        <v>2929</v>
      </c>
      <c r="B735" s="196" t="s">
        <v>2930</v>
      </c>
    </row>
    <row r="736" spans="1:2" ht="15.75" customHeight="1">
      <c r="A736" s="195" t="s">
        <v>2931</v>
      </c>
      <c r="B736" s="196" t="s">
        <v>2932</v>
      </c>
    </row>
    <row r="737" spans="1:2" ht="15.75" customHeight="1">
      <c r="A737" s="195" t="s">
        <v>2933</v>
      </c>
      <c r="B737" s="196" t="s">
        <v>2934</v>
      </c>
    </row>
    <row r="738" spans="1:2" ht="15.75" customHeight="1">
      <c r="A738" s="195" t="s">
        <v>2935</v>
      </c>
      <c r="B738" s="196" t="s">
        <v>2936</v>
      </c>
    </row>
    <row r="739" spans="1:2" ht="15.75" customHeight="1">
      <c r="A739" s="195" t="s">
        <v>2937</v>
      </c>
      <c r="B739" s="196" t="s">
        <v>2938</v>
      </c>
    </row>
    <row r="740" spans="1:2" ht="15.75" customHeight="1">
      <c r="A740" s="195" t="s">
        <v>2939</v>
      </c>
      <c r="B740" s="196" t="s">
        <v>2940</v>
      </c>
    </row>
    <row r="741" spans="1:2" ht="15.75" customHeight="1">
      <c r="A741" s="195" t="s">
        <v>2941</v>
      </c>
      <c r="B741" s="196" t="s">
        <v>2942</v>
      </c>
    </row>
    <row r="742" spans="1:2" ht="15.75" customHeight="1">
      <c r="A742" s="195" t="s">
        <v>2943</v>
      </c>
      <c r="B742" s="196" t="s">
        <v>2944</v>
      </c>
    </row>
    <row r="743" spans="1:2" ht="15.75" customHeight="1">
      <c r="A743" s="195" t="s">
        <v>2945</v>
      </c>
      <c r="B743" s="196" t="s">
        <v>2946</v>
      </c>
    </row>
    <row r="744" spans="1:2" ht="15.75" customHeight="1">
      <c r="A744" s="195" t="s">
        <v>2947</v>
      </c>
      <c r="B744" s="196" t="s">
        <v>2948</v>
      </c>
    </row>
    <row r="745" spans="1:2" ht="15.75" customHeight="1">
      <c r="A745" s="195" t="s">
        <v>2949</v>
      </c>
      <c r="B745" s="196" t="s">
        <v>2950</v>
      </c>
    </row>
    <row r="746" spans="1:2" ht="15.75" customHeight="1">
      <c r="A746" s="195" t="s">
        <v>2951</v>
      </c>
      <c r="B746" s="196" t="s">
        <v>2952</v>
      </c>
    </row>
    <row r="747" spans="1:2" ht="15.75" customHeight="1">
      <c r="A747" s="195" t="s">
        <v>2953</v>
      </c>
      <c r="B747" s="196" t="s">
        <v>2213</v>
      </c>
    </row>
    <row r="748" spans="1:2" ht="15.75" customHeight="1">
      <c r="A748" s="195" t="s">
        <v>2954</v>
      </c>
      <c r="B748" s="196" t="s">
        <v>2955</v>
      </c>
    </row>
    <row r="749" spans="1:2" ht="15.75" customHeight="1">
      <c r="A749" s="195" t="s">
        <v>2956</v>
      </c>
      <c r="B749" s="196" t="s">
        <v>2957</v>
      </c>
    </row>
    <row r="750" spans="1:2" ht="15.75" customHeight="1">
      <c r="A750" s="195" t="s">
        <v>2958</v>
      </c>
      <c r="B750" s="196" t="s">
        <v>2959</v>
      </c>
    </row>
    <row r="751" spans="1:2" ht="15.75" customHeight="1">
      <c r="A751" s="195" t="s">
        <v>2960</v>
      </c>
      <c r="B751" s="196" t="s">
        <v>2961</v>
      </c>
    </row>
    <row r="752" spans="1:2" ht="15.75" customHeight="1">
      <c r="A752" s="195" t="s">
        <v>2962</v>
      </c>
      <c r="B752" s="196" t="s">
        <v>2963</v>
      </c>
    </row>
    <row r="753" spans="1:26" ht="15.75" customHeight="1">
      <c r="A753" s="195" t="s">
        <v>2964</v>
      </c>
      <c r="B753" s="196" t="s">
        <v>2965</v>
      </c>
    </row>
    <row r="754" spans="1:26" ht="15.75" customHeight="1">
      <c r="A754" s="195" t="s">
        <v>2966</v>
      </c>
      <c r="B754" s="196" t="s">
        <v>2967</v>
      </c>
    </row>
    <row r="755" spans="1:26" ht="15.75" customHeight="1">
      <c r="A755" s="197" t="s">
        <v>2968</v>
      </c>
      <c r="B755" s="198" t="s">
        <v>2969</v>
      </c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 ht="15.75" customHeight="1">
      <c r="A756" s="195" t="s">
        <v>2970</v>
      </c>
      <c r="B756" s="196" t="s">
        <v>2971</v>
      </c>
    </row>
    <row r="757" spans="1:26" ht="15.75" customHeight="1">
      <c r="A757" s="195" t="s">
        <v>2972</v>
      </c>
      <c r="B757" s="196" t="s">
        <v>2973</v>
      </c>
    </row>
    <row r="758" spans="1:26" ht="15.75" customHeight="1">
      <c r="A758" s="195" t="s">
        <v>2974</v>
      </c>
      <c r="B758" s="196" t="s">
        <v>2975</v>
      </c>
    </row>
    <row r="759" spans="1:26" ht="15.75" customHeight="1">
      <c r="A759" s="195" t="s">
        <v>2976</v>
      </c>
      <c r="B759" s="196" t="s">
        <v>2977</v>
      </c>
    </row>
    <row r="760" spans="1:26" ht="15.75" customHeight="1">
      <c r="A760" s="195" t="s">
        <v>2978</v>
      </c>
      <c r="B760" s="196" t="s">
        <v>2979</v>
      </c>
    </row>
    <row r="761" spans="1:26" ht="15.75" customHeight="1">
      <c r="A761" s="195" t="s">
        <v>2980</v>
      </c>
      <c r="B761" s="196" t="s">
        <v>2981</v>
      </c>
    </row>
    <row r="762" spans="1:26" ht="15.75" customHeight="1">
      <c r="A762" s="195" t="s">
        <v>2982</v>
      </c>
      <c r="B762" s="196" t="s">
        <v>2983</v>
      </c>
    </row>
    <row r="763" spans="1:26" ht="15.75" customHeight="1">
      <c r="A763" s="195" t="s">
        <v>2984</v>
      </c>
      <c r="B763" s="196" t="s">
        <v>2985</v>
      </c>
    </row>
    <row r="764" spans="1:26" ht="15.75" customHeight="1">
      <c r="A764" s="195" t="s">
        <v>2986</v>
      </c>
      <c r="B764" s="196" t="s">
        <v>2987</v>
      </c>
    </row>
    <row r="765" spans="1:26" ht="15.75" customHeight="1">
      <c r="A765" s="195" t="s">
        <v>2988</v>
      </c>
      <c r="B765" s="196" t="s">
        <v>2989</v>
      </c>
    </row>
    <row r="766" spans="1:26" ht="15.75" customHeight="1">
      <c r="A766" s="195" t="s">
        <v>2990</v>
      </c>
      <c r="B766" s="196" t="s">
        <v>2991</v>
      </c>
    </row>
    <row r="767" spans="1:26" ht="15.75" customHeight="1">
      <c r="A767" s="195" t="s">
        <v>2992</v>
      </c>
      <c r="B767" s="196" t="s">
        <v>2993</v>
      </c>
    </row>
    <row r="768" spans="1:26" ht="15.75" customHeight="1">
      <c r="A768" s="195" t="s">
        <v>2994</v>
      </c>
      <c r="B768" s="196" t="s">
        <v>2995</v>
      </c>
    </row>
    <row r="769" spans="1:26" ht="15.75" customHeight="1">
      <c r="A769" s="195" t="s">
        <v>1837</v>
      </c>
      <c r="B769" s="196" t="s">
        <v>1838</v>
      </c>
    </row>
    <row r="770" spans="1:26" ht="15.75" customHeight="1">
      <c r="A770" s="195" t="s">
        <v>2996</v>
      </c>
      <c r="B770" s="196" t="s">
        <v>2997</v>
      </c>
    </row>
    <row r="771" spans="1:26" ht="15.75" customHeight="1">
      <c r="A771" s="195" t="s">
        <v>2998</v>
      </c>
      <c r="B771" s="196" t="s">
        <v>2999</v>
      </c>
    </row>
    <row r="772" spans="1:26" ht="15.75" customHeight="1">
      <c r="A772" s="195" t="s">
        <v>3000</v>
      </c>
      <c r="B772" s="196" t="s">
        <v>3001</v>
      </c>
    </row>
    <row r="773" spans="1:26" ht="15.75" customHeight="1">
      <c r="A773" s="195" t="s">
        <v>3002</v>
      </c>
      <c r="B773" s="196" t="s">
        <v>3003</v>
      </c>
    </row>
    <row r="774" spans="1:26" ht="15.75" customHeight="1">
      <c r="A774" s="195" t="s">
        <v>3004</v>
      </c>
      <c r="B774" s="196" t="s">
        <v>3005</v>
      </c>
    </row>
    <row r="775" spans="1:26" ht="15.75" customHeight="1">
      <c r="A775" s="195" t="s">
        <v>3006</v>
      </c>
      <c r="B775" s="196" t="s">
        <v>3007</v>
      </c>
    </row>
    <row r="776" spans="1:26" ht="15.75" customHeight="1">
      <c r="A776" s="195" t="s">
        <v>3008</v>
      </c>
      <c r="B776" s="196" t="s">
        <v>3009</v>
      </c>
    </row>
    <row r="777" spans="1:26" ht="15.75" customHeight="1">
      <c r="A777" s="195" t="s">
        <v>3010</v>
      </c>
      <c r="B777" s="196" t="s">
        <v>3011</v>
      </c>
    </row>
    <row r="778" spans="1:26" ht="15.75" customHeight="1">
      <c r="A778" s="197" t="s">
        <v>1887</v>
      </c>
      <c r="B778" s="198" t="s">
        <v>1890</v>
      </c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 ht="15.75" customHeight="1">
      <c r="A779" s="195" t="s">
        <v>3012</v>
      </c>
      <c r="B779" s="196" t="s">
        <v>3013</v>
      </c>
    </row>
    <row r="780" spans="1:26" ht="15.75" customHeight="1">
      <c r="A780" s="195" t="s">
        <v>3014</v>
      </c>
      <c r="B780" s="196" t="s">
        <v>3015</v>
      </c>
    </row>
    <row r="781" spans="1:26" ht="15.75" customHeight="1">
      <c r="A781" s="195" t="s">
        <v>3016</v>
      </c>
      <c r="B781" s="196" t="s">
        <v>2963</v>
      </c>
    </row>
    <row r="782" spans="1:26" ht="15.75" customHeight="1">
      <c r="A782" s="199" t="s">
        <v>2037</v>
      </c>
      <c r="B782" s="200" t="s">
        <v>2969</v>
      </c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  <c r="Y782" s="201"/>
      <c r="Z782" s="201"/>
    </row>
    <row r="783" spans="1:26" ht="15.75" customHeight="1">
      <c r="A783" s="195" t="s">
        <v>3017</v>
      </c>
      <c r="B783" s="196" t="s">
        <v>3018</v>
      </c>
    </row>
    <row r="784" spans="1:26" ht="15.75" customHeight="1">
      <c r="A784" s="195" t="s">
        <v>3019</v>
      </c>
      <c r="B784" s="196" t="s">
        <v>3020</v>
      </c>
    </row>
    <row r="785" spans="1:2" ht="15.75" customHeight="1">
      <c r="A785" s="195" t="s">
        <v>3021</v>
      </c>
      <c r="B785" s="196" t="s">
        <v>3022</v>
      </c>
    </row>
    <row r="786" spans="1:2" ht="15.75" customHeight="1">
      <c r="A786" s="195" t="s">
        <v>3023</v>
      </c>
      <c r="B786" s="196" t="s">
        <v>3024</v>
      </c>
    </row>
    <row r="787" spans="1:2" ht="15.75" customHeight="1">
      <c r="A787" s="195" t="s">
        <v>3025</v>
      </c>
      <c r="B787" s="196" t="s">
        <v>3026</v>
      </c>
    </row>
    <row r="788" spans="1:2" ht="15.75" customHeight="1">
      <c r="A788" s="195" t="s">
        <v>3027</v>
      </c>
      <c r="B788" s="196" t="s">
        <v>3028</v>
      </c>
    </row>
    <row r="789" spans="1:2" ht="15.75" customHeight="1">
      <c r="A789" s="195" t="s">
        <v>3029</v>
      </c>
      <c r="B789" s="196" t="s">
        <v>3030</v>
      </c>
    </row>
    <row r="790" spans="1:2" ht="15.75" customHeight="1">
      <c r="A790" s="195" t="s">
        <v>3031</v>
      </c>
      <c r="B790" s="196" t="s">
        <v>3032</v>
      </c>
    </row>
    <row r="791" spans="1:2" ht="15.75" customHeight="1">
      <c r="A791" s="195" t="s">
        <v>3033</v>
      </c>
      <c r="B791" s="196" t="s">
        <v>3034</v>
      </c>
    </row>
    <row r="792" spans="1:2" ht="15.75" customHeight="1">
      <c r="A792" s="195" t="s">
        <v>3035</v>
      </c>
      <c r="B792" s="196" t="s">
        <v>3036</v>
      </c>
    </row>
    <row r="793" spans="1:2" ht="15.75" customHeight="1">
      <c r="A793" s="195" t="s">
        <v>3037</v>
      </c>
      <c r="B793" s="196" t="s">
        <v>3038</v>
      </c>
    </row>
    <row r="794" spans="1:2" ht="15.75" customHeight="1">
      <c r="A794" s="195" t="s">
        <v>3039</v>
      </c>
      <c r="B794" s="196" t="s">
        <v>3040</v>
      </c>
    </row>
    <row r="795" spans="1:2" ht="15.75" customHeight="1">
      <c r="A795" s="195" t="s">
        <v>3041</v>
      </c>
      <c r="B795" s="196" t="s">
        <v>3042</v>
      </c>
    </row>
    <row r="796" spans="1:2" ht="15.75" customHeight="1">
      <c r="A796" s="195" t="s">
        <v>3043</v>
      </c>
      <c r="B796" s="196" t="s">
        <v>3044</v>
      </c>
    </row>
    <row r="797" spans="1:2" ht="15.75" customHeight="1">
      <c r="A797" s="195" t="s">
        <v>3045</v>
      </c>
      <c r="B797" s="196" t="s">
        <v>3046</v>
      </c>
    </row>
    <row r="798" spans="1:2" ht="15.75" customHeight="1">
      <c r="A798" s="195" t="s">
        <v>3047</v>
      </c>
      <c r="B798" s="196" t="s">
        <v>3048</v>
      </c>
    </row>
    <row r="799" spans="1:2" ht="15.75" customHeight="1">
      <c r="A799" s="195" t="s">
        <v>3049</v>
      </c>
      <c r="B799" s="196" t="s">
        <v>3050</v>
      </c>
    </row>
    <row r="800" spans="1:2" ht="15.75" customHeight="1">
      <c r="A800" s="195" t="s">
        <v>3051</v>
      </c>
      <c r="B800" s="196" t="s">
        <v>3052</v>
      </c>
    </row>
    <row r="801" spans="1:2" ht="15.75" customHeight="1">
      <c r="A801" s="195" t="s">
        <v>3053</v>
      </c>
      <c r="B801" s="196" t="s">
        <v>3054</v>
      </c>
    </row>
    <row r="802" spans="1:2" ht="15.75" customHeight="1">
      <c r="A802" s="195" t="s">
        <v>3055</v>
      </c>
      <c r="B802" s="196" t="s">
        <v>3056</v>
      </c>
    </row>
    <row r="803" spans="1:2" ht="15.75" customHeight="1">
      <c r="A803" s="195" t="s">
        <v>3057</v>
      </c>
      <c r="B803" s="196" t="s">
        <v>3058</v>
      </c>
    </row>
    <row r="804" spans="1:2" ht="15.75" customHeight="1">
      <c r="A804" s="195" t="s">
        <v>3059</v>
      </c>
      <c r="B804" s="196" t="s">
        <v>3060</v>
      </c>
    </row>
    <row r="805" spans="1:2" ht="15.75" customHeight="1">
      <c r="A805" s="195" t="s">
        <v>3061</v>
      </c>
      <c r="B805" s="196" t="s">
        <v>3062</v>
      </c>
    </row>
    <row r="806" spans="1:2" ht="15.75" customHeight="1">
      <c r="A806" s="195" t="s">
        <v>3063</v>
      </c>
      <c r="B806" s="196" t="s">
        <v>3064</v>
      </c>
    </row>
    <row r="807" spans="1:2" ht="15.75" customHeight="1">
      <c r="A807" s="195" t="s">
        <v>3065</v>
      </c>
      <c r="B807" s="196" t="s">
        <v>3066</v>
      </c>
    </row>
    <row r="808" spans="1:2" ht="15.75" customHeight="1">
      <c r="A808" s="195" t="s">
        <v>3067</v>
      </c>
      <c r="B808" s="196" t="s">
        <v>3068</v>
      </c>
    </row>
    <row r="809" spans="1:2" ht="15.75" customHeight="1">
      <c r="A809" s="195" t="s">
        <v>3069</v>
      </c>
      <c r="B809" s="196" t="s">
        <v>3070</v>
      </c>
    </row>
    <row r="810" spans="1:2" ht="15.75" customHeight="1">
      <c r="A810" s="195" t="s">
        <v>3071</v>
      </c>
      <c r="B810" s="196" t="s">
        <v>3072</v>
      </c>
    </row>
    <row r="811" spans="1:2" ht="15.75" customHeight="1">
      <c r="A811" s="195" t="s">
        <v>3073</v>
      </c>
      <c r="B811" s="196" t="s">
        <v>3074</v>
      </c>
    </row>
    <row r="812" spans="1:2" ht="15.75" customHeight="1">
      <c r="A812" s="195" t="s">
        <v>3075</v>
      </c>
      <c r="B812" s="196" t="s">
        <v>3076</v>
      </c>
    </row>
    <row r="813" spans="1:2" ht="15.75" customHeight="1">
      <c r="A813" s="195" t="s">
        <v>3077</v>
      </c>
      <c r="B813" s="196" t="s">
        <v>3078</v>
      </c>
    </row>
    <row r="814" spans="1:2" ht="15.75" customHeight="1">
      <c r="A814" s="195" t="s">
        <v>3079</v>
      </c>
      <c r="B814" s="196" t="s">
        <v>3080</v>
      </c>
    </row>
    <row r="815" spans="1:2" ht="15.75" customHeight="1">
      <c r="A815" s="195" t="s">
        <v>3081</v>
      </c>
      <c r="B815" s="196" t="s">
        <v>3082</v>
      </c>
    </row>
    <row r="816" spans="1:2" ht="15.75" customHeight="1">
      <c r="A816" s="195" t="s">
        <v>3083</v>
      </c>
      <c r="B816" s="196" t="s">
        <v>2844</v>
      </c>
    </row>
    <row r="817" spans="1:2" ht="15.75" customHeight="1">
      <c r="A817" s="195" t="s">
        <v>3084</v>
      </c>
      <c r="B817" s="196" t="s">
        <v>3085</v>
      </c>
    </row>
    <row r="818" spans="1:2" ht="15.75" customHeight="1">
      <c r="A818" s="195" t="s">
        <v>3086</v>
      </c>
      <c r="B818" s="196" t="s">
        <v>3087</v>
      </c>
    </row>
    <row r="819" spans="1:2" ht="15.75" customHeight="1">
      <c r="A819" s="195" t="s">
        <v>3088</v>
      </c>
      <c r="B819" s="196" t="s">
        <v>3089</v>
      </c>
    </row>
    <row r="820" spans="1:2" ht="15.75" customHeight="1">
      <c r="A820" s="195" t="s">
        <v>3090</v>
      </c>
      <c r="B820" s="196" t="s">
        <v>3091</v>
      </c>
    </row>
    <row r="821" spans="1:2" ht="15.75" customHeight="1">
      <c r="A821" s="195" t="s">
        <v>3092</v>
      </c>
      <c r="B821" s="196" t="s">
        <v>3093</v>
      </c>
    </row>
    <row r="822" spans="1:2" ht="15.75" customHeight="1">
      <c r="A822" s="195" t="s">
        <v>3094</v>
      </c>
      <c r="B822" s="196" t="s">
        <v>3095</v>
      </c>
    </row>
    <row r="823" spans="1:2" ht="15.75" customHeight="1">
      <c r="A823" s="195" t="s">
        <v>3096</v>
      </c>
      <c r="B823" s="196" t="s">
        <v>3097</v>
      </c>
    </row>
    <row r="824" spans="1:2" ht="15.75" customHeight="1">
      <c r="A824" s="195" t="s">
        <v>3098</v>
      </c>
      <c r="B824" s="196" t="s">
        <v>3099</v>
      </c>
    </row>
    <row r="825" spans="1:2" ht="15.75" customHeight="1">
      <c r="A825" s="195" t="s">
        <v>3100</v>
      </c>
      <c r="B825" s="196" t="s">
        <v>3101</v>
      </c>
    </row>
    <row r="826" spans="1:2" ht="15.75" customHeight="1">
      <c r="A826" s="195" t="s">
        <v>3102</v>
      </c>
      <c r="B826" s="196" t="s">
        <v>3103</v>
      </c>
    </row>
    <row r="827" spans="1:2" ht="15.75" customHeight="1">
      <c r="A827" s="195" t="s">
        <v>3104</v>
      </c>
      <c r="B827" s="196" t="s">
        <v>3105</v>
      </c>
    </row>
    <row r="828" spans="1:2" ht="15.75" customHeight="1">
      <c r="A828" s="195" t="s">
        <v>3106</v>
      </c>
      <c r="B828" s="196" t="s">
        <v>3107</v>
      </c>
    </row>
    <row r="829" spans="1:2" ht="15.75" customHeight="1">
      <c r="A829" s="195" t="s">
        <v>3108</v>
      </c>
      <c r="B829" s="196" t="s">
        <v>3109</v>
      </c>
    </row>
    <row r="830" spans="1:2" ht="15.75" customHeight="1">
      <c r="A830" s="195" t="s">
        <v>3110</v>
      </c>
      <c r="B830" s="196" t="s">
        <v>3111</v>
      </c>
    </row>
    <row r="831" spans="1:2" ht="15.75" customHeight="1">
      <c r="A831" s="195" t="s">
        <v>3112</v>
      </c>
      <c r="B831" s="196" t="s">
        <v>3113</v>
      </c>
    </row>
    <row r="832" spans="1:2" ht="15.75" customHeight="1">
      <c r="A832" s="195" t="s">
        <v>3114</v>
      </c>
      <c r="B832" s="196" t="s">
        <v>3115</v>
      </c>
    </row>
    <row r="833" spans="1:2" ht="15.75" customHeight="1">
      <c r="A833" s="195" t="s">
        <v>3116</v>
      </c>
      <c r="B833" s="196" t="s">
        <v>3117</v>
      </c>
    </row>
    <row r="834" spans="1:2" ht="15.75" customHeight="1">
      <c r="A834" s="195" t="s">
        <v>3118</v>
      </c>
      <c r="B834" s="196" t="s">
        <v>3119</v>
      </c>
    </row>
    <row r="835" spans="1:2" ht="15.75" customHeight="1">
      <c r="A835" s="195" t="s">
        <v>3120</v>
      </c>
      <c r="B835" s="196" t="s">
        <v>3121</v>
      </c>
    </row>
    <row r="836" spans="1:2" ht="15.75" customHeight="1">
      <c r="A836" s="195" t="s">
        <v>3122</v>
      </c>
      <c r="B836" s="196" t="s">
        <v>3123</v>
      </c>
    </row>
    <row r="837" spans="1:2" ht="15.75" customHeight="1">
      <c r="A837" s="195" t="s">
        <v>3124</v>
      </c>
      <c r="B837" s="196" t="s">
        <v>3125</v>
      </c>
    </row>
    <row r="838" spans="1:2" ht="15.75" customHeight="1">
      <c r="A838" s="195" t="s">
        <v>3126</v>
      </c>
      <c r="B838" s="196" t="s">
        <v>3127</v>
      </c>
    </row>
    <row r="839" spans="1:2" ht="15.75" customHeight="1">
      <c r="A839" s="195" t="s">
        <v>3128</v>
      </c>
      <c r="B839" s="196" t="s">
        <v>3129</v>
      </c>
    </row>
    <row r="840" spans="1:2" ht="15.75" customHeight="1">
      <c r="A840" s="195" t="s">
        <v>3130</v>
      </c>
      <c r="B840" s="196" t="s">
        <v>3131</v>
      </c>
    </row>
    <row r="841" spans="1:2" ht="15.75" customHeight="1">
      <c r="A841" s="195" t="s">
        <v>3132</v>
      </c>
      <c r="B841" s="196" t="s">
        <v>3133</v>
      </c>
    </row>
    <row r="842" spans="1:2" ht="15.75" customHeight="1">
      <c r="A842" s="195" t="s">
        <v>3134</v>
      </c>
      <c r="B842" s="196" t="s">
        <v>3135</v>
      </c>
    </row>
    <row r="843" spans="1:2" ht="15.75" customHeight="1">
      <c r="A843" s="195" t="s">
        <v>3136</v>
      </c>
      <c r="B843" s="196" t="s">
        <v>3137</v>
      </c>
    </row>
    <row r="844" spans="1:2" ht="15.75" customHeight="1">
      <c r="A844" s="195" t="s">
        <v>3138</v>
      </c>
      <c r="B844" s="196" t="s">
        <v>3139</v>
      </c>
    </row>
    <row r="845" spans="1:2" ht="15.75" customHeight="1">
      <c r="A845" s="195" t="s">
        <v>3140</v>
      </c>
      <c r="B845" s="196" t="s">
        <v>3141</v>
      </c>
    </row>
    <row r="846" spans="1:2" ht="15.75" customHeight="1">
      <c r="A846" s="195" t="s">
        <v>3142</v>
      </c>
      <c r="B846" s="196" t="s">
        <v>3003</v>
      </c>
    </row>
    <row r="847" spans="1:2" ht="15.75" customHeight="1">
      <c r="A847" s="195" t="s">
        <v>3143</v>
      </c>
      <c r="B847" s="196" t="s">
        <v>2043</v>
      </c>
    </row>
    <row r="848" spans="1:2" ht="15.75" customHeight="1">
      <c r="A848" s="195" t="s">
        <v>3144</v>
      </c>
      <c r="B848" s="196" t="s">
        <v>3145</v>
      </c>
    </row>
    <row r="849" spans="1:2" ht="15.75" customHeight="1">
      <c r="A849" s="195" t="s">
        <v>3146</v>
      </c>
      <c r="B849" s="196" t="s">
        <v>3147</v>
      </c>
    </row>
    <row r="850" spans="1:2" ht="15.75" customHeight="1">
      <c r="A850" s="195" t="s">
        <v>3148</v>
      </c>
      <c r="B850" s="196" t="s">
        <v>3149</v>
      </c>
    </row>
    <row r="851" spans="1:2" ht="15.75" customHeight="1">
      <c r="A851" s="195" t="s">
        <v>3150</v>
      </c>
      <c r="B851" s="196" t="s">
        <v>3151</v>
      </c>
    </row>
    <row r="852" spans="1:2" ht="15.75" customHeight="1">
      <c r="A852" s="195" t="s">
        <v>3152</v>
      </c>
      <c r="B852" s="196" t="s">
        <v>3153</v>
      </c>
    </row>
    <row r="853" spans="1:2" ht="15.75" customHeight="1">
      <c r="A853" s="195" t="s">
        <v>3154</v>
      </c>
      <c r="B853" s="196" t="s">
        <v>3155</v>
      </c>
    </row>
    <row r="854" spans="1:2" ht="15.75" customHeight="1">
      <c r="A854" s="195" t="s">
        <v>3156</v>
      </c>
      <c r="B854" s="196" t="s">
        <v>2678</v>
      </c>
    </row>
    <row r="855" spans="1:2" ht="15.75" customHeight="1">
      <c r="A855" s="195" t="s">
        <v>3157</v>
      </c>
      <c r="B855" s="196" t="s">
        <v>3158</v>
      </c>
    </row>
    <row r="856" spans="1:2" ht="15.75" customHeight="1">
      <c r="A856" s="195" t="s">
        <v>3159</v>
      </c>
      <c r="B856" s="196" t="s">
        <v>3160</v>
      </c>
    </row>
    <row r="857" spans="1:2" ht="15.75" customHeight="1">
      <c r="A857" s="195" t="s">
        <v>3161</v>
      </c>
      <c r="B857" s="196" t="s">
        <v>3162</v>
      </c>
    </row>
    <row r="858" spans="1:2" ht="15.75" customHeight="1">
      <c r="A858" s="195" t="s">
        <v>3163</v>
      </c>
      <c r="B858" s="196" t="s">
        <v>3164</v>
      </c>
    </row>
    <row r="859" spans="1:2" ht="15.75" customHeight="1">
      <c r="A859" s="195" t="s">
        <v>3165</v>
      </c>
      <c r="B859" s="196" t="s">
        <v>3166</v>
      </c>
    </row>
    <row r="860" spans="1:2" ht="15.75" customHeight="1">
      <c r="A860" s="195" t="s">
        <v>3167</v>
      </c>
      <c r="B860" s="196" t="s">
        <v>3168</v>
      </c>
    </row>
    <row r="861" spans="1:2" ht="15.75" customHeight="1">
      <c r="A861" s="195" t="s">
        <v>3169</v>
      </c>
      <c r="B861" s="196" t="s">
        <v>3170</v>
      </c>
    </row>
    <row r="862" spans="1:2" ht="15.75" customHeight="1">
      <c r="A862" s="195" t="s">
        <v>3171</v>
      </c>
      <c r="B862" s="196" t="s">
        <v>3172</v>
      </c>
    </row>
    <row r="863" spans="1:2" ht="15.75" customHeight="1">
      <c r="A863" s="195" t="s">
        <v>3173</v>
      </c>
      <c r="B863" s="196" t="s">
        <v>3174</v>
      </c>
    </row>
    <row r="864" spans="1:2" ht="15.75" customHeight="1">
      <c r="A864" s="195" t="s">
        <v>3175</v>
      </c>
      <c r="B864" s="196" t="s">
        <v>3176</v>
      </c>
    </row>
    <row r="865" spans="1:2" ht="15.75" customHeight="1">
      <c r="A865" s="195" t="s">
        <v>3177</v>
      </c>
      <c r="B865" s="196" t="s">
        <v>3178</v>
      </c>
    </row>
    <row r="866" spans="1:2" ht="15.75" customHeight="1">
      <c r="A866" s="195" t="s">
        <v>3179</v>
      </c>
      <c r="B866" s="196" t="s">
        <v>3180</v>
      </c>
    </row>
    <row r="867" spans="1:2" ht="15.75" customHeight="1">
      <c r="A867" s="195" t="s">
        <v>3181</v>
      </c>
      <c r="B867" s="196" t="s">
        <v>3182</v>
      </c>
    </row>
    <row r="868" spans="1:2" ht="15.75" customHeight="1">
      <c r="A868" s="195" t="s">
        <v>3183</v>
      </c>
      <c r="B868" s="196" t="s">
        <v>3184</v>
      </c>
    </row>
    <row r="869" spans="1:2" ht="15.75" customHeight="1">
      <c r="A869" s="195" t="s">
        <v>3185</v>
      </c>
      <c r="B869" s="196" t="s">
        <v>3186</v>
      </c>
    </row>
    <row r="870" spans="1:2" ht="15.75" customHeight="1">
      <c r="A870" s="195" t="s">
        <v>3187</v>
      </c>
      <c r="B870" s="196" t="s">
        <v>3188</v>
      </c>
    </row>
    <row r="871" spans="1:2" ht="15.75" customHeight="1">
      <c r="A871" s="195" t="s">
        <v>3189</v>
      </c>
      <c r="B871" s="196" t="s">
        <v>3190</v>
      </c>
    </row>
    <row r="872" spans="1:2" ht="15.75" customHeight="1">
      <c r="A872" s="195" t="s">
        <v>3191</v>
      </c>
      <c r="B872" s="196" t="s">
        <v>3192</v>
      </c>
    </row>
    <row r="873" spans="1:2" ht="15.75" customHeight="1">
      <c r="A873" s="195" t="s">
        <v>3193</v>
      </c>
      <c r="B873" s="196" t="s">
        <v>3194</v>
      </c>
    </row>
    <row r="874" spans="1:2" ht="15.75" customHeight="1">
      <c r="A874" s="195" t="s">
        <v>3195</v>
      </c>
      <c r="B874" s="196" t="s">
        <v>3196</v>
      </c>
    </row>
    <row r="875" spans="1:2" ht="15.75" customHeight="1">
      <c r="A875" s="195" t="s">
        <v>3197</v>
      </c>
      <c r="B875" s="196" t="s">
        <v>3198</v>
      </c>
    </row>
    <row r="876" spans="1:2" ht="15.75" customHeight="1">
      <c r="A876" s="195" t="s">
        <v>3199</v>
      </c>
      <c r="B876" s="196" t="s">
        <v>3200</v>
      </c>
    </row>
    <row r="877" spans="1:2" ht="15.75" customHeight="1">
      <c r="A877" s="195" t="s">
        <v>3201</v>
      </c>
      <c r="B877" s="196" t="s">
        <v>3202</v>
      </c>
    </row>
    <row r="878" spans="1:2" ht="15.75" customHeight="1">
      <c r="A878" s="195" t="s">
        <v>3203</v>
      </c>
      <c r="B878" s="196" t="s">
        <v>3204</v>
      </c>
    </row>
    <row r="879" spans="1:2" ht="15.75" customHeight="1">
      <c r="A879" s="195" t="s">
        <v>3205</v>
      </c>
      <c r="B879" s="196" t="s">
        <v>3206</v>
      </c>
    </row>
    <row r="880" spans="1:2" ht="15.75" customHeight="1">
      <c r="A880" s="195" t="s">
        <v>3207</v>
      </c>
      <c r="B880" s="196" t="s">
        <v>3208</v>
      </c>
    </row>
    <row r="881" spans="1:2" ht="15.75" customHeight="1">
      <c r="A881" s="195" t="s">
        <v>3209</v>
      </c>
      <c r="B881" s="196" t="s">
        <v>3210</v>
      </c>
    </row>
    <row r="882" spans="1:2" ht="15.75" customHeight="1">
      <c r="A882" s="195" t="s">
        <v>3211</v>
      </c>
      <c r="B882" s="196" t="s">
        <v>3212</v>
      </c>
    </row>
    <row r="883" spans="1:2" ht="15.75" customHeight="1">
      <c r="A883" s="195" t="s">
        <v>3213</v>
      </c>
      <c r="B883" s="196" t="s">
        <v>3214</v>
      </c>
    </row>
    <row r="884" spans="1:2" ht="15.75" customHeight="1">
      <c r="A884" s="195" t="s">
        <v>3215</v>
      </c>
      <c r="B884" s="196" t="s">
        <v>3216</v>
      </c>
    </row>
    <row r="885" spans="1:2" ht="15.75" customHeight="1">
      <c r="A885" s="195" t="s">
        <v>3217</v>
      </c>
      <c r="B885" s="196" t="s">
        <v>3218</v>
      </c>
    </row>
    <row r="886" spans="1:2" ht="15.75" customHeight="1">
      <c r="A886" s="195" t="s">
        <v>3219</v>
      </c>
      <c r="B886" s="196" t="s">
        <v>3220</v>
      </c>
    </row>
    <row r="887" spans="1:2" ht="15.75" customHeight="1">
      <c r="A887" s="195" t="s">
        <v>3221</v>
      </c>
      <c r="B887" s="196" t="s">
        <v>3222</v>
      </c>
    </row>
    <row r="888" spans="1:2" ht="15.75" customHeight="1">
      <c r="A888" s="195" t="s">
        <v>3223</v>
      </c>
      <c r="B888" s="196" t="s">
        <v>3224</v>
      </c>
    </row>
    <row r="889" spans="1:2" ht="15.75" customHeight="1">
      <c r="A889" s="195" t="s">
        <v>3225</v>
      </c>
      <c r="B889" s="196" t="s">
        <v>3226</v>
      </c>
    </row>
    <row r="890" spans="1:2" ht="15.75" customHeight="1">
      <c r="A890" s="195" t="s">
        <v>3227</v>
      </c>
      <c r="B890" s="196" t="s">
        <v>3228</v>
      </c>
    </row>
    <row r="891" spans="1:2" ht="15.75" customHeight="1">
      <c r="A891" s="195" t="s">
        <v>3229</v>
      </c>
      <c r="B891" s="196" t="s">
        <v>3230</v>
      </c>
    </row>
    <row r="892" spans="1:2" ht="15.75" customHeight="1">
      <c r="A892" s="195" t="s">
        <v>3231</v>
      </c>
      <c r="B892" s="196" t="s">
        <v>3232</v>
      </c>
    </row>
    <row r="893" spans="1:2" ht="15.75" customHeight="1">
      <c r="A893" s="195" t="s">
        <v>3233</v>
      </c>
      <c r="B893" s="196" t="s">
        <v>3234</v>
      </c>
    </row>
    <row r="894" spans="1:2" ht="15.75" customHeight="1">
      <c r="A894" s="195" t="s">
        <v>3235</v>
      </c>
      <c r="B894" s="196" t="s">
        <v>3236</v>
      </c>
    </row>
    <row r="895" spans="1:2" ht="15.75" customHeight="1">
      <c r="A895" s="195" t="s">
        <v>3237</v>
      </c>
      <c r="B895" s="196" t="s">
        <v>3238</v>
      </c>
    </row>
    <row r="896" spans="1:2" ht="15.75" customHeight="1">
      <c r="A896" s="195" t="s">
        <v>3239</v>
      </c>
      <c r="B896" s="196" t="s">
        <v>3240</v>
      </c>
    </row>
    <row r="897" spans="1:2" ht="15.75" customHeight="1">
      <c r="A897" s="195" t="s">
        <v>3241</v>
      </c>
      <c r="B897" s="196" t="s">
        <v>3242</v>
      </c>
    </row>
    <row r="898" spans="1:2" ht="15.75" customHeight="1">
      <c r="A898" s="195" t="s">
        <v>3243</v>
      </c>
      <c r="B898" s="196" t="s">
        <v>3244</v>
      </c>
    </row>
    <row r="899" spans="1:2" ht="15.75" customHeight="1">
      <c r="A899" s="195" t="s">
        <v>3245</v>
      </c>
      <c r="B899" s="196" t="s">
        <v>3246</v>
      </c>
    </row>
    <row r="900" spans="1:2" ht="15.75" customHeight="1">
      <c r="A900" s="195" t="s">
        <v>3247</v>
      </c>
      <c r="B900" s="196" t="s">
        <v>3248</v>
      </c>
    </row>
    <row r="901" spans="1:2" ht="15.75" customHeight="1">
      <c r="A901" s="195" t="s">
        <v>3249</v>
      </c>
      <c r="B901" s="196" t="s">
        <v>3250</v>
      </c>
    </row>
    <row r="902" spans="1:2" ht="15.75" customHeight="1">
      <c r="A902" s="195" t="s">
        <v>3251</v>
      </c>
      <c r="B902" s="196" t="s">
        <v>3252</v>
      </c>
    </row>
    <row r="903" spans="1:2" ht="15.75" customHeight="1">
      <c r="A903" s="195" t="s">
        <v>3253</v>
      </c>
      <c r="B903" s="196" t="s">
        <v>3254</v>
      </c>
    </row>
    <row r="904" spans="1:2" ht="15.75" customHeight="1">
      <c r="A904" s="195" t="s">
        <v>3255</v>
      </c>
      <c r="B904" s="196" t="s">
        <v>3256</v>
      </c>
    </row>
    <row r="905" spans="1:2" ht="15.75" customHeight="1">
      <c r="A905" s="195" t="s">
        <v>3257</v>
      </c>
      <c r="B905" s="196" t="s">
        <v>3258</v>
      </c>
    </row>
    <row r="906" spans="1:2" ht="15.75" customHeight="1">
      <c r="A906" s="195" t="s">
        <v>3259</v>
      </c>
      <c r="B906" s="196" t="s">
        <v>3260</v>
      </c>
    </row>
    <row r="907" spans="1:2" ht="15.75" customHeight="1">
      <c r="A907" s="195" t="s">
        <v>3261</v>
      </c>
      <c r="B907" s="196" t="s">
        <v>3262</v>
      </c>
    </row>
    <row r="908" spans="1:2" ht="15.75" customHeight="1">
      <c r="A908" s="195" t="s">
        <v>3263</v>
      </c>
      <c r="B908" s="196" t="s">
        <v>3264</v>
      </c>
    </row>
    <row r="909" spans="1:2" ht="15.75" customHeight="1">
      <c r="A909" s="195" t="s">
        <v>3265</v>
      </c>
      <c r="B909" s="196" t="s">
        <v>3266</v>
      </c>
    </row>
    <row r="910" spans="1:2" ht="15.75" customHeight="1">
      <c r="A910" s="195" t="s">
        <v>3267</v>
      </c>
      <c r="B910" s="196" t="s">
        <v>3268</v>
      </c>
    </row>
    <row r="911" spans="1:2" ht="15.75" customHeight="1">
      <c r="A911" s="195" t="s">
        <v>3269</v>
      </c>
      <c r="B911" s="196" t="s">
        <v>1653</v>
      </c>
    </row>
    <row r="912" spans="1:2" ht="15.75" customHeight="1">
      <c r="A912" s="195" t="s">
        <v>3270</v>
      </c>
      <c r="B912" s="196" t="s">
        <v>1560</v>
      </c>
    </row>
    <row r="913" spans="1:2" ht="15.75" customHeight="1">
      <c r="A913" s="195" t="s">
        <v>3271</v>
      </c>
      <c r="B913" s="196" t="s">
        <v>3272</v>
      </c>
    </row>
    <row r="914" spans="1:2" ht="15.75" customHeight="1">
      <c r="A914" s="195" t="s">
        <v>3273</v>
      </c>
      <c r="B914" s="196" t="s">
        <v>3274</v>
      </c>
    </row>
    <row r="915" spans="1:2" ht="15.75" customHeight="1">
      <c r="A915" s="195" t="s">
        <v>3275</v>
      </c>
      <c r="B915" s="196" t="s">
        <v>1401</v>
      </c>
    </row>
    <row r="916" spans="1:2" ht="15.75" customHeight="1">
      <c r="A916" s="195" t="s">
        <v>3276</v>
      </c>
      <c r="B916" s="196" t="s">
        <v>1513</v>
      </c>
    </row>
    <row r="917" spans="1:2" ht="15.75" customHeight="1">
      <c r="A917" s="195" t="s">
        <v>3277</v>
      </c>
      <c r="B917" s="196" t="s">
        <v>3278</v>
      </c>
    </row>
    <row r="918" spans="1:2" ht="15.75" customHeight="1">
      <c r="A918" s="195" t="s">
        <v>3279</v>
      </c>
      <c r="B918" s="196" t="s">
        <v>3280</v>
      </c>
    </row>
    <row r="919" spans="1:2" ht="15.75" customHeight="1">
      <c r="A919" s="193" t="s">
        <v>1108</v>
      </c>
      <c r="B919" s="194" t="s">
        <v>1109</v>
      </c>
    </row>
    <row r="920" spans="1:2" ht="15.75" customHeight="1">
      <c r="A920" s="195" t="s">
        <v>3281</v>
      </c>
      <c r="B920" s="196" t="s">
        <v>3282</v>
      </c>
    </row>
    <row r="921" spans="1:2" ht="15.75" customHeight="1">
      <c r="A921" s="195" t="s">
        <v>3283</v>
      </c>
      <c r="B921" s="196" t="s">
        <v>3284</v>
      </c>
    </row>
    <row r="922" spans="1:2" ht="15.75" customHeight="1">
      <c r="A922" s="195" t="s">
        <v>3285</v>
      </c>
      <c r="B922" s="196" t="s">
        <v>3286</v>
      </c>
    </row>
    <row r="923" spans="1:2" ht="15.75" customHeight="1">
      <c r="A923" s="195" t="s">
        <v>3287</v>
      </c>
      <c r="B923" s="196" t="s">
        <v>3288</v>
      </c>
    </row>
    <row r="924" spans="1:2" ht="15.75" customHeight="1">
      <c r="A924" s="195" t="s">
        <v>3289</v>
      </c>
      <c r="B924" s="196" t="s">
        <v>3290</v>
      </c>
    </row>
    <row r="925" spans="1:2" ht="15.75" customHeight="1">
      <c r="A925" s="195" t="s">
        <v>3291</v>
      </c>
      <c r="B925" s="196" t="s">
        <v>3292</v>
      </c>
    </row>
    <row r="926" spans="1:2" ht="15.75" customHeight="1">
      <c r="A926" s="195" t="s">
        <v>3293</v>
      </c>
      <c r="B926" s="196" t="s">
        <v>3127</v>
      </c>
    </row>
    <row r="927" spans="1:2" ht="15.75" customHeight="1">
      <c r="A927" s="195" t="s">
        <v>3294</v>
      </c>
      <c r="B927" s="196" t="s">
        <v>3295</v>
      </c>
    </row>
    <row r="928" spans="1:2" ht="15.75" customHeight="1">
      <c r="A928" s="195" t="s">
        <v>3296</v>
      </c>
      <c r="B928" s="196" t="s">
        <v>3297</v>
      </c>
    </row>
    <row r="929" spans="1:2" ht="15.75" customHeight="1">
      <c r="A929" s="195" t="s">
        <v>3298</v>
      </c>
      <c r="B929" s="196" t="s">
        <v>3299</v>
      </c>
    </row>
    <row r="930" spans="1:2" ht="15.75" customHeight="1">
      <c r="A930" s="195" t="s">
        <v>3300</v>
      </c>
      <c r="B930" s="196" t="s">
        <v>3301</v>
      </c>
    </row>
    <row r="931" spans="1:2" ht="15.75" customHeight="1">
      <c r="A931" s="193" t="s">
        <v>1134</v>
      </c>
      <c r="B931" s="194" t="s">
        <v>1135</v>
      </c>
    </row>
    <row r="932" spans="1:2" ht="15.75" customHeight="1">
      <c r="A932" s="195" t="s">
        <v>3302</v>
      </c>
      <c r="B932" s="196" t="s">
        <v>3303</v>
      </c>
    </row>
    <row r="933" spans="1:2" ht="15.75" customHeight="1">
      <c r="A933" s="195" t="s">
        <v>3304</v>
      </c>
      <c r="B933" s="196" t="s">
        <v>3305</v>
      </c>
    </row>
    <row r="934" spans="1:2" ht="15.75" customHeight="1">
      <c r="A934" s="195" t="s">
        <v>3306</v>
      </c>
      <c r="B934" s="196" t="s">
        <v>3307</v>
      </c>
    </row>
    <row r="935" spans="1:2" ht="15.75" customHeight="1">
      <c r="A935" s="195" t="s">
        <v>3308</v>
      </c>
      <c r="B935" s="196" t="s">
        <v>3309</v>
      </c>
    </row>
    <row r="936" spans="1:2" ht="15.75" customHeight="1">
      <c r="A936" s="195" t="s">
        <v>3310</v>
      </c>
      <c r="B936" s="196" t="s">
        <v>3311</v>
      </c>
    </row>
    <row r="937" spans="1:2" ht="15.75" customHeight="1">
      <c r="A937" s="195" t="s">
        <v>3312</v>
      </c>
      <c r="B937" s="196" t="s">
        <v>3313</v>
      </c>
    </row>
    <row r="938" spans="1:2" ht="15.75" customHeight="1">
      <c r="A938" s="195" t="s">
        <v>3314</v>
      </c>
      <c r="B938" s="196" t="s">
        <v>3315</v>
      </c>
    </row>
    <row r="939" spans="1:2" ht="15.75" customHeight="1">
      <c r="A939" s="195" t="s">
        <v>3316</v>
      </c>
      <c r="B939" s="196" t="s">
        <v>3317</v>
      </c>
    </row>
    <row r="940" spans="1:2" ht="15.75" customHeight="1">
      <c r="A940" s="193" t="s">
        <v>1144</v>
      </c>
      <c r="B940" s="194" t="s">
        <v>1008</v>
      </c>
    </row>
    <row r="941" spans="1:2" ht="15.75" customHeight="1">
      <c r="A941" s="195" t="s">
        <v>3318</v>
      </c>
      <c r="B941" s="196" t="s">
        <v>3319</v>
      </c>
    </row>
    <row r="942" spans="1:2" ht="15.75" customHeight="1">
      <c r="A942" s="195" t="s">
        <v>3320</v>
      </c>
      <c r="B942" s="196" t="s">
        <v>1409</v>
      </c>
    </row>
    <row r="943" spans="1:2" ht="15.75" customHeight="1">
      <c r="A943" s="195" t="s">
        <v>3321</v>
      </c>
      <c r="B943" s="196" t="s">
        <v>3322</v>
      </c>
    </row>
    <row r="944" spans="1:2" ht="15.75" customHeight="1">
      <c r="A944" s="195" t="s">
        <v>3323</v>
      </c>
      <c r="B944" s="196" t="s">
        <v>3324</v>
      </c>
    </row>
    <row r="945" spans="1:2" ht="15.75" customHeight="1">
      <c r="A945" s="195" t="s">
        <v>3325</v>
      </c>
      <c r="B945" s="196" t="s">
        <v>1403</v>
      </c>
    </row>
    <row r="946" spans="1:2" ht="15.75" customHeight="1">
      <c r="A946" s="195" t="s">
        <v>1907</v>
      </c>
      <c r="B946" s="196" t="s">
        <v>3274</v>
      </c>
    </row>
    <row r="947" spans="1:2" ht="15.75" customHeight="1">
      <c r="A947" s="195" t="s">
        <v>3326</v>
      </c>
      <c r="B947" s="196" t="s">
        <v>1413</v>
      </c>
    </row>
    <row r="948" spans="1:2" ht="15.75" customHeight="1">
      <c r="A948" s="193" t="s">
        <v>1145</v>
      </c>
      <c r="B948" s="194" t="s">
        <v>1146</v>
      </c>
    </row>
    <row r="949" spans="1:2" ht="15.75" customHeight="1">
      <c r="A949" s="195" t="s">
        <v>3327</v>
      </c>
      <c r="B949" s="196" t="s">
        <v>1431</v>
      </c>
    </row>
    <row r="950" spans="1:2" ht="15.75" customHeight="1">
      <c r="A950" s="195" t="s">
        <v>3328</v>
      </c>
      <c r="B950" s="196" t="s">
        <v>1434</v>
      </c>
    </row>
    <row r="951" spans="1:2" ht="15.75" customHeight="1">
      <c r="A951" s="195" t="s">
        <v>3329</v>
      </c>
      <c r="B951" s="196" t="s">
        <v>1436</v>
      </c>
    </row>
    <row r="952" spans="1:2" ht="15.75" customHeight="1">
      <c r="A952" s="195" t="s">
        <v>3330</v>
      </c>
      <c r="B952" s="196" t="s">
        <v>3331</v>
      </c>
    </row>
    <row r="953" spans="1:2" ht="15.75" customHeight="1">
      <c r="A953" s="195" t="s">
        <v>3332</v>
      </c>
      <c r="B953" s="196" t="s">
        <v>3333</v>
      </c>
    </row>
    <row r="954" spans="1:2" ht="15.75" customHeight="1">
      <c r="A954" s="193" t="s">
        <v>3819</v>
      </c>
      <c r="B954" s="194" t="s">
        <v>3820</v>
      </c>
    </row>
    <row r="955" spans="1:2" ht="15.75" customHeight="1">
      <c r="A955" s="195" t="s">
        <v>3334</v>
      </c>
      <c r="B955" s="196" t="s">
        <v>3335</v>
      </c>
    </row>
    <row r="956" spans="1:2" ht="15.75" customHeight="1">
      <c r="A956" s="191" t="s">
        <v>360</v>
      </c>
      <c r="B956" s="192" t="s">
        <v>3796</v>
      </c>
    </row>
    <row r="957" spans="1:2" ht="15.75" customHeight="1">
      <c r="A957" s="193" t="s">
        <v>1157</v>
      </c>
      <c r="B957" s="194" t="s">
        <v>1158</v>
      </c>
    </row>
    <row r="958" spans="1:2" ht="15.75" customHeight="1">
      <c r="A958" s="195" t="s">
        <v>3336</v>
      </c>
      <c r="B958" s="196" t="s">
        <v>3337</v>
      </c>
    </row>
    <row r="959" spans="1:2" ht="15.75" customHeight="1">
      <c r="A959" s="195" t="s">
        <v>3338</v>
      </c>
      <c r="B959" s="196" t="s">
        <v>3337</v>
      </c>
    </row>
    <row r="960" spans="1:2" ht="15.75" customHeight="1">
      <c r="A960" s="195" t="s">
        <v>3339</v>
      </c>
      <c r="B960" s="196" t="s">
        <v>3340</v>
      </c>
    </row>
    <row r="961" spans="1:2" ht="15.75" customHeight="1">
      <c r="A961" s="195" t="s">
        <v>3341</v>
      </c>
      <c r="B961" s="196" t="s">
        <v>3342</v>
      </c>
    </row>
    <row r="962" spans="1:2" ht="15.75" customHeight="1">
      <c r="A962" s="195" t="s">
        <v>3343</v>
      </c>
      <c r="B962" s="196" t="s">
        <v>3344</v>
      </c>
    </row>
    <row r="963" spans="1:2" ht="15.75" customHeight="1">
      <c r="A963" s="195" t="s">
        <v>3345</v>
      </c>
      <c r="B963" s="196" t="s">
        <v>3346</v>
      </c>
    </row>
    <row r="964" spans="1:2" ht="15.75" customHeight="1">
      <c r="A964" s="195" t="s">
        <v>3347</v>
      </c>
      <c r="B964" s="196" t="s">
        <v>3348</v>
      </c>
    </row>
    <row r="965" spans="1:2" ht="15.75" customHeight="1">
      <c r="A965" s="195" t="s">
        <v>3349</v>
      </c>
      <c r="B965" s="196" t="s">
        <v>3350</v>
      </c>
    </row>
    <row r="966" spans="1:2" ht="15.75" customHeight="1">
      <c r="A966" s="195" t="s">
        <v>3351</v>
      </c>
      <c r="B966" s="196" t="s">
        <v>3352</v>
      </c>
    </row>
    <row r="967" spans="1:2" ht="15.75" customHeight="1">
      <c r="A967" s="195" t="s">
        <v>3353</v>
      </c>
      <c r="B967" s="196" t="s">
        <v>3354</v>
      </c>
    </row>
    <row r="968" spans="1:2" ht="15.75" customHeight="1">
      <c r="A968" s="195" t="s">
        <v>1583</v>
      </c>
      <c r="B968" s="196" t="s">
        <v>3355</v>
      </c>
    </row>
    <row r="969" spans="1:2" ht="15.75" customHeight="1">
      <c r="A969" s="195" t="s">
        <v>3356</v>
      </c>
      <c r="B969" s="196" t="s">
        <v>3357</v>
      </c>
    </row>
    <row r="970" spans="1:2" ht="15.75" customHeight="1">
      <c r="A970" s="195" t="s">
        <v>3358</v>
      </c>
      <c r="B970" s="196" t="s">
        <v>3359</v>
      </c>
    </row>
    <row r="971" spans="1:2" ht="15.75" customHeight="1">
      <c r="A971" s="195" t="s">
        <v>3360</v>
      </c>
      <c r="B971" s="196" t="s">
        <v>3361</v>
      </c>
    </row>
    <row r="972" spans="1:2" ht="15.75" customHeight="1">
      <c r="A972" s="195" t="s">
        <v>3362</v>
      </c>
      <c r="B972" s="196" t="s">
        <v>3363</v>
      </c>
    </row>
    <row r="973" spans="1:2" ht="15.75" customHeight="1">
      <c r="A973" s="195" t="s">
        <v>3364</v>
      </c>
      <c r="B973" s="196" t="s">
        <v>3365</v>
      </c>
    </row>
    <row r="974" spans="1:2" ht="15.75" customHeight="1">
      <c r="A974" s="195" t="s">
        <v>3366</v>
      </c>
      <c r="B974" s="196" t="s">
        <v>3367</v>
      </c>
    </row>
    <row r="975" spans="1:2" ht="15.75" customHeight="1">
      <c r="A975" s="195" t="s">
        <v>3368</v>
      </c>
      <c r="B975" s="196" t="s">
        <v>3369</v>
      </c>
    </row>
    <row r="976" spans="1:2" ht="15.75" customHeight="1">
      <c r="A976" s="195" t="s">
        <v>3370</v>
      </c>
      <c r="B976" s="196" t="s">
        <v>3371</v>
      </c>
    </row>
    <row r="977" spans="1:2" ht="15.75" customHeight="1">
      <c r="A977" s="195" t="s">
        <v>3372</v>
      </c>
      <c r="B977" s="196" t="s">
        <v>3373</v>
      </c>
    </row>
    <row r="978" spans="1:2" ht="15.75" customHeight="1">
      <c r="A978" s="195" t="s">
        <v>3374</v>
      </c>
      <c r="B978" s="196" t="s">
        <v>3375</v>
      </c>
    </row>
    <row r="979" spans="1:2" ht="15.75" customHeight="1">
      <c r="A979" s="195" t="s">
        <v>3376</v>
      </c>
      <c r="B979" s="196" t="s">
        <v>3377</v>
      </c>
    </row>
    <row r="980" spans="1:2" ht="15.75" customHeight="1">
      <c r="A980" s="195" t="s">
        <v>3378</v>
      </c>
      <c r="B980" s="196" t="s">
        <v>3379</v>
      </c>
    </row>
    <row r="981" spans="1:2" ht="15.75" customHeight="1">
      <c r="A981" s="195" t="s">
        <v>3380</v>
      </c>
      <c r="B981" s="196" t="s">
        <v>3381</v>
      </c>
    </row>
    <row r="982" spans="1:2" ht="15.75" customHeight="1">
      <c r="A982" s="195" t="s">
        <v>3382</v>
      </c>
      <c r="B982" s="196" t="s">
        <v>3383</v>
      </c>
    </row>
    <row r="983" spans="1:2" ht="15.75" customHeight="1">
      <c r="A983" s="195" t="s">
        <v>3384</v>
      </c>
      <c r="B983" s="196" t="s">
        <v>3385</v>
      </c>
    </row>
    <row r="984" spans="1:2" ht="15.75" customHeight="1">
      <c r="A984" s="195" t="s">
        <v>3386</v>
      </c>
      <c r="B984" s="196" t="s">
        <v>3387</v>
      </c>
    </row>
    <row r="985" spans="1:2" ht="15.75" customHeight="1">
      <c r="A985" s="195" t="s">
        <v>3388</v>
      </c>
      <c r="B985" s="196" t="s">
        <v>3389</v>
      </c>
    </row>
    <row r="986" spans="1:2" ht="15.75" customHeight="1">
      <c r="A986" s="195" t="s">
        <v>3390</v>
      </c>
      <c r="B986" s="196" t="s">
        <v>3391</v>
      </c>
    </row>
    <row r="987" spans="1:2" ht="15.75" customHeight="1">
      <c r="A987" s="195" t="s">
        <v>3392</v>
      </c>
      <c r="B987" s="196" t="s">
        <v>3393</v>
      </c>
    </row>
    <row r="988" spans="1:2" ht="15.75" customHeight="1">
      <c r="A988" s="195" t="s">
        <v>3394</v>
      </c>
      <c r="B988" s="196" t="s">
        <v>3395</v>
      </c>
    </row>
    <row r="989" spans="1:2" ht="15.75" customHeight="1">
      <c r="A989" s="195" t="s">
        <v>3396</v>
      </c>
      <c r="B989" s="196" t="s">
        <v>3397</v>
      </c>
    </row>
    <row r="990" spans="1:2" ht="15.75" customHeight="1">
      <c r="A990" s="195" t="s">
        <v>3398</v>
      </c>
      <c r="B990" s="196" t="s">
        <v>3399</v>
      </c>
    </row>
    <row r="991" spans="1:2" ht="15.75" customHeight="1">
      <c r="A991" s="195" t="s">
        <v>3400</v>
      </c>
      <c r="B991" s="196" t="s">
        <v>3401</v>
      </c>
    </row>
    <row r="992" spans="1:2" ht="15.75" customHeight="1">
      <c r="A992" s="195" t="s">
        <v>3402</v>
      </c>
      <c r="B992" s="196" t="s">
        <v>3403</v>
      </c>
    </row>
    <row r="993" spans="1:2" ht="15.75" customHeight="1">
      <c r="A993" s="195" t="s">
        <v>3404</v>
      </c>
      <c r="B993" s="196" t="s">
        <v>3405</v>
      </c>
    </row>
    <row r="994" spans="1:2" ht="15.75" customHeight="1">
      <c r="A994" s="195" t="s">
        <v>3406</v>
      </c>
      <c r="B994" s="196" t="s">
        <v>3407</v>
      </c>
    </row>
    <row r="995" spans="1:2" ht="15.75" customHeight="1">
      <c r="A995" s="195" t="s">
        <v>3408</v>
      </c>
      <c r="B995" s="196" t="s">
        <v>3409</v>
      </c>
    </row>
    <row r="996" spans="1:2" ht="15.75" customHeight="1">
      <c r="A996" s="195" t="s">
        <v>3410</v>
      </c>
      <c r="B996" s="196" t="s">
        <v>3411</v>
      </c>
    </row>
    <row r="997" spans="1:2" ht="15.75" customHeight="1">
      <c r="A997" s="195" t="s">
        <v>3412</v>
      </c>
      <c r="B997" s="196" t="s">
        <v>3413</v>
      </c>
    </row>
    <row r="998" spans="1:2" ht="15.75" customHeight="1">
      <c r="A998" s="195" t="s">
        <v>3414</v>
      </c>
      <c r="B998" s="196" t="s">
        <v>3415</v>
      </c>
    </row>
    <row r="999" spans="1:2" ht="15.75" customHeight="1">
      <c r="A999" s="195" t="s">
        <v>3416</v>
      </c>
      <c r="B999" s="196" t="s">
        <v>3417</v>
      </c>
    </row>
    <row r="1000" spans="1:2" ht="15.75" customHeight="1">
      <c r="A1000" s="195" t="s">
        <v>3418</v>
      </c>
      <c r="B1000" s="196" t="s">
        <v>3419</v>
      </c>
    </row>
    <row r="1001" spans="1:2" ht="15.75" customHeight="1">
      <c r="A1001" s="195" t="s">
        <v>3420</v>
      </c>
      <c r="B1001" s="196" t="s">
        <v>3421</v>
      </c>
    </row>
    <row r="1002" spans="1:2" ht="15.75" customHeight="1">
      <c r="A1002" s="195" t="s">
        <v>3422</v>
      </c>
      <c r="B1002" s="196" t="s">
        <v>3423</v>
      </c>
    </row>
    <row r="1003" spans="1:2" ht="15.75" customHeight="1">
      <c r="A1003" s="195" t="s">
        <v>3424</v>
      </c>
      <c r="B1003" s="196" t="s">
        <v>3425</v>
      </c>
    </row>
    <row r="1004" spans="1:2" ht="15.75" customHeight="1">
      <c r="A1004" s="195" t="s">
        <v>3426</v>
      </c>
      <c r="B1004" s="196" t="s">
        <v>3427</v>
      </c>
    </row>
    <row r="1005" spans="1:2" ht="15.75" customHeight="1">
      <c r="A1005" s="195" t="s">
        <v>3428</v>
      </c>
      <c r="B1005" s="196" t="s">
        <v>3429</v>
      </c>
    </row>
    <row r="1006" spans="1:2" ht="15.75" customHeight="1">
      <c r="A1006" s="195" t="s">
        <v>3430</v>
      </c>
      <c r="B1006" s="196" t="s">
        <v>3431</v>
      </c>
    </row>
    <row r="1007" spans="1:2" ht="15.75" customHeight="1">
      <c r="A1007" s="195" t="s">
        <v>3432</v>
      </c>
      <c r="B1007" s="196" t="s">
        <v>3433</v>
      </c>
    </row>
    <row r="1008" spans="1:2" ht="15.75" customHeight="1">
      <c r="A1008" s="195" t="s">
        <v>3434</v>
      </c>
      <c r="B1008" s="196" t="s">
        <v>3435</v>
      </c>
    </row>
    <row r="1009" spans="1:2" ht="15.75" customHeight="1">
      <c r="A1009" s="195" t="s">
        <v>3436</v>
      </c>
      <c r="B1009" s="196" t="s">
        <v>3437</v>
      </c>
    </row>
    <row r="1010" spans="1:2" ht="15.75" customHeight="1">
      <c r="A1010" s="195" t="s">
        <v>3438</v>
      </c>
      <c r="B1010" s="196" t="s">
        <v>3439</v>
      </c>
    </row>
    <row r="1011" spans="1:2" ht="15.75" customHeight="1">
      <c r="A1011" s="195" t="s">
        <v>3440</v>
      </c>
      <c r="B1011" s="196" t="s">
        <v>3441</v>
      </c>
    </row>
    <row r="1012" spans="1:2" ht="15.75" customHeight="1">
      <c r="A1012" s="195" t="s">
        <v>3442</v>
      </c>
      <c r="B1012" s="196" t="s">
        <v>3443</v>
      </c>
    </row>
    <row r="1013" spans="1:2" ht="15.75" customHeight="1">
      <c r="A1013" s="195" t="s">
        <v>3444</v>
      </c>
      <c r="B1013" s="196" t="s">
        <v>3445</v>
      </c>
    </row>
    <row r="1014" spans="1:2" ht="15.75" customHeight="1">
      <c r="A1014" s="195" t="s">
        <v>3446</v>
      </c>
      <c r="B1014" s="196" t="s">
        <v>3447</v>
      </c>
    </row>
    <row r="1015" spans="1:2" ht="15.75" customHeight="1">
      <c r="A1015" s="195" t="s">
        <v>3448</v>
      </c>
      <c r="B1015" s="196" t="s">
        <v>3449</v>
      </c>
    </row>
    <row r="1016" spans="1:2" ht="15.75" customHeight="1">
      <c r="A1016" s="195" t="s">
        <v>3450</v>
      </c>
      <c r="B1016" s="196" t="s">
        <v>3451</v>
      </c>
    </row>
    <row r="1017" spans="1:2" ht="15.75" customHeight="1">
      <c r="A1017" s="195" t="s">
        <v>3452</v>
      </c>
      <c r="B1017" s="196" t="s">
        <v>3453</v>
      </c>
    </row>
    <row r="1018" spans="1:2" ht="15.75" customHeight="1">
      <c r="A1018" s="195" t="s">
        <v>3454</v>
      </c>
      <c r="B1018" s="196" t="s">
        <v>3455</v>
      </c>
    </row>
    <row r="1019" spans="1:2" ht="15.75" customHeight="1">
      <c r="A1019" s="195" t="s">
        <v>3456</v>
      </c>
      <c r="B1019" s="196" t="s">
        <v>3457</v>
      </c>
    </row>
    <row r="1020" spans="1:2" ht="15.75" customHeight="1">
      <c r="A1020" s="195" t="s">
        <v>3458</v>
      </c>
      <c r="B1020" s="196" t="s">
        <v>3459</v>
      </c>
    </row>
    <row r="1021" spans="1:2" ht="15.75" customHeight="1">
      <c r="A1021" s="195" t="s">
        <v>3460</v>
      </c>
      <c r="B1021" s="196" t="s">
        <v>3461</v>
      </c>
    </row>
    <row r="1022" spans="1:2" ht="15.75" customHeight="1">
      <c r="A1022" s="195" t="s">
        <v>3462</v>
      </c>
      <c r="B1022" s="196" t="s">
        <v>3463</v>
      </c>
    </row>
    <row r="1023" spans="1:2" ht="15.75" customHeight="1">
      <c r="A1023" s="195" t="s">
        <v>3464</v>
      </c>
      <c r="B1023" s="196" t="s">
        <v>3465</v>
      </c>
    </row>
    <row r="1024" spans="1:2" ht="15.75" customHeight="1">
      <c r="A1024" s="195" t="s">
        <v>3466</v>
      </c>
      <c r="B1024" s="196" t="s">
        <v>3467</v>
      </c>
    </row>
    <row r="1025" spans="1:2" ht="15.75" customHeight="1">
      <c r="A1025" s="195" t="s">
        <v>3468</v>
      </c>
      <c r="B1025" s="196" t="s">
        <v>3469</v>
      </c>
    </row>
    <row r="1026" spans="1:2" ht="15.75" customHeight="1">
      <c r="A1026" s="195" t="s">
        <v>3470</v>
      </c>
      <c r="B1026" s="196" t="s">
        <v>3471</v>
      </c>
    </row>
    <row r="1027" spans="1:2" ht="15.75" customHeight="1">
      <c r="A1027" s="195" t="s">
        <v>3472</v>
      </c>
      <c r="B1027" s="196" t="s">
        <v>3473</v>
      </c>
    </row>
    <row r="1028" spans="1:2" ht="15.75" customHeight="1">
      <c r="A1028" s="195" t="s">
        <v>3474</v>
      </c>
      <c r="B1028" s="196" t="s">
        <v>3475</v>
      </c>
    </row>
    <row r="1029" spans="1:2" ht="15.75" customHeight="1">
      <c r="A1029" s="195" t="s">
        <v>3476</v>
      </c>
      <c r="B1029" s="196" t="s">
        <v>3477</v>
      </c>
    </row>
    <row r="1030" spans="1:2" ht="15.75" customHeight="1">
      <c r="A1030" s="195" t="s">
        <v>3478</v>
      </c>
      <c r="B1030" s="196" t="s">
        <v>3479</v>
      </c>
    </row>
    <row r="1031" spans="1:2" ht="15.75" customHeight="1">
      <c r="A1031" s="195" t="s">
        <v>1541</v>
      </c>
      <c r="B1031" s="196" t="s">
        <v>3480</v>
      </c>
    </row>
    <row r="1032" spans="1:2" ht="15.75" customHeight="1">
      <c r="A1032" s="195" t="s">
        <v>3481</v>
      </c>
      <c r="B1032" s="196" t="s">
        <v>3482</v>
      </c>
    </row>
    <row r="1033" spans="1:2" ht="15.75" customHeight="1">
      <c r="A1033" s="195" t="s">
        <v>3483</v>
      </c>
      <c r="B1033" s="196" t="s">
        <v>3484</v>
      </c>
    </row>
    <row r="1034" spans="1:2" ht="15.75" customHeight="1">
      <c r="A1034" s="195" t="s">
        <v>1418</v>
      </c>
      <c r="B1034" s="196" t="s">
        <v>3485</v>
      </c>
    </row>
    <row r="1035" spans="1:2" ht="15.75" customHeight="1">
      <c r="A1035" s="195" t="s">
        <v>3486</v>
      </c>
      <c r="B1035" s="196" t="s">
        <v>3487</v>
      </c>
    </row>
    <row r="1036" spans="1:2" ht="15.75" customHeight="1">
      <c r="A1036" s="195" t="s">
        <v>3488</v>
      </c>
      <c r="B1036" s="196" t="s">
        <v>3489</v>
      </c>
    </row>
    <row r="1037" spans="1:2" ht="15.75" customHeight="1">
      <c r="A1037" s="195" t="s">
        <v>1597</v>
      </c>
      <c r="B1037" s="196" t="s">
        <v>3409</v>
      </c>
    </row>
    <row r="1038" spans="1:2" ht="15.75" customHeight="1">
      <c r="A1038" s="195" t="s">
        <v>3490</v>
      </c>
      <c r="B1038" s="196" t="s">
        <v>3491</v>
      </c>
    </row>
    <row r="1039" spans="1:2" ht="15.75" customHeight="1">
      <c r="A1039" s="195" t="s">
        <v>3492</v>
      </c>
      <c r="B1039" s="196" t="s">
        <v>3493</v>
      </c>
    </row>
    <row r="1040" spans="1:2" ht="15.75" customHeight="1">
      <c r="A1040" s="195" t="s">
        <v>3494</v>
      </c>
      <c r="B1040" s="196" t="s">
        <v>3495</v>
      </c>
    </row>
    <row r="1041" spans="1:26" ht="15.75" customHeight="1">
      <c r="A1041" s="195" t="s">
        <v>3496</v>
      </c>
      <c r="B1041" s="196" t="s">
        <v>3485</v>
      </c>
    </row>
    <row r="1042" spans="1:26" ht="15.75" customHeight="1">
      <c r="A1042" s="195" t="s">
        <v>3497</v>
      </c>
      <c r="B1042" s="196" t="s">
        <v>3498</v>
      </c>
    </row>
    <row r="1043" spans="1:26" ht="15.75" customHeight="1">
      <c r="A1043" s="195" t="s">
        <v>3499</v>
      </c>
      <c r="B1043" s="196" t="s">
        <v>3500</v>
      </c>
    </row>
    <row r="1044" spans="1:26" ht="15.75" customHeight="1">
      <c r="A1044" s="195" t="s">
        <v>3501</v>
      </c>
      <c r="B1044" s="196" t="s">
        <v>3502</v>
      </c>
    </row>
    <row r="1045" spans="1:26" ht="15.75" customHeight="1">
      <c r="A1045" s="195" t="s">
        <v>3503</v>
      </c>
      <c r="B1045" s="196" t="s">
        <v>3504</v>
      </c>
    </row>
    <row r="1046" spans="1:26" ht="15.75" customHeight="1">
      <c r="A1046" s="195" t="s">
        <v>3505</v>
      </c>
      <c r="B1046" s="196" t="s">
        <v>3506</v>
      </c>
    </row>
    <row r="1047" spans="1:26" ht="15.75" customHeight="1">
      <c r="A1047" s="195" t="s">
        <v>3507</v>
      </c>
      <c r="B1047" s="196" t="s">
        <v>3508</v>
      </c>
    </row>
    <row r="1048" spans="1:26" ht="15.75" customHeight="1">
      <c r="A1048" s="195" t="s">
        <v>3509</v>
      </c>
      <c r="B1048" s="196" t="s">
        <v>3510</v>
      </c>
    </row>
    <row r="1049" spans="1:26" ht="15.75" customHeight="1">
      <c r="A1049" s="195" t="s">
        <v>3511</v>
      </c>
      <c r="B1049" s="196" t="s">
        <v>3512</v>
      </c>
    </row>
    <row r="1050" spans="1:26" ht="15.75" customHeight="1">
      <c r="A1050" s="195" t="s">
        <v>3513</v>
      </c>
      <c r="B1050" s="196" t="s">
        <v>3514</v>
      </c>
    </row>
    <row r="1051" spans="1:26" ht="15.75" customHeight="1">
      <c r="A1051" s="195" t="s">
        <v>3515</v>
      </c>
      <c r="B1051" s="196" t="s">
        <v>3516</v>
      </c>
    </row>
    <row r="1052" spans="1:26" ht="15.75" customHeight="1">
      <c r="A1052" s="195" t="s">
        <v>3517</v>
      </c>
      <c r="B1052" s="196" t="s">
        <v>3518</v>
      </c>
    </row>
    <row r="1053" spans="1:26" ht="15.75" customHeight="1">
      <c r="A1053" s="202" t="s">
        <v>1794</v>
      </c>
      <c r="B1053" s="78" t="s">
        <v>3519</v>
      </c>
      <c r="C1053" s="75"/>
      <c r="D1053" s="75"/>
      <c r="E1053" s="75"/>
      <c r="F1053" s="75"/>
      <c r="G1053" s="75"/>
      <c r="H1053" s="75"/>
      <c r="I1053" s="75"/>
      <c r="J1053" s="75"/>
      <c r="K1053" s="75"/>
      <c r="L1053" s="75"/>
      <c r="M1053" s="75"/>
      <c r="N1053" s="75"/>
      <c r="O1053" s="75"/>
      <c r="P1053" s="75"/>
      <c r="Q1053" s="75"/>
      <c r="R1053" s="75"/>
      <c r="S1053" s="75"/>
      <c r="T1053" s="75"/>
      <c r="U1053" s="75"/>
      <c r="V1053" s="75"/>
      <c r="W1053" s="75"/>
      <c r="X1053" s="75"/>
      <c r="Y1053" s="75"/>
      <c r="Z1053" s="75"/>
    </row>
    <row r="1054" spans="1:26" ht="15.75" customHeight="1">
      <c r="A1054" s="195" t="s">
        <v>3520</v>
      </c>
      <c r="B1054" s="196" t="s">
        <v>3521</v>
      </c>
    </row>
    <row r="1055" spans="1:26" ht="15.75" customHeight="1">
      <c r="A1055" s="195" t="s">
        <v>3522</v>
      </c>
      <c r="B1055" s="196" t="s">
        <v>3523</v>
      </c>
    </row>
    <row r="1056" spans="1:26" ht="15.75" customHeight="1">
      <c r="A1056" s="195" t="s">
        <v>3524</v>
      </c>
      <c r="B1056" s="196" t="s">
        <v>3525</v>
      </c>
    </row>
    <row r="1057" spans="1:2" ht="15.75" customHeight="1">
      <c r="A1057" s="195" t="s">
        <v>3526</v>
      </c>
      <c r="B1057" s="196" t="s">
        <v>3527</v>
      </c>
    </row>
    <row r="1058" spans="1:2" ht="15.75" customHeight="1">
      <c r="A1058" s="195" t="s">
        <v>3528</v>
      </c>
      <c r="B1058" s="196" t="s">
        <v>3529</v>
      </c>
    </row>
    <row r="1059" spans="1:2" ht="15.75" customHeight="1">
      <c r="A1059" s="195" t="s">
        <v>3530</v>
      </c>
      <c r="B1059" s="196" t="s">
        <v>3003</v>
      </c>
    </row>
    <row r="1060" spans="1:2" ht="15.75" customHeight="1">
      <c r="A1060" s="195" t="s">
        <v>3531</v>
      </c>
      <c r="B1060" s="196" t="s">
        <v>3532</v>
      </c>
    </row>
    <row r="1061" spans="1:2" ht="15.75" customHeight="1">
      <c r="A1061" s="195" t="s">
        <v>3533</v>
      </c>
      <c r="B1061" s="196" t="s">
        <v>3534</v>
      </c>
    </row>
    <row r="1062" spans="1:2" ht="15.75" customHeight="1">
      <c r="A1062" s="195" t="s">
        <v>2032</v>
      </c>
      <c r="B1062" s="196" t="s">
        <v>3535</v>
      </c>
    </row>
    <row r="1063" spans="1:2" ht="15.75" customHeight="1">
      <c r="A1063" s="195" t="s">
        <v>3536</v>
      </c>
      <c r="B1063" s="196" t="s">
        <v>3537</v>
      </c>
    </row>
    <row r="1064" spans="1:2" ht="15.75" customHeight="1">
      <c r="A1064" s="195" t="s">
        <v>3538</v>
      </c>
      <c r="B1064" s="196" t="s">
        <v>3539</v>
      </c>
    </row>
    <row r="1065" spans="1:2" ht="15.75" customHeight="1">
      <c r="A1065" s="195" t="s">
        <v>3540</v>
      </c>
      <c r="B1065" s="196" t="s">
        <v>1515</v>
      </c>
    </row>
    <row r="1066" spans="1:2" ht="15.75" customHeight="1">
      <c r="A1066" s="195" t="s">
        <v>3541</v>
      </c>
      <c r="B1066" s="196" t="s">
        <v>3542</v>
      </c>
    </row>
    <row r="1067" spans="1:2" ht="15.75" customHeight="1">
      <c r="A1067" s="195" t="s">
        <v>3543</v>
      </c>
      <c r="B1067" s="196" t="s">
        <v>3544</v>
      </c>
    </row>
    <row r="1068" spans="1:2" ht="15.75" customHeight="1">
      <c r="A1068" s="195" t="s">
        <v>3545</v>
      </c>
      <c r="B1068" s="196" t="s">
        <v>3546</v>
      </c>
    </row>
    <row r="1069" spans="1:2" ht="15.75" customHeight="1">
      <c r="A1069" s="195" t="s">
        <v>1396</v>
      </c>
      <c r="B1069" s="196" t="s">
        <v>3547</v>
      </c>
    </row>
    <row r="1070" spans="1:2" ht="15.75" customHeight="1">
      <c r="A1070" s="195" t="s">
        <v>1404</v>
      </c>
      <c r="B1070" s="196" t="s">
        <v>3548</v>
      </c>
    </row>
    <row r="1071" spans="1:2" ht="15.75" customHeight="1">
      <c r="A1071" s="195" t="s">
        <v>1437</v>
      </c>
      <c r="B1071" s="196" t="s">
        <v>3549</v>
      </c>
    </row>
    <row r="1072" spans="1:2" ht="15.75" customHeight="1">
      <c r="A1072" s="195" t="s">
        <v>1452</v>
      </c>
      <c r="B1072" s="196" t="s">
        <v>3550</v>
      </c>
    </row>
    <row r="1073" spans="1:2" ht="15.75" customHeight="1">
      <c r="A1073" s="195" t="s">
        <v>1466</v>
      </c>
      <c r="B1073" s="196" t="s">
        <v>3551</v>
      </c>
    </row>
    <row r="1074" spans="1:2" ht="15.75" customHeight="1">
      <c r="A1074" s="195" t="s">
        <v>1712</v>
      </c>
      <c r="B1074" s="196" t="s">
        <v>3552</v>
      </c>
    </row>
    <row r="1075" spans="1:2" ht="15.75" customHeight="1">
      <c r="A1075" s="195" t="s">
        <v>1480</v>
      </c>
      <c r="B1075" s="196" t="s">
        <v>3178</v>
      </c>
    </row>
    <row r="1076" spans="1:2" ht="15.75" customHeight="1">
      <c r="A1076" s="195" t="s">
        <v>1494</v>
      </c>
      <c r="B1076" s="196" t="s">
        <v>3553</v>
      </c>
    </row>
    <row r="1077" spans="1:2" ht="15.75" customHeight="1">
      <c r="A1077" s="195" t="s">
        <v>1508</v>
      </c>
      <c r="B1077" s="196" t="s">
        <v>3554</v>
      </c>
    </row>
    <row r="1078" spans="1:2" ht="15.75" customHeight="1">
      <c r="A1078" s="195" t="s">
        <v>1555</v>
      </c>
      <c r="B1078" s="196" t="s">
        <v>3555</v>
      </c>
    </row>
    <row r="1079" spans="1:2" ht="15.75" customHeight="1">
      <c r="A1079" s="195" t="s">
        <v>1569</v>
      </c>
      <c r="B1079" s="196" t="s">
        <v>3556</v>
      </c>
    </row>
    <row r="1080" spans="1:2" ht="15.75" customHeight="1">
      <c r="A1080" s="195" t="s">
        <v>3557</v>
      </c>
      <c r="B1080" s="196" t="s">
        <v>3558</v>
      </c>
    </row>
    <row r="1081" spans="1:2" ht="15.75" customHeight="1">
      <c r="A1081" s="195" t="s">
        <v>3559</v>
      </c>
      <c r="B1081" s="196" t="s">
        <v>3560</v>
      </c>
    </row>
    <row r="1082" spans="1:2" ht="15.75" customHeight="1">
      <c r="A1082" s="195" t="s">
        <v>1693</v>
      </c>
      <c r="B1082" s="196" t="s">
        <v>1694</v>
      </c>
    </row>
    <row r="1083" spans="1:2" ht="15.75" customHeight="1">
      <c r="A1083" s="195" t="s">
        <v>3561</v>
      </c>
      <c r="B1083" s="196" t="s">
        <v>3562</v>
      </c>
    </row>
    <row r="1084" spans="1:2" ht="15.75" customHeight="1">
      <c r="A1084" s="193" t="s">
        <v>1161</v>
      </c>
      <c r="B1084" s="194" t="s">
        <v>1162</v>
      </c>
    </row>
    <row r="1085" spans="1:2" ht="15.75" customHeight="1">
      <c r="A1085" s="195" t="s">
        <v>3563</v>
      </c>
      <c r="B1085" s="196" t="s">
        <v>3319</v>
      </c>
    </row>
    <row r="1086" spans="1:2" ht="15.75" customHeight="1">
      <c r="A1086" s="195" t="s">
        <v>3564</v>
      </c>
      <c r="B1086" s="196" t="s">
        <v>1409</v>
      </c>
    </row>
    <row r="1087" spans="1:2" ht="15.75" customHeight="1">
      <c r="A1087" s="195" t="s">
        <v>1956</v>
      </c>
      <c r="B1087" s="196" t="s">
        <v>3565</v>
      </c>
    </row>
    <row r="1088" spans="1:2" ht="15.75" customHeight="1">
      <c r="A1088" s="195" t="s">
        <v>3566</v>
      </c>
      <c r="B1088" s="196" t="s">
        <v>3322</v>
      </c>
    </row>
    <row r="1089" spans="1:2" ht="15.75" customHeight="1">
      <c r="A1089" s="195" t="s">
        <v>3567</v>
      </c>
      <c r="B1089" s="196" t="s">
        <v>3568</v>
      </c>
    </row>
    <row r="1090" spans="1:2" ht="15.75" customHeight="1">
      <c r="A1090" s="195" t="s">
        <v>1787</v>
      </c>
      <c r="B1090" s="196" t="s">
        <v>1403</v>
      </c>
    </row>
    <row r="1091" spans="1:2" ht="15.75" customHeight="1">
      <c r="A1091" s="195" t="s">
        <v>3569</v>
      </c>
      <c r="B1091" s="196" t="s">
        <v>3274</v>
      </c>
    </row>
    <row r="1092" spans="1:2" ht="15.75" customHeight="1">
      <c r="A1092" s="195" t="s">
        <v>3570</v>
      </c>
      <c r="B1092" s="196" t="s">
        <v>1413</v>
      </c>
    </row>
    <row r="1093" spans="1:2" ht="15.75" customHeight="1">
      <c r="A1093" s="191" t="s">
        <v>3800</v>
      </c>
      <c r="B1093" s="192" t="s">
        <v>3801</v>
      </c>
    </row>
    <row r="1094" spans="1:2" ht="15.75" customHeight="1">
      <c r="A1094" s="193" t="s">
        <v>1207</v>
      </c>
      <c r="B1094" s="194" t="s">
        <v>1208</v>
      </c>
    </row>
    <row r="1095" spans="1:2" ht="15.75" customHeight="1">
      <c r="A1095" s="195" t="s">
        <v>3571</v>
      </c>
      <c r="B1095" s="196" t="s">
        <v>3572</v>
      </c>
    </row>
    <row r="1096" spans="1:2" ht="15.75" customHeight="1">
      <c r="A1096" s="195" t="s">
        <v>3573</v>
      </c>
      <c r="B1096" s="196" t="s">
        <v>3574</v>
      </c>
    </row>
    <row r="1097" spans="1:2" ht="15.75" customHeight="1">
      <c r="A1097" s="193" t="s">
        <v>1209</v>
      </c>
      <c r="B1097" s="194" t="s">
        <v>1058</v>
      </c>
    </row>
    <row r="1098" spans="1:2" ht="15.75" customHeight="1">
      <c r="A1098" s="195" t="s">
        <v>3575</v>
      </c>
      <c r="B1098" s="196" t="s">
        <v>3576</v>
      </c>
    </row>
    <row r="1099" spans="1:2" ht="15.75" customHeight="1">
      <c r="A1099" s="195" t="s">
        <v>3577</v>
      </c>
      <c r="B1099" s="196" t="s">
        <v>1471</v>
      </c>
    </row>
    <row r="1100" spans="1:2" ht="15.75" customHeight="1">
      <c r="A1100" s="195" t="s">
        <v>3578</v>
      </c>
      <c r="B1100" s="196" t="s">
        <v>3574</v>
      </c>
    </row>
    <row r="1101" spans="1:2" ht="15.75" customHeight="1">
      <c r="A1101" s="191" t="s">
        <v>3804</v>
      </c>
      <c r="B1101" s="192" t="s">
        <v>3805</v>
      </c>
    </row>
    <row r="1102" spans="1:2" ht="15.75" customHeight="1">
      <c r="A1102" s="193" t="s">
        <v>1224</v>
      </c>
      <c r="B1102" s="194" t="s">
        <v>1225</v>
      </c>
    </row>
    <row r="1103" spans="1:2" ht="15.75" customHeight="1">
      <c r="A1103" s="195" t="s">
        <v>3579</v>
      </c>
      <c r="B1103" s="196" t="s">
        <v>3580</v>
      </c>
    </row>
    <row r="1104" spans="1:2" ht="15.75" customHeight="1">
      <c r="A1104" s="195" t="s">
        <v>3581</v>
      </c>
      <c r="B1104" s="196" t="s">
        <v>3582</v>
      </c>
    </row>
    <row r="1105" spans="1:2" ht="15.75" customHeight="1">
      <c r="A1105" s="191" t="s">
        <v>3814</v>
      </c>
      <c r="B1105" s="192" t="s">
        <v>3815</v>
      </c>
    </row>
    <row r="1106" spans="1:2" ht="15.75" customHeight="1">
      <c r="A1106" s="193" t="s">
        <v>1373</v>
      </c>
      <c r="B1106" s="194" t="s">
        <v>1146</v>
      </c>
    </row>
    <row r="1107" spans="1:2" ht="15.75" customHeight="1">
      <c r="A1107" s="195" t="s">
        <v>3583</v>
      </c>
      <c r="B1107" s="196" t="s">
        <v>3584</v>
      </c>
    </row>
    <row r="1108" spans="1:2" ht="15.75" customHeight="1">
      <c r="A1108" s="195" t="s">
        <v>3585</v>
      </c>
      <c r="B1108" s="196" t="s">
        <v>3586</v>
      </c>
    </row>
    <row r="1109" spans="1:2" ht="15.75" customHeight="1">
      <c r="A1109" s="195" t="s">
        <v>3587</v>
      </c>
      <c r="B1109" s="196" t="s">
        <v>3588</v>
      </c>
    </row>
    <row r="1110" spans="1:2" ht="15.75" customHeight="1">
      <c r="A1110" s="195" t="s">
        <v>3589</v>
      </c>
      <c r="B1110" s="196" t="s">
        <v>3590</v>
      </c>
    </row>
    <row r="1111" spans="1:2" ht="15.75" customHeight="1">
      <c r="A1111" s="195" t="s">
        <v>3591</v>
      </c>
      <c r="B1111" s="196" t="s">
        <v>3592</v>
      </c>
    </row>
    <row r="1112" spans="1:2" ht="15.75" customHeight="1">
      <c r="A1112" s="195" t="s">
        <v>3593</v>
      </c>
      <c r="B1112" s="196" t="s">
        <v>3594</v>
      </c>
    </row>
    <row r="1113" spans="1:2" ht="15.75" customHeight="1">
      <c r="A1113" s="191" t="s">
        <v>3816</v>
      </c>
      <c r="B1113" s="192" t="s">
        <v>3817</v>
      </c>
    </row>
    <row r="1114" spans="1:2" ht="15.75" customHeight="1">
      <c r="A1114" s="193" t="s">
        <v>1388</v>
      </c>
      <c r="B1114" s="194" t="s">
        <v>1146</v>
      </c>
    </row>
    <row r="1115" spans="1:2" ht="15.75" customHeight="1">
      <c r="A1115" s="195" t="s">
        <v>3595</v>
      </c>
      <c r="B1115" s="196" t="s">
        <v>1451</v>
      </c>
    </row>
    <row r="1116" spans="1:2" ht="15.75" customHeight="1">
      <c r="A1116" s="195" t="s">
        <v>3596</v>
      </c>
      <c r="B1116" s="196" t="s">
        <v>1455</v>
      </c>
    </row>
  </sheetData>
  <autoFilter ref="A1:B1116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1" sqref="F1:F1048576"/>
    </sheetView>
  </sheetViews>
  <sheetFormatPr defaultColWidth="14.42578125" defaultRowHeight="15" customHeight="1"/>
  <cols>
    <col min="1" max="1" width="11.28515625" customWidth="1"/>
    <col min="2" max="2" width="91.140625" customWidth="1"/>
    <col min="3" max="3" width="20.42578125" customWidth="1"/>
    <col min="4" max="5" width="23.7109375" customWidth="1"/>
    <col min="6" max="6" width="11.7109375" customWidth="1"/>
    <col min="7" max="26" width="8.7109375" customWidth="1"/>
  </cols>
  <sheetData>
    <row r="1" spans="1:26" ht="19.5">
      <c r="A1" s="203" t="s">
        <v>482</v>
      </c>
      <c r="B1" s="203" t="s">
        <v>3657</v>
      </c>
      <c r="C1" s="204" t="s">
        <v>3821</v>
      </c>
      <c r="D1" s="203"/>
      <c r="E1" s="203"/>
      <c r="F1" s="205" t="s">
        <v>3822</v>
      </c>
    </row>
    <row r="2" spans="1:26">
      <c r="B2" s="72" t="s">
        <v>488</v>
      </c>
      <c r="C2" s="73">
        <v>11</v>
      </c>
      <c r="D2" s="72" t="s">
        <v>487</v>
      </c>
      <c r="E2" s="73">
        <v>671</v>
      </c>
      <c r="F2" s="72" t="s">
        <v>479</v>
      </c>
    </row>
    <row r="3" spans="1:26">
      <c r="B3" s="72" t="s">
        <v>488</v>
      </c>
      <c r="C3" s="73">
        <v>12</v>
      </c>
      <c r="D3" s="72" t="s">
        <v>489</v>
      </c>
      <c r="E3" s="73">
        <v>671</v>
      </c>
      <c r="F3" s="72" t="s">
        <v>481</v>
      </c>
    </row>
    <row r="4" spans="1:26">
      <c r="B4" s="72" t="s">
        <v>491</v>
      </c>
      <c r="C4" s="73">
        <v>41</v>
      </c>
      <c r="D4" s="72" t="s">
        <v>492</v>
      </c>
      <c r="E4" s="73">
        <v>614</v>
      </c>
      <c r="F4" s="73">
        <v>614810041</v>
      </c>
    </row>
    <row r="5" spans="1:26">
      <c r="B5" s="72" t="s">
        <v>493</v>
      </c>
      <c r="C5" s="73">
        <v>41</v>
      </c>
      <c r="D5" s="72" t="s">
        <v>492</v>
      </c>
      <c r="E5" s="73">
        <v>614</v>
      </c>
      <c r="F5" s="73">
        <v>614820041</v>
      </c>
    </row>
    <row r="6" spans="1:26">
      <c r="B6" s="72" t="s">
        <v>496</v>
      </c>
      <c r="C6" s="73">
        <v>41</v>
      </c>
      <c r="D6" s="72" t="s">
        <v>492</v>
      </c>
      <c r="E6" s="73">
        <v>614</v>
      </c>
      <c r="F6" s="73">
        <v>614830041</v>
      </c>
    </row>
    <row r="7" spans="1:26">
      <c r="B7" s="72" t="s">
        <v>498</v>
      </c>
      <c r="C7" s="73">
        <v>41</v>
      </c>
      <c r="D7" s="72" t="s">
        <v>492</v>
      </c>
      <c r="E7" s="73">
        <v>614</v>
      </c>
      <c r="F7" s="73">
        <v>614840041</v>
      </c>
    </row>
    <row r="8" spans="1:26">
      <c r="B8" s="72" t="s">
        <v>500</v>
      </c>
      <c r="C8" s="73">
        <v>52</v>
      </c>
      <c r="D8" s="72" t="s">
        <v>501</v>
      </c>
      <c r="E8" s="73">
        <v>631</v>
      </c>
      <c r="F8" s="73">
        <v>631110000</v>
      </c>
    </row>
    <row r="9" spans="1:26">
      <c r="B9" s="72" t="s">
        <v>504</v>
      </c>
      <c r="C9" s="73">
        <v>52</v>
      </c>
      <c r="D9" s="72" t="s">
        <v>501</v>
      </c>
      <c r="E9" s="73">
        <v>631</v>
      </c>
      <c r="F9" s="73">
        <v>631120000</v>
      </c>
    </row>
    <row r="10" spans="1:26">
      <c r="B10" s="72" t="s">
        <v>507</v>
      </c>
      <c r="C10" s="73">
        <v>52</v>
      </c>
      <c r="D10" s="72" t="s">
        <v>501</v>
      </c>
      <c r="E10" s="73">
        <v>631</v>
      </c>
      <c r="F10" s="73">
        <v>631210000</v>
      </c>
    </row>
    <row r="11" spans="1:26">
      <c r="A11" s="51"/>
      <c r="B11" s="72" t="s">
        <v>510</v>
      </c>
      <c r="C11" s="73">
        <v>52</v>
      </c>
      <c r="D11" s="72" t="s">
        <v>501</v>
      </c>
      <c r="E11" s="73">
        <v>631</v>
      </c>
      <c r="F11" s="73">
        <v>631220000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>
      <c r="A12" s="51"/>
      <c r="B12" s="72" t="s">
        <v>513</v>
      </c>
      <c r="C12" s="73">
        <v>52</v>
      </c>
      <c r="D12" s="72" t="s">
        <v>501</v>
      </c>
      <c r="E12" s="73">
        <v>632</v>
      </c>
      <c r="F12" s="73">
        <v>632112000</v>
      </c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>
      <c r="A13" s="51"/>
      <c r="B13" s="72" t="s">
        <v>516</v>
      </c>
      <c r="C13" s="73">
        <v>52</v>
      </c>
      <c r="D13" s="72" t="s">
        <v>501</v>
      </c>
      <c r="E13" s="73">
        <v>632</v>
      </c>
      <c r="F13" s="73">
        <v>632212000</v>
      </c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>
      <c r="A14" s="51"/>
      <c r="B14" s="72" t="s">
        <v>519</v>
      </c>
      <c r="C14" s="73">
        <v>552</v>
      </c>
      <c r="D14" s="72" t="s">
        <v>503</v>
      </c>
      <c r="E14" s="73">
        <v>632</v>
      </c>
      <c r="F14" s="73">
        <v>632310552</v>
      </c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>
      <c r="A15" s="51"/>
      <c r="B15" s="72" t="s">
        <v>521</v>
      </c>
      <c r="C15" s="73">
        <v>559</v>
      </c>
      <c r="D15" s="72" t="s">
        <v>506</v>
      </c>
      <c r="E15" s="73">
        <v>632</v>
      </c>
      <c r="F15" s="73">
        <v>632310559</v>
      </c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>
      <c r="A16" s="51"/>
      <c r="B16" s="72" t="s">
        <v>509</v>
      </c>
      <c r="C16" s="73">
        <v>561</v>
      </c>
      <c r="D16" s="72" t="s">
        <v>509</v>
      </c>
      <c r="E16" s="73">
        <v>632</v>
      </c>
      <c r="F16" s="73">
        <v>632310561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>
      <c r="A17" s="51"/>
      <c r="B17" s="72" t="s">
        <v>523</v>
      </c>
      <c r="C17" s="73">
        <v>563</v>
      </c>
      <c r="D17" s="72" t="s">
        <v>512</v>
      </c>
      <c r="E17" s="73">
        <v>632</v>
      </c>
      <c r="F17" s="73">
        <v>632310563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>
      <c r="A18" s="51"/>
      <c r="B18" s="72" t="s">
        <v>525</v>
      </c>
      <c r="C18" s="73">
        <v>573</v>
      </c>
      <c r="D18" s="72" t="s">
        <v>515</v>
      </c>
      <c r="E18" s="73">
        <v>632</v>
      </c>
      <c r="F18" s="73">
        <v>632310573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>
      <c r="A19" s="51"/>
      <c r="B19" s="72" t="s">
        <v>527</v>
      </c>
      <c r="C19" s="73">
        <v>575</v>
      </c>
      <c r="D19" s="72" t="s">
        <v>518</v>
      </c>
      <c r="E19" s="73">
        <v>632</v>
      </c>
      <c r="F19" s="73">
        <v>632310575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>
      <c r="A20" s="51"/>
      <c r="B20" s="78" t="s">
        <v>529</v>
      </c>
      <c r="C20" s="77">
        <v>5761</v>
      </c>
      <c r="D20" s="78" t="s">
        <v>530</v>
      </c>
      <c r="E20" s="77">
        <v>632</v>
      </c>
      <c r="F20" s="77">
        <v>632315761</v>
      </c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15.75" customHeight="1">
      <c r="A21" s="51"/>
      <c r="B21" s="78" t="s">
        <v>532</v>
      </c>
      <c r="C21" s="77">
        <v>5762</v>
      </c>
      <c r="D21" s="78" t="s">
        <v>530</v>
      </c>
      <c r="E21" s="77">
        <v>632</v>
      </c>
      <c r="F21" s="77">
        <v>632315762</v>
      </c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15.75" customHeight="1">
      <c r="A22" s="51"/>
      <c r="B22" s="72" t="s">
        <v>533</v>
      </c>
      <c r="C22" s="73">
        <v>581</v>
      </c>
      <c r="D22" s="72" t="s">
        <v>522</v>
      </c>
      <c r="E22" s="73">
        <v>632</v>
      </c>
      <c r="F22" s="73">
        <v>632310581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5.75" customHeight="1">
      <c r="A23" s="51"/>
      <c r="B23" s="72" t="s">
        <v>534</v>
      </c>
      <c r="C23" s="73">
        <v>51</v>
      </c>
      <c r="D23" s="72" t="s">
        <v>535</v>
      </c>
      <c r="E23" s="73">
        <v>632</v>
      </c>
      <c r="F23" s="73">
        <v>632311700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5.75" customHeight="1">
      <c r="A24" s="51"/>
      <c r="B24" s="72" t="s">
        <v>536</v>
      </c>
      <c r="C24" s="73">
        <v>51</v>
      </c>
      <c r="D24" s="72" t="s">
        <v>535</v>
      </c>
      <c r="E24" s="73">
        <v>632</v>
      </c>
      <c r="F24" s="73">
        <v>632311800</v>
      </c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5.75" customHeight="1">
      <c r="A25" s="51"/>
      <c r="B25" s="72" t="s">
        <v>537</v>
      </c>
      <c r="C25" s="73">
        <v>552</v>
      </c>
      <c r="D25" s="72" t="s">
        <v>503</v>
      </c>
      <c r="E25" s="73">
        <v>632</v>
      </c>
      <c r="F25" s="73">
        <v>632410552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5.75" customHeight="1">
      <c r="A26" s="51"/>
      <c r="B26" s="72" t="s">
        <v>538</v>
      </c>
      <c r="C26" s="73">
        <v>559</v>
      </c>
      <c r="D26" s="72" t="s">
        <v>506</v>
      </c>
      <c r="E26" s="73">
        <v>632</v>
      </c>
      <c r="F26" s="73">
        <v>632410559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5.75" customHeight="1">
      <c r="A27" s="51"/>
      <c r="B27" s="72" t="s">
        <v>509</v>
      </c>
      <c r="C27" s="73">
        <v>561</v>
      </c>
      <c r="D27" s="72" t="s">
        <v>509</v>
      </c>
      <c r="E27" s="73">
        <v>632</v>
      </c>
      <c r="F27" s="73">
        <v>632410561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5.75" customHeight="1">
      <c r="A28" s="51"/>
      <c r="B28" s="72" t="s">
        <v>523</v>
      </c>
      <c r="C28" s="73">
        <v>563</v>
      </c>
      <c r="D28" s="72" t="s">
        <v>512</v>
      </c>
      <c r="E28" s="73">
        <v>632</v>
      </c>
      <c r="F28" s="73">
        <v>632410563</v>
      </c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5.75" customHeight="1">
      <c r="A29" s="51"/>
      <c r="B29" s="72" t="s">
        <v>539</v>
      </c>
      <c r="C29" s="73">
        <v>573</v>
      </c>
      <c r="D29" s="72" t="s">
        <v>515</v>
      </c>
      <c r="E29" s="73">
        <v>632</v>
      </c>
      <c r="F29" s="73">
        <v>632410573</v>
      </c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5.75" customHeight="1">
      <c r="B30" s="72" t="s">
        <v>540</v>
      </c>
      <c r="C30" s="73">
        <v>575</v>
      </c>
      <c r="D30" s="72" t="s">
        <v>518</v>
      </c>
      <c r="E30" s="73">
        <v>632</v>
      </c>
      <c r="F30" s="73">
        <v>632410575</v>
      </c>
    </row>
    <row r="31" spans="1:26" ht="15.75" customHeight="1">
      <c r="B31" s="78" t="s">
        <v>541</v>
      </c>
      <c r="C31" s="77">
        <v>5761</v>
      </c>
      <c r="D31" s="78" t="s">
        <v>530</v>
      </c>
      <c r="E31" s="77">
        <v>632</v>
      </c>
      <c r="F31" s="77">
        <v>632415761</v>
      </c>
    </row>
    <row r="32" spans="1:26" ht="15.75" customHeight="1">
      <c r="B32" s="78" t="s">
        <v>542</v>
      </c>
      <c r="C32" s="77">
        <v>5762</v>
      </c>
      <c r="D32" s="78" t="s">
        <v>530</v>
      </c>
      <c r="E32" s="77">
        <v>632</v>
      </c>
      <c r="F32" s="77">
        <v>632415762</v>
      </c>
    </row>
    <row r="33" spans="2:6" ht="15.75" customHeight="1">
      <c r="B33" s="72" t="s">
        <v>543</v>
      </c>
      <c r="C33" s="73">
        <v>581</v>
      </c>
      <c r="D33" s="72" t="s">
        <v>522</v>
      </c>
      <c r="E33" s="73">
        <v>632</v>
      </c>
      <c r="F33" s="73">
        <v>632410581</v>
      </c>
    </row>
    <row r="34" spans="2:6" ht="15.75" customHeight="1">
      <c r="B34" s="72" t="s">
        <v>544</v>
      </c>
      <c r="C34" s="73">
        <v>51</v>
      </c>
      <c r="D34" s="72" t="s">
        <v>535</v>
      </c>
      <c r="E34" s="73">
        <v>632</v>
      </c>
      <c r="F34" s="73">
        <v>632411700</v>
      </c>
    </row>
    <row r="35" spans="2:6" ht="15.75" customHeight="1">
      <c r="B35" s="72" t="s">
        <v>545</v>
      </c>
      <c r="C35" s="73">
        <v>52</v>
      </c>
      <c r="D35" s="72" t="s">
        <v>501</v>
      </c>
      <c r="E35" s="73">
        <v>634</v>
      </c>
      <c r="F35" s="73">
        <v>6341</v>
      </c>
    </row>
    <row r="36" spans="2:6" ht="15.75" customHeight="1">
      <c r="B36" s="72" t="s">
        <v>546</v>
      </c>
      <c r="C36" s="73">
        <v>52</v>
      </c>
      <c r="D36" s="72" t="s">
        <v>501</v>
      </c>
      <c r="E36" s="73">
        <v>634</v>
      </c>
      <c r="F36" s="73">
        <v>6342</v>
      </c>
    </row>
    <row r="37" spans="2:6" ht="15.75" customHeight="1">
      <c r="B37" s="72" t="s">
        <v>547</v>
      </c>
      <c r="C37" s="73">
        <v>52</v>
      </c>
      <c r="D37" s="72" t="s">
        <v>501</v>
      </c>
      <c r="E37" s="73">
        <v>636</v>
      </c>
      <c r="F37" s="73">
        <v>6361</v>
      </c>
    </row>
    <row r="38" spans="2:6" ht="15.75" customHeight="1">
      <c r="B38" s="72" t="s">
        <v>548</v>
      </c>
      <c r="C38" s="73">
        <v>52</v>
      </c>
      <c r="D38" s="72" t="s">
        <v>501</v>
      </c>
      <c r="E38" s="73">
        <v>636</v>
      </c>
      <c r="F38" s="73">
        <v>6362</v>
      </c>
    </row>
    <row r="39" spans="2:6" ht="15.75" customHeight="1">
      <c r="B39" s="72" t="s">
        <v>549</v>
      </c>
      <c r="C39" s="73">
        <v>52</v>
      </c>
      <c r="D39" s="72" t="s">
        <v>501</v>
      </c>
      <c r="E39" s="73">
        <v>638</v>
      </c>
      <c r="F39" s="73">
        <v>6381</v>
      </c>
    </row>
    <row r="40" spans="2:6" ht="15.75" customHeight="1">
      <c r="B40" s="72" t="s">
        <v>550</v>
      </c>
      <c r="C40" s="73">
        <v>52</v>
      </c>
      <c r="D40" s="72" t="s">
        <v>501</v>
      </c>
      <c r="E40" s="73">
        <v>638</v>
      </c>
      <c r="F40" s="73">
        <v>6382</v>
      </c>
    </row>
    <row r="41" spans="2:6" ht="15.75" customHeight="1">
      <c r="B41" s="72" t="s">
        <v>551</v>
      </c>
      <c r="C41" s="73">
        <v>52</v>
      </c>
      <c r="D41" s="72" t="s">
        <v>501</v>
      </c>
      <c r="E41" s="73">
        <v>639</v>
      </c>
      <c r="F41" s="73">
        <v>6391</v>
      </c>
    </row>
    <row r="42" spans="2:6" ht="15.75" customHeight="1">
      <c r="B42" s="72" t="s">
        <v>552</v>
      </c>
      <c r="C42" s="73">
        <v>52</v>
      </c>
      <c r="D42" s="72" t="s">
        <v>501</v>
      </c>
      <c r="E42" s="73">
        <v>639</v>
      </c>
      <c r="F42" s="73">
        <v>6392</v>
      </c>
    </row>
    <row r="43" spans="2:6" ht="15.75" customHeight="1">
      <c r="B43" s="72" t="s">
        <v>553</v>
      </c>
      <c r="C43" s="73">
        <v>52</v>
      </c>
      <c r="D43" s="72" t="s">
        <v>501</v>
      </c>
      <c r="E43" s="73">
        <v>639</v>
      </c>
      <c r="F43" s="73">
        <v>6393</v>
      </c>
    </row>
    <row r="44" spans="2:6" ht="15.75" customHeight="1">
      <c r="B44" s="72" t="s">
        <v>554</v>
      </c>
      <c r="C44" s="73">
        <v>52</v>
      </c>
      <c r="D44" s="72" t="s">
        <v>501</v>
      </c>
      <c r="E44" s="73">
        <v>639</v>
      </c>
      <c r="F44" s="73">
        <v>6394</v>
      </c>
    </row>
    <row r="45" spans="2:6" ht="15.75" customHeight="1">
      <c r="B45" s="72" t="s">
        <v>555</v>
      </c>
      <c r="C45" s="73">
        <v>31</v>
      </c>
      <c r="D45" s="72" t="s">
        <v>490</v>
      </c>
      <c r="E45" s="73">
        <v>641</v>
      </c>
      <c r="F45" s="73">
        <v>641290031</v>
      </c>
    </row>
    <row r="46" spans="2:6" ht="15.75" customHeight="1">
      <c r="B46" s="72" t="s">
        <v>556</v>
      </c>
      <c r="C46" s="73">
        <v>31</v>
      </c>
      <c r="D46" s="72" t="s">
        <v>490</v>
      </c>
      <c r="E46" s="73">
        <v>641</v>
      </c>
      <c r="F46" s="73">
        <v>641310031</v>
      </c>
    </row>
    <row r="47" spans="2:6" ht="15.75" customHeight="1">
      <c r="B47" s="72" t="s">
        <v>557</v>
      </c>
      <c r="C47" s="73">
        <v>31</v>
      </c>
      <c r="D47" s="72" t="s">
        <v>490</v>
      </c>
      <c r="E47" s="73">
        <v>641</v>
      </c>
      <c r="F47" s="73">
        <v>641320031</v>
      </c>
    </row>
    <row r="48" spans="2:6" ht="15.75" customHeight="1">
      <c r="B48" s="72" t="s">
        <v>558</v>
      </c>
      <c r="C48" s="73">
        <v>43</v>
      </c>
      <c r="D48" s="72" t="s">
        <v>495</v>
      </c>
      <c r="E48" s="73">
        <v>641</v>
      </c>
      <c r="F48" s="73">
        <v>641320043</v>
      </c>
    </row>
    <row r="49" spans="2:6" ht="15.75" customHeight="1">
      <c r="B49" s="72" t="s">
        <v>559</v>
      </c>
      <c r="C49" s="73">
        <v>31</v>
      </c>
      <c r="D49" s="72" t="s">
        <v>490</v>
      </c>
      <c r="E49" s="73">
        <v>641</v>
      </c>
      <c r="F49" s="73">
        <v>641510031</v>
      </c>
    </row>
    <row r="50" spans="2:6" ht="15.75" customHeight="1">
      <c r="B50" s="72" t="s">
        <v>560</v>
      </c>
      <c r="C50" s="73">
        <v>43</v>
      </c>
      <c r="D50" s="72" t="s">
        <v>495</v>
      </c>
      <c r="E50" s="73">
        <v>641</v>
      </c>
      <c r="F50" s="73">
        <v>641510043</v>
      </c>
    </row>
    <row r="51" spans="2:6" ht="15.75" customHeight="1">
      <c r="B51" s="72" t="s">
        <v>561</v>
      </c>
      <c r="C51" s="73">
        <v>31</v>
      </c>
      <c r="D51" s="72" t="s">
        <v>490</v>
      </c>
      <c r="E51" s="73">
        <v>641</v>
      </c>
      <c r="F51" s="73">
        <v>641630031</v>
      </c>
    </row>
    <row r="52" spans="2:6" ht="15.75" customHeight="1">
      <c r="B52" s="72" t="s">
        <v>562</v>
      </c>
      <c r="C52" s="73">
        <v>43</v>
      </c>
      <c r="D52" s="72" t="s">
        <v>495</v>
      </c>
      <c r="E52" s="73">
        <v>641</v>
      </c>
      <c r="F52" s="73">
        <v>641720043</v>
      </c>
    </row>
    <row r="53" spans="2:6" ht="15.75" customHeight="1">
      <c r="B53" s="72" t="s">
        <v>563</v>
      </c>
      <c r="C53" s="73">
        <v>41</v>
      </c>
      <c r="D53" s="72" t="s">
        <v>492</v>
      </c>
      <c r="E53" s="73">
        <v>641</v>
      </c>
      <c r="F53" s="73">
        <v>641770041</v>
      </c>
    </row>
    <row r="54" spans="2:6" ht="15.75" customHeight="1">
      <c r="B54" s="72" t="s">
        <v>564</v>
      </c>
      <c r="C54" s="73">
        <v>43</v>
      </c>
      <c r="D54" s="72" t="s">
        <v>495</v>
      </c>
      <c r="E54" s="73">
        <v>641</v>
      </c>
      <c r="F54" s="73">
        <v>641990043</v>
      </c>
    </row>
    <row r="55" spans="2:6" ht="15.75" customHeight="1">
      <c r="B55" s="72" t="s">
        <v>565</v>
      </c>
      <c r="C55" s="73">
        <v>31</v>
      </c>
      <c r="D55" s="72" t="s">
        <v>490</v>
      </c>
      <c r="E55" s="73">
        <v>642</v>
      </c>
      <c r="F55" s="73">
        <v>642510031</v>
      </c>
    </row>
    <row r="56" spans="2:6" ht="15.75" customHeight="1">
      <c r="B56" s="72" t="s">
        <v>566</v>
      </c>
      <c r="C56" s="73">
        <v>31</v>
      </c>
      <c r="D56" s="72" t="s">
        <v>490</v>
      </c>
      <c r="E56" s="73">
        <v>642</v>
      </c>
      <c r="F56" s="73">
        <v>642990031</v>
      </c>
    </row>
    <row r="57" spans="2:6" ht="15.75" customHeight="1">
      <c r="B57" s="72" t="s">
        <v>567</v>
      </c>
      <c r="C57" s="73">
        <v>43</v>
      </c>
      <c r="D57" s="72" t="s">
        <v>495</v>
      </c>
      <c r="E57" s="73">
        <v>651</v>
      </c>
      <c r="F57" s="73">
        <v>65148</v>
      </c>
    </row>
    <row r="58" spans="2:6" ht="15.75" customHeight="1">
      <c r="B58" s="72" t="s">
        <v>568</v>
      </c>
      <c r="C58" s="73">
        <v>43</v>
      </c>
      <c r="D58" s="72" t="s">
        <v>495</v>
      </c>
      <c r="E58" s="73">
        <v>652</v>
      </c>
      <c r="F58" s="73">
        <v>65218</v>
      </c>
    </row>
    <row r="59" spans="2:6" ht="15.75" customHeight="1">
      <c r="B59" s="72" t="s">
        <v>569</v>
      </c>
      <c r="C59" s="73">
        <v>43</v>
      </c>
      <c r="D59" s="72" t="s">
        <v>495</v>
      </c>
      <c r="E59" s="73">
        <v>652</v>
      </c>
      <c r="F59" s="73">
        <v>65264</v>
      </c>
    </row>
    <row r="60" spans="2:6" ht="15.75" customHeight="1">
      <c r="B60" s="72" t="s">
        <v>570</v>
      </c>
      <c r="C60" s="73">
        <v>43</v>
      </c>
      <c r="D60" s="72" t="s">
        <v>495</v>
      </c>
      <c r="E60" s="73">
        <v>652</v>
      </c>
      <c r="F60" s="73">
        <v>652670043</v>
      </c>
    </row>
    <row r="61" spans="2:6" ht="15.75" customHeight="1">
      <c r="B61" s="72" t="s">
        <v>571</v>
      </c>
      <c r="C61" s="73">
        <v>71</v>
      </c>
      <c r="D61" s="72" t="s">
        <v>528</v>
      </c>
      <c r="E61" s="73">
        <v>652</v>
      </c>
      <c r="F61" s="73">
        <v>652670071</v>
      </c>
    </row>
    <row r="62" spans="2:6" ht="15.75" customHeight="1">
      <c r="B62" s="72" t="s">
        <v>572</v>
      </c>
      <c r="C62" s="73">
        <v>43</v>
      </c>
      <c r="D62" s="72" t="s">
        <v>495</v>
      </c>
      <c r="E62" s="73">
        <v>652</v>
      </c>
      <c r="F62" s="73">
        <v>65268</v>
      </c>
    </row>
    <row r="63" spans="2:6" ht="15.75" customHeight="1">
      <c r="B63" s="72" t="s">
        <v>573</v>
      </c>
      <c r="C63" s="73">
        <v>31</v>
      </c>
      <c r="D63" s="72" t="s">
        <v>490</v>
      </c>
      <c r="E63" s="73">
        <v>661</v>
      </c>
      <c r="F63" s="73">
        <v>6614</v>
      </c>
    </row>
    <row r="64" spans="2:6" ht="15.75" customHeight="1">
      <c r="B64" s="72" t="s">
        <v>574</v>
      </c>
      <c r="C64" s="73">
        <v>31</v>
      </c>
      <c r="D64" s="72" t="s">
        <v>490</v>
      </c>
      <c r="E64" s="73">
        <v>661</v>
      </c>
      <c r="F64" s="73">
        <v>6615</v>
      </c>
    </row>
    <row r="65" spans="2:6" ht="15.75" customHeight="1">
      <c r="B65" s="72" t="s">
        <v>575</v>
      </c>
      <c r="C65" s="73">
        <v>61</v>
      </c>
      <c r="D65" s="72" t="s">
        <v>576</v>
      </c>
      <c r="E65" s="73">
        <v>663</v>
      </c>
      <c r="F65" s="73">
        <v>663110000</v>
      </c>
    </row>
    <row r="66" spans="2:6" ht="15.75" customHeight="1">
      <c r="B66" s="72" t="s">
        <v>577</v>
      </c>
      <c r="C66" s="73">
        <v>61</v>
      </c>
      <c r="D66" s="72" t="s">
        <v>576</v>
      </c>
      <c r="E66" s="73">
        <v>663</v>
      </c>
      <c r="F66" s="73">
        <v>663120000</v>
      </c>
    </row>
    <row r="67" spans="2:6" ht="15.75" customHeight="1">
      <c r="B67" s="72" t="s">
        <v>578</v>
      </c>
      <c r="C67" s="73">
        <v>61</v>
      </c>
      <c r="D67" s="72" t="s">
        <v>576</v>
      </c>
      <c r="E67" s="73">
        <v>663</v>
      </c>
      <c r="F67" s="73">
        <v>663130000</v>
      </c>
    </row>
    <row r="68" spans="2:6" ht="15.75" customHeight="1">
      <c r="B68" s="72" t="s">
        <v>579</v>
      </c>
      <c r="C68" s="73">
        <v>61</v>
      </c>
      <c r="D68" s="72" t="s">
        <v>576</v>
      </c>
      <c r="E68" s="73">
        <v>663</v>
      </c>
      <c r="F68" s="73">
        <v>663140000</v>
      </c>
    </row>
    <row r="69" spans="2:6" ht="15.75" customHeight="1">
      <c r="B69" s="72" t="s">
        <v>580</v>
      </c>
      <c r="C69" s="73">
        <v>61</v>
      </c>
      <c r="D69" s="72" t="s">
        <v>576</v>
      </c>
      <c r="E69" s="73">
        <v>663</v>
      </c>
      <c r="F69" s="73">
        <v>663210000</v>
      </c>
    </row>
    <row r="70" spans="2:6" ht="15.75" customHeight="1">
      <c r="B70" s="72" t="s">
        <v>581</v>
      </c>
      <c r="C70" s="73">
        <v>61</v>
      </c>
      <c r="D70" s="72" t="s">
        <v>576</v>
      </c>
      <c r="E70" s="73">
        <v>663</v>
      </c>
      <c r="F70" s="73">
        <v>663220000</v>
      </c>
    </row>
    <row r="71" spans="2:6" ht="15.75" customHeight="1">
      <c r="B71" s="72" t="s">
        <v>582</v>
      </c>
      <c r="C71" s="73">
        <v>61</v>
      </c>
      <c r="D71" s="72" t="s">
        <v>576</v>
      </c>
      <c r="E71" s="73">
        <v>663</v>
      </c>
      <c r="F71" s="73">
        <v>663230000</v>
      </c>
    </row>
    <row r="72" spans="2:6" ht="15.75" customHeight="1">
      <c r="B72" s="72" t="s">
        <v>583</v>
      </c>
      <c r="C72" s="73">
        <v>61</v>
      </c>
      <c r="D72" s="72" t="s">
        <v>576</v>
      </c>
      <c r="E72" s="73">
        <v>663</v>
      </c>
      <c r="F72" s="73">
        <v>663240000</v>
      </c>
    </row>
    <row r="73" spans="2:6" ht="15.75" customHeight="1">
      <c r="B73" s="72" t="s">
        <v>584</v>
      </c>
      <c r="C73" s="73">
        <v>43</v>
      </c>
      <c r="D73" s="72" t="s">
        <v>495</v>
      </c>
      <c r="E73" s="73">
        <v>681</v>
      </c>
      <c r="F73" s="73">
        <v>681910043</v>
      </c>
    </row>
    <row r="74" spans="2:6" ht="15.75" customHeight="1">
      <c r="B74" s="72" t="s">
        <v>585</v>
      </c>
      <c r="C74" s="73">
        <v>31</v>
      </c>
      <c r="D74" s="72" t="s">
        <v>490</v>
      </c>
      <c r="E74" s="73">
        <v>683</v>
      </c>
      <c r="F74" s="73">
        <v>683110031</v>
      </c>
    </row>
    <row r="75" spans="2:6" ht="15.75" customHeight="1">
      <c r="B75" s="72" t="s">
        <v>586</v>
      </c>
      <c r="C75" s="73">
        <v>43</v>
      </c>
      <c r="D75" s="72" t="s">
        <v>495</v>
      </c>
      <c r="E75" s="73">
        <v>683</v>
      </c>
      <c r="F75" s="73">
        <v>683110043</v>
      </c>
    </row>
    <row r="76" spans="2:6" ht="15.75" customHeight="1">
      <c r="B76" s="72" t="s">
        <v>587</v>
      </c>
      <c r="C76" s="73">
        <v>71</v>
      </c>
      <c r="D76" s="72" t="s">
        <v>588</v>
      </c>
      <c r="E76" s="73">
        <v>711</v>
      </c>
      <c r="F76" s="73">
        <v>711110071</v>
      </c>
    </row>
    <row r="77" spans="2:6" ht="15.75" customHeight="1">
      <c r="B77" s="72" t="s">
        <v>589</v>
      </c>
      <c r="C77" s="73">
        <v>71</v>
      </c>
      <c r="D77" s="72" t="s">
        <v>588</v>
      </c>
      <c r="E77" s="73">
        <v>711</v>
      </c>
      <c r="F77" s="73">
        <v>711120071</v>
      </c>
    </row>
    <row r="78" spans="2:6" ht="15.75" customHeight="1">
      <c r="B78" s="72" t="s">
        <v>590</v>
      </c>
      <c r="C78" s="73">
        <v>71</v>
      </c>
      <c r="D78" s="72" t="s">
        <v>588</v>
      </c>
      <c r="E78" s="73">
        <v>712</v>
      </c>
      <c r="F78" s="73">
        <v>712410071</v>
      </c>
    </row>
    <row r="79" spans="2:6" ht="15.75" customHeight="1">
      <c r="B79" s="72" t="s">
        <v>591</v>
      </c>
      <c r="C79" s="73">
        <v>71</v>
      </c>
      <c r="D79" s="72" t="s">
        <v>588</v>
      </c>
      <c r="E79" s="73">
        <v>712</v>
      </c>
      <c r="F79" s="73">
        <v>712490071</v>
      </c>
    </row>
    <row r="80" spans="2:6" ht="15.75" customHeight="1">
      <c r="B80" s="72" t="s">
        <v>592</v>
      </c>
      <c r="C80" s="73">
        <v>71</v>
      </c>
      <c r="D80" s="72" t="s">
        <v>588</v>
      </c>
      <c r="E80" s="73">
        <v>721</v>
      </c>
      <c r="F80" s="73">
        <v>721110071</v>
      </c>
    </row>
    <row r="81" spans="2:6" ht="15.75" customHeight="1">
      <c r="B81" s="72" t="s">
        <v>593</v>
      </c>
      <c r="C81" s="73">
        <v>71</v>
      </c>
      <c r="D81" s="72" t="s">
        <v>588</v>
      </c>
      <c r="E81" s="73">
        <v>721</v>
      </c>
      <c r="F81" s="73">
        <v>721190071</v>
      </c>
    </row>
    <row r="82" spans="2:6" ht="15.75" customHeight="1">
      <c r="B82" s="72" t="s">
        <v>594</v>
      </c>
      <c r="C82" s="73">
        <v>71</v>
      </c>
      <c r="D82" s="72" t="s">
        <v>588</v>
      </c>
      <c r="E82" s="73">
        <v>721</v>
      </c>
      <c r="F82" s="73">
        <v>721230071</v>
      </c>
    </row>
    <row r="83" spans="2:6" ht="15.75" customHeight="1">
      <c r="B83" s="72" t="s">
        <v>595</v>
      </c>
      <c r="C83" s="73">
        <v>71</v>
      </c>
      <c r="D83" s="72" t="s">
        <v>588</v>
      </c>
      <c r="E83" s="73">
        <v>721</v>
      </c>
      <c r="F83" s="73">
        <v>721290071</v>
      </c>
    </row>
    <row r="84" spans="2:6" ht="15.75" customHeight="1">
      <c r="B84" s="72" t="s">
        <v>596</v>
      </c>
      <c r="C84" s="73">
        <v>71</v>
      </c>
      <c r="D84" s="72" t="s">
        <v>588</v>
      </c>
      <c r="E84" s="73">
        <v>722</v>
      </c>
      <c r="F84" s="73">
        <v>722110071</v>
      </c>
    </row>
    <row r="85" spans="2:6" ht="15.75" customHeight="1">
      <c r="B85" s="72" t="s">
        <v>597</v>
      </c>
      <c r="C85" s="73">
        <v>71</v>
      </c>
      <c r="D85" s="72" t="s">
        <v>588</v>
      </c>
      <c r="E85" s="73">
        <v>722</v>
      </c>
      <c r="F85" s="73">
        <v>722120071</v>
      </c>
    </row>
    <row r="86" spans="2:6" ht="15.75" customHeight="1">
      <c r="B86" s="72" t="s">
        <v>598</v>
      </c>
      <c r="C86" s="73">
        <v>71</v>
      </c>
      <c r="D86" s="72" t="s">
        <v>588</v>
      </c>
      <c r="E86" s="73">
        <v>722</v>
      </c>
      <c r="F86" s="73">
        <v>722190071</v>
      </c>
    </row>
    <row r="87" spans="2:6" ht="15.75" customHeight="1">
      <c r="B87" s="72" t="s">
        <v>599</v>
      </c>
      <c r="C87" s="73">
        <v>71</v>
      </c>
      <c r="D87" s="72" t="s">
        <v>588</v>
      </c>
      <c r="E87" s="73">
        <v>722</v>
      </c>
      <c r="F87" s="73">
        <v>722620071</v>
      </c>
    </row>
    <row r="88" spans="2:6" ht="15.75" customHeight="1">
      <c r="B88" s="72" t="s">
        <v>600</v>
      </c>
      <c r="C88" s="73">
        <v>71</v>
      </c>
      <c r="D88" s="72" t="s">
        <v>528</v>
      </c>
      <c r="E88" s="73">
        <v>722</v>
      </c>
      <c r="F88" s="73">
        <v>722720071</v>
      </c>
    </row>
    <row r="89" spans="2:6" ht="15.75" customHeight="1">
      <c r="B89" s="72" t="s">
        <v>601</v>
      </c>
      <c r="C89" s="73">
        <v>71</v>
      </c>
      <c r="D89" s="72" t="s">
        <v>588</v>
      </c>
      <c r="E89" s="73">
        <v>722</v>
      </c>
      <c r="F89" s="73">
        <v>722730071</v>
      </c>
    </row>
    <row r="90" spans="2:6" ht="15.75" customHeight="1">
      <c r="B90" s="72" t="s">
        <v>602</v>
      </c>
      <c r="C90" s="73">
        <v>71</v>
      </c>
      <c r="D90" s="72" t="s">
        <v>588</v>
      </c>
      <c r="E90" s="73">
        <v>723</v>
      </c>
      <c r="F90" s="73">
        <v>723110071</v>
      </c>
    </row>
    <row r="91" spans="2:6" ht="15.75" customHeight="1">
      <c r="B91" s="72" t="s">
        <v>603</v>
      </c>
      <c r="C91" s="73">
        <v>71</v>
      </c>
      <c r="D91" s="72" t="s">
        <v>588</v>
      </c>
      <c r="E91" s="73">
        <v>723</v>
      </c>
      <c r="F91" s="73">
        <v>723130071</v>
      </c>
    </row>
    <row r="92" spans="2:6" ht="15.75" customHeight="1">
      <c r="B92" s="72" t="s">
        <v>604</v>
      </c>
      <c r="C92" s="73">
        <v>71</v>
      </c>
      <c r="D92" s="72" t="s">
        <v>588</v>
      </c>
      <c r="E92" s="73">
        <v>723</v>
      </c>
      <c r="F92" s="73">
        <v>723140071</v>
      </c>
    </row>
    <row r="93" spans="2:6" ht="15.75" customHeight="1">
      <c r="B93" s="72" t="s">
        <v>605</v>
      </c>
      <c r="C93" s="73">
        <v>71</v>
      </c>
      <c r="D93" s="72" t="s">
        <v>588</v>
      </c>
      <c r="E93" s="73">
        <v>723</v>
      </c>
      <c r="F93" s="73">
        <v>723150071</v>
      </c>
    </row>
    <row r="94" spans="2:6" ht="15.75" customHeight="1">
      <c r="B94" s="72" t="s">
        <v>606</v>
      </c>
      <c r="C94" s="73">
        <v>71</v>
      </c>
      <c r="D94" s="72" t="s">
        <v>588</v>
      </c>
      <c r="E94" s="73">
        <v>723</v>
      </c>
      <c r="F94" s="73">
        <v>723160071</v>
      </c>
    </row>
    <row r="95" spans="2:6" ht="15.75" customHeight="1">
      <c r="B95" s="72" t="s">
        <v>607</v>
      </c>
      <c r="C95" s="73">
        <v>71</v>
      </c>
      <c r="D95" s="72" t="s">
        <v>528</v>
      </c>
      <c r="E95" s="73">
        <v>723</v>
      </c>
      <c r="F95" s="73">
        <v>723190071</v>
      </c>
    </row>
    <row r="96" spans="2:6" ht="15.75" customHeight="1">
      <c r="B96" s="72" t="s">
        <v>608</v>
      </c>
      <c r="C96" s="73">
        <v>71</v>
      </c>
      <c r="D96" s="72" t="s">
        <v>588</v>
      </c>
      <c r="E96" s="73">
        <v>723</v>
      </c>
      <c r="F96" s="73">
        <v>723310071</v>
      </c>
    </row>
    <row r="97" spans="1:6" ht="15.75" customHeight="1">
      <c r="B97" s="72" t="s">
        <v>609</v>
      </c>
      <c r="C97" s="73">
        <v>71</v>
      </c>
      <c r="D97" s="72" t="s">
        <v>588</v>
      </c>
      <c r="E97" s="73">
        <v>725</v>
      </c>
      <c r="F97" s="73">
        <v>725210071</v>
      </c>
    </row>
    <row r="98" spans="1:6" ht="15.75" customHeight="1">
      <c r="B98" s="72" t="s">
        <v>610</v>
      </c>
      <c r="C98" s="73">
        <v>43</v>
      </c>
      <c r="D98" s="72" t="s">
        <v>495</v>
      </c>
      <c r="E98" s="73">
        <v>818</v>
      </c>
      <c r="F98" s="73">
        <v>818110043</v>
      </c>
    </row>
    <row r="99" spans="1:6" ht="15.75" customHeight="1">
      <c r="B99" s="72" t="s">
        <v>611</v>
      </c>
      <c r="C99" s="73">
        <v>43</v>
      </c>
      <c r="D99" s="72" t="s">
        <v>495</v>
      </c>
      <c r="E99" s="73">
        <v>818</v>
      </c>
      <c r="F99" s="73">
        <v>818120043</v>
      </c>
    </row>
    <row r="100" spans="1:6" ht="15.75" customHeight="1">
      <c r="B100" s="72" t="s">
        <v>612</v>
      </c>
      <c r="C100" s="73">
        <v>43</v>
      </c>
      <c r="D100" s="72" t="s">
        <v>495</v>
      </c>
      <c r="E100" s="73">
        <v>832</v>
      </c>
      <c r="F100" s="73">
        <v>832120043</v>
      </c>
    </row>
    <row r="101" spans="1:6" ht="15.75" customHeight="1">
      <c r="B101" s="72" t="s">
        <v>613</v>
      </c>
      <c r="C101" s="73">
        <v>43</v>
      </c>
      <c r="D101" s="72" t="s">
        <v>495</v>
      </c>
      <c r="E101" s="73">
        <v>833</v>
      </c>
      <c r="F101" s="73">
        <v>833130043</v>
      </c>
    </row>
    <row r="102" spans="1:6" ht="15.75" customHeight="1">
      <c r="A102" s="51"/>
      <c r="B102" s="72" t="s">
        <v>614</v>
      </c>
      <c r="C102" s="73">
        <v>81</v>
      </c>
      <c r="D102" s="72" t="s">
        <v>615</v>
      </c>
      <c r="E102" s="73">
        <v>841</v>
      </c>
      <c r="F102" s="73">
        <v>841320000</v>
      </c>
    </row>
    <row r="103" spans="1:6" ht="15.75" customHeight="1">
      <c r="B103" s="72" t="s">
        <v>617</v>
      </c>
      <c r="C103" s="73">
        <v>81</v>
      </c>
      <c r="D103" s="72" t="s">
        <v>615</v>
      </c>
      <c r="E103" s="73">
        <v>842</v>
      </c>
      <c r="F103" s="73">
        <v>842220081</v>
      </c>
    </row>
    <row r="104" spans="1:6" ht="15.75" customHeight="1">
      <c r="B104" s="78" t="s">
        <v>616</v>
      </c>
      <c r="C104" s="77">
        <v>81</v>
      </c>
      <c r="D104" s="78" t="s">
        <v>615</v>
      </c>
      <c r="E104" s="77">
        <v>841</v>
      </c>
      <c r="F104" s="77">
        <v>841320150</v>
      </c>
    </row>
    <row r="105" spans="1:6" ht="15.75" customHeight="1">
      <c r="C105" s="206"/>
      <c r="D105" s="207"/>
      <c r="E105" s="207"/>
      <c r="F105" s="51"/>
    </row>
    <row r="106" spans="1:6" ht="15.75" customHeight="1">
      <c r="A106" s="208"/>
      <c r="C106" s="206"/>
      <c r="D106" s="207"/>
      <c r="E106" s="207"/>
      <c r="F106" s="51"/>
    </row>
    <row r="107" spans="1:6" ht="15.75" customHeight="1">
      <c r="A107" s="208"/>
      <c r="C107" s="206"/>
      <c r="D107" s="207"/>
      <c r="E107" s="207"/>
      <c r="F107" s="51"/>
    </row>
    <row r="108" spans="1:6" ht="15.75" customHeight="1">
      <c r="A108" s="208"/>
      <c r="B108" s="208"/>
      <c r="C108" s="208"/>
      <c r="D108" s="208"/>
      <c r="E108" s="208"/>
      <c r="F108" s="208"/>
    </row>
    <row r="109" spans="1:6" ht="15.75" customHeight="1">
      <c r="A109" s="208"/>
      <c r="B109" s="208"/>
      <c r="C109" s="208"/>
      <c r="D109" s="208"/>
      <c r="E109" s="208"/>
      <c r="F109" s="208"/>
    </row>
    <row r="110" spans="1:6" ht="15.75" customHeight="1">
      <c r="A110" s="208"/>
      <c r="B110" s="208"/>
      <c r="C110" s="208"/>
      <c r="D110" s="208"/>
      <c r="E110" s="208"/>
      <c r="F110" s="208"/>
    </row>
    <row r="111" spans="1:6" ht="15.75" customHeight="1">
      <c r="A111" s="208"/>
      <c r="B111" s="208"/>
      <c r="C111" s="208"/>
      <c r="D111" s="208"/>
      <c r="E111" s="208"/>
      <c r="F111" s="208"/>
    </row>
    <row r="112" spans="1:6" ht="15.75" customHeight="1">
      <c r="A112" s="208"/>
      <c r="B112" s="208"/>
      <c r="C112" s="208"/>
      <c r="D112" s="208"/>
      <c r="E112" s="208"/>
      <c r="F112" s="208"/>
    </row>
    <row r="113" spans="1:6" ht="15.75" customHeight="1">
      <c r="A113" s="208"/>
      <c r="B113" s="208"/>
      <c r="C113" s="208"/>
      <c r="D113" s="208"/>
      <c r="E113" s="208"/>
      <c r="F113" s="208"/>
    </row>
    <row r="114" spans="1:6" ht="15.75" customHeight="1">
      <c r="A114" s="208"/>
      <c r="B114" s="208"/>
      <c r="C114" s="208"/>
      <c r="D114" s="208"/>
      <c r="E114" s="208"/>
      <c r="F114" s="208"/>
    </row>
    <row r="115" spans="1:6" ht="15.75" customHeight="1">
      <c r="A115" s="208"/>
      <c r="B115" s="208"/>
      <c r="C115" s="208"/>
      <c r="D115" s="208"/>
      <c r="E115" s="208"/>
      <c r="F115" s="208"/>
    </row>
    <row r="116" spans="1:6" ht="15.75" customHeight="1">
      <c r="A116" s="208"/>
      <c r="B116" s="208"/>
      <c r="C116" s="208"/>
      <c r="D116" s="208"/>
      <c r="E116" s="208"/>
      <c r="F116" s="208"/>
    </row>
    <row r="117" spans="1:6" ht="15.75" customHeight="1">
      <c r="A117" s="208"/>
      <c r="B117" s="208"/>
      <c r="C117" s="208"/>
      <c r="D117" s="208"/>
      <c r="E117" s="208"/>
      <c r="F117" s="208"/>
    </row>
    <row r="118" spans="1:6" ht="15.75" customHeight="1">
      <c r="A118" s="208"/>
      <c r="B118" s="208"/>
      <c r="C118" s="208"/>
      <c r="D118" s="208"/>
      <c r="E118" s="208"/>
      <c r="F118" s="208"/>
    </row>
    <row r="119" spans="1:6" ht="15.75" customHeight="1">
      <c r="B119" s="208"/>
      <c r="C119" s="208"/>
      <c r="D119" s="208"/>
      <c r="E119" s="208"/>
      <c r="F119" s="208"/>
    </row>
    <row r="120" spans="1:6" ht="15.75" customHeight="1">
      <c r="B120" s="208"/>
      <c r="C120" s="208"/>
      <c r="D120" s="208"/>
      <c r="E120" s="208"/>
      <c r="F120" s="208"/>
    </row>
    <row r="121" spans="1:6" ht="15.75" customHeight="1">
      <c r="C121" s="206"/>
      <c r="D121" s="207"/>
      <c r="E121" s="207"/>
      <c r="F121" s="51"/>
    </row>
    <row r="122" spans="1:6" ht="15.75" customHeight="1">
      <c r="C122" s="206"/>
      <c r="D122" s="207"/>
      <c r="E122" s="207"/>
      <c r="F122" s="51"/>
    </row>
    <row r="123" spans="1:6" ht="15.75" customHeight="1">
      <c r="C123" s="206"/>
      <c r="D123" s="207"/>
      <c r="E123" s="207"/>
      <c r="F123" s="51"/>
    </row>
    <row r="124" spans="1:6" ht="15.75" customHeight="1">
      <c r="C124" s="206"/>
      <c r="D124" s="207"/>
      <c r="E124" s="207"/>
      <c r="F124" s="51"/>
    </row>
    <row r="125" spans="1:6" ht="15.75" customHeight="1">
      <c r="C125" s="206"/>
      <c r="D125" s="207"/>
      <c r="E125" s="207"/>
      <c r="F125" s="51"/>
    </row>
    <row r="126" spans="1:6" ht="15.75" customHeight="1">
      <c r="C126" s="206"/>
      <c r="D126" s="207"/>
      <c r="E126" s="207"/>
      <c r="F126" s="51"/>
    </row>
    <row r="127" spans="1:6" ht="15.75" customHeight="1">
      <c r="C127" s="206"/>
      <c r="D127" s="207"/>
      <c r="E127" s="207"/>
      <c r="F127" s="51"/>
    </row>
    <row r="128" spans="1:6" ht="15.75" customHeight="1">
      <c r="C128" s="206"/>
      <c r="D128" s="207"/>
      <c r="E128" s="207"/>
      <c r="F128" s="51"/>
    </row>
    <row r="129" spans="3:6" ht="15.75" customHeight="1">
      <c r="C129" s="206"/>
      <c r="D129" s="207"/>
      <c r="E129" s="207"/>
      <c r="F129" s="51"/>
    </row>
    <row r="130" spans="3:6" ht="15.75" customHeight="1">
      <c r="C130" s="206"/>
      <c r="D130" s="207"/>
      <c r="E130" s="207"/>
      <c r="F130" s="51"/>
    </row>
    <row r="131" spans="3:6" ht="15.75" customHeight="1">
      <c r="C131" s="206"/>
      <c r="D131" s="207"/>
      <c r="E131" s="207"/>
      <c r="F131" s="51"/>
    </row>
    <row r="132" spans="3:6" ht="15.75" customHeight="1">
      <c r="C132" s="206"/>
      <c r="D132" s="207"/>
      <c r="E132" s="207"/>
      <c r="F132" s="51"/>
    </row>
    <row r="133" spans="3:6" ht="15.75" customHeight="1">
      <c r="C133" s="206"/>
      <c r="D133" s="207"/>
      <c r="E133" s="207"/>
      <c r="F133" s="51"/>
    </row>
    <row r="134" spans="3:6" ht="15.75" customHeight="1">
      <c r="C134" s="206"/>
      <c r="D134" s="207"/>
      <c r="E134" s="207"/>
      <c r="F134" s="51"/>
    </row>
    <row r="135" spans="3:6" ht="15.75" customHeight="1">
      <c r="C135" s="206"/>
      <c r="D135" s="207"/>
      <c r="E135" s="207"/>
      <c r="F135" s="51"/>
    </row>
    <row r="136" spans="3:6" ht="15.75" customHeight="1">
      <c r="C136" s="206"/>
      <c r="D136" s="207"/>
      <c r="E136" s="207"/>
      <c r="F136" s="51"/>
    </row>
    <row r="137" spans="3:6" ht="15.75" customHeight="1">
      <c r="C137" s="206"/>
      <c r="D137" s="207"/>
      <c r="E137" s="207"/>
      <c r="F137" s="51"/>
    </row>
    <row r="138" spans="3:6" ht="15.75" customHeight="1">
      <c r="C138" s="206"/>
      <c r="D138" s="207"/>
      <c r="E138" s="207"/>
      <c r="F138" s="51"/>
    </row>
    <row r="139" spans="3:6" ht="15.75" customHeight="1">
      <c r="C139" s="206"/>
      <c r="D139" s="207"/>
      <c r="E139" s="207"/>
      <c r="F139" s="51"/>
    </row>
    <row r="140" spans="3:6" ht="15.75" customHeight="1">
      <c r="C140" s="206"/>
      <c r="D140" s="207"/>
      <c r="E140" s="207"/>
      <c r="F140" s="51"/>
    </row>
    <row r="141" spans="3:6" ht="15.75" customHeight="1">
      <c r="C141" s="206"/>
      <c r="D141" s="207"/>
      <c r="E141" s="207"/>
      <c r="F141" s="51"/>
    </row>
    <row r="142" spans="3:6" ht="15.75" customHeight="1">
      <c r="C142" s="206"/>
      <c r="D142" s="207"/>
      <c r="E142" s="207"/>
      <c r="F142" s="51"/>
    </row>
    <row r="143" spans="3:6" ht="15.75" customHeight="1">
      <c r="C143" s="206"/>
      <c r="D143" s="207"/>
      <c r="E143" s="207"/>
      <c r="F143" s="51"/>
    </row>
    <row r="144" spans="3:6" ht="15.75" customHeight="1">
      <c r="C144" s="206"/>
      <c r="D144" s="207"/>
      <c r="E144" s="207"/>
      <c r="F144" s="51"/>
    </row>
    <row r="145" spans="3:6" ht="15.75" customHeight="1">
      <c r="C145" s="206"/>
      <c r="D145" s="207"/>
      <c r="E145" s="207"/>
      <c r="F145" s="51"/>
    </row>
    <row r="146" spans="3:6" ht="15.75" customHeight="1">
      <c r="C146" s="206"/>
      <c r="D146" s="207"/>
      <c r="E146" s="207"/>
      <c r="F146" s="51"/>
    </row>
    <row r="147" spans="3:6" ht="15.75" customHeight="1">
      <c r="C147" s="206"/>
      <c r="D147" s="207"/>
      <c r="E147" s="207"/>
      <c r="F147" s="51"/>
    </row>
    <row r="148" spans="3:6" ht="15.75" customHeight="1">
      <c r="C148" s="206"/>
      <c r="D148" s="207"/>
      <c r="E148" s="207"/>
      <c r="F148" s="51"/>
    </row>
    <row r="149" spans="3:6" ht="15.75" customHeight="1">
      <c r="C149" s="206"/>
      <c r="D149" s="207"/>
      <c r="E149" s="207"/>
      <c r="F149" s="51"/>
    </row>
    <row r="150" spans="3:6" ht="15.75" customHeight="1">
      <c r="C150" s="206"/>
      <c r="D150" s="207"/>
      <c r="E150" s="207"/>
      <c r="F150" s="51"/>
    </row>
    <row r="151" spans="3:6" ht="15.75" customHeight="1">
      <c r="C151" s="206"/>
      <c r="D151" s="207"/>
      <c r="E151" s="207"/>
      <c r="F151" s="51"/>
    </row>
    <row r="152" spans="3:6" ht="15.75" customHeight="1">
      <c r="C152" s="206"/>
      <c r="D152" s="207"/>
      <c r="E152" s="207"/>
      <c r="F152" s="51"/>
    </row>
    <row r="153" spans="3:6" ht="15.75" customHeight="1">
      <c r="C153" s="206"/>
      <c r="D153" s="207"/>
      <c r="E153" s="207"/>
      <c r="F153" s="51"/>
    </row>
    <row r="154" spans="3:6" ht="15.75" customHeight="1">
      <c r="C154" s="206"/>
      <c r="D154" s="207"/>
      <c r="E154" s="207"/>
      <c r="F154" s="51"/>
    </row>
    <row r="155" spans="3:6" ht="15.75" customHeight="1">
      <c r="C155" s="206"/>
      <c r="D155" s="207"/>
      <c r="E155" s="207"/>
      <c r="F155" s="51"/>
    </row>
    <row r="156" spans="3:6" ht="15.75" customHeight="1">
      <c r="C156" s="206"/>
      <c r="D156" s="207"/>
      <c r="E156" s="207"/>
      <c r="F156" s="51"/>
    </row>
    <row r="157" spans="3:6" ht="15.75" customHeight="1">
      <c r="C157" s="206"/>
      <c r="D157" s="207"/>
      <c r="E157" s="207"/>
      <c r="F157" s="51"/>
    </row>
    <row r="158" spans="3:6" ht="15.75" customHeight="1">
      <c r="C158" s="206"/>
      <c r="D158" s="207"/>
      <c r="E158" s="207"/>
      <c r="F158" s="51"/>
    </row>
    <row r="159" spans="3:6" ht="15.75" customHeight="1">
      <c r="C159" s="206"/>
      <c r="D159" s="207"/>
      <c r="E159" s="207"/>
      <c r="F159" s="51"/>
    </row>
    <row r="160" spans="3:6" ht="15.75" customHeight="1">
      <c r="C160" s="206"/>
      <c r="D160" s="207"/>
      <c r="E160" s="207"/>
      <c r="F160" s="51"/>
    </row>
    <row r="161" spans="3:6" ht="15.75" customHeight="1">
      <c r="C161" s="206"/>
      <c r="D161" s="207"/>
      <c r="E161" s="207"/>
      <c r="F161" s="51"/>
    </row>
    <row r="162" spans="3:6" ht="15.75" customHeight="1">
      <c r="C162" s="206"/>
      <c r="D162" s="207"/>
      <c r="E162" s="207"/>
      <c r="F162" s="51"/>
    </row>
    <row r="163" spans="3:6" ht="15.75" customHeight="1">
      <c r="C163" s="206"/>
      <c r="D163" s="207"/>
      <c r="E163" s="207"/>
      <c r="F163" s="51"/>
    </row>
    <row r="164" spans="3:6" ht="15.75" customHeight="1">
      <c r="C164" s="206"/>
      <c r="D164" s="207"/>
      <c r="E164" s="207"/>
      <c r="F164" s="51"/>
    </row>
    <row r="165" spans="3:6" ht="15.75" customHeight="1">
      <c r="C165" s="206"/>
      <c r="D165" s="207"/>
      <c r="E165" s="207"/>
      <c r="F165" s="51"/>
    </row>
    <row r="166" spans="3:6" ht="15.75" customHeight="1">
      <c r="C166" s="206"/>
      <c r="D166" s="207"/>
      <c r="E166" s="207"/>
      <c r="F166" s="51"/>
    </row>
    <row r="167" spans="3:6" ht="15.75" customHeight="1">
      <c r="C167" s="206"/>
      <c r="D167" s="207"/>
      <c r="E167" s="207"/>
      <c r="F167" s="51"/>
    </row>
    <row r="168" spans="3:6" ht="15.75" customHeight="1">
      <c r="C168" s="206"/>
      <c r="D168" s="207"/>
      <c r="E168" s="207"/>
      <c r="F168" s="51"/>
    </row>
    <row r="169" spans="3:6" ht="15.75" customHeight="1">
      <c r="C169" s="206"/>
      <c r="D169" s="207"/>
      <c r="E169" s="207"/>
      <c r="F169" s="51"/>
    </row>
    <row r="170" spans="3:6" ht="15.75" customHeight="1">
      <c r="C170" s="206"/>
      <c r="D170" s="207"/>
      <c r="E170" s="207"/>
      <c r="F170" s="51"/>
    </row>
    <row r="171" spans="3:6" ht="15.75" customHeight="1">
      <c r="C171" s="206"/>
      <c r="D171" s="207"/>
      <c r="E171" s="207"/>
      <c r="F171" s="51"/>
    </row>
    <row r="172" spans="3:6" ht="15.75" customHeight="1">
      <c r="C172" s="206"/>
      <c r="D172" s="207"/>
      <c r="E172" s="207"/>
      <c r="F172" s="51"/>
    </row>
    <row r="173" spans="3:6" ht="15.75" customHeight="1">
      <c r="C173" s="206"/>
      <c r="D173" s="207"/>
      <c r="E173" s="207"/>
      <c r="F173" s="51"/>
    </row>
    <row r="174" spans="3:6" ht="15.75" customHeight="1">
      <c r="C174" s="206"/>
      <c r="D174" s="207"/>
      <c r="E174" s="207"/>
      <c r="F174" s="51"/>
    </row>
    <row r="175" spans="3:6" ht="15.75" customHeight="1">
      <c r="C175" s="206"/>
      <c r="D175" s="207"/>
      <c r="E175" s="207"/>
      <c r="F175" s="51"/>
    </row>
    <row r="176" spans="3:6" ht="15.75" customHeight="1">
      <c r="C176" s="206"/>
      <c r="D176" s="207"/>
      <c r="E176" s="207"/>
      <c r="F176" s="51"/>
    </row>
    <row r="177" spans="3:6" ht="15.75" customHeight="1">
      <c r="C177" s="206"/>
      <c r="D177" s="207"/>
      <c r="E177" s="207"/>
      <c r="F177" s="51"/>
    </row>
    <row r="178" spans="3:6" ht="15.75" customHeight="1">
      <c r="C178" s="206"/>
      <c r="D178" s="207"/>
      <c r="E178" s="207"/>
      <c r="F178" s="51"/>
    </row>
    <row r="179" spans="3:6" ht="15.75" customHeight="1">
      <c r="C179" s="206"/>
      <c r="D179" s="207"/>
      <c r="E179" s="207"/>
      <c r="F179" s="51"/>
    </row>
    <row r="180" spans="3:6" ht="15.75" customHeight="1">
      <c r="C180" s="206"/>
      <c r="D180" s="207"/>
      <c r="E180" s="207"/>
      <c r="F180" s="51"/>
    </row>
    <row r="181" spans="3:6" ht="15.75" customHeight="1">
      <c r="C181" s="206"/>
      <c r="D181" s="207"/>
      <c r="E181" s="207"/>
      <c r="F181" s="51"/>
    </row>
    <row r="182" spans="3:6" ht="15.75" customHeight="1">
      <c r="C182" s="206"/>
      <c r="D182" s="207"/>
      <c r="E182" s="207"/>
      <c r="F182" s="51"/>
    </row>
    <row r="183" spans="3:6" ht="15.75" customHeight="1">
      <c r="C183" s="206"/>
      <c r="D183" s="207"/>
      <c r="E183" s="207"/>
      <c r="F183" s="51"/>
    </row>
    <row r="184" spans="3:6" ht="15.75" customHeight="1">
      <c r="C184" s="206"/>
      <c r="D184" s="207"/>
      <c r="E184" s="207"/>
      <c r="F184" s="51"/>
    </row>
    <row r="185" spans="3:6" ht="15.75" customHeight="1">
      <c r="C185" s="206"/>
      <c r="D185" s="207"/>
      <c r="E185" s="207"/>
      <c r="F185" s="51"/>
    </row>
    <row r="186" spans="3:6" ht="15.75" customHeight="1">
      <c r="C186" s="206"/>
      <c r="D186" s="207"/>
      <c r="E186" s="207"/>
      <c r="F186" s="51"/>
    </row>
    <row r="187" spans="3:6" ht="15.75" customHeight="1">
      <c r="C187" s="206"/>
      <c r="D187" s="207"/>
      <c r="E187" s="207"/>
      <c r="F187" s="51"/>
    </row>
    <row r="188" spans="3:6" ht="15.75" customHeight="1">
      <c r="C188" s="206"/>
      <c r="D188" s="207"/>
      <c r="E188" s="207"/>
      <c r="F188" s="51"/>
    </row>
    <row r="189" spans="3:6" ht="15.75" customHeight="1">
      <c r="C189" s="206"/>
      <c r="D189" s="207"/>
      <c r="E189" s="207"/>
      <c r="F189" s="51"/>
    </row>
    <row r="190" spans="3:6" ht="15.75" customHeight="1">
      <c r="C190" s="206"/>
      <c r="D190" s="207"/>
      <c r="E190" s="207"/>
      <c r="F190" s="51"/>
    </row>
    <row r="191" spans="3:6" ht="15.75" customHeight="1">
      <c r="C191" s="206"/>
      <c r="D191" s="207"/>
      <c r="E191" s="207"/>
      <c r="F191" s="51"/>
    </row>
    <row r="192" spans="3:6" ht="15.75" customHeight="1">
      <c r="C192" s="206"/>
      <c r="D192" s="207"/>
      <c r="E192" s="207"/>
      <c r="F192" s="51"/>
    </row>
    <row r="193" spans="3:6" ht="15.75" customHeight="1">
      <c r="C193" s="206"/>
      <c r="D193" s="207"/>
      <c r="E193" s="207"/>
      <c r="F193" s="51"/>
    </row>
    <row r="194" spans="3:6" ht="15.75" customHeight="1">
      <c r="C194" s="206"/>
      <c r="D194" s="207"/>
      <c r="E194" s="207"/>
      <c r="F194" s="51"/>
    </row>
    <row r="195" spans="3:6" ht="15.75" customHeight="1">
      <c r="C195" s="206"/>
      <c r="D195" s="207"/>
      <c r="E195" s="207"/>
      <c r="F195" s="51"/>
    </row>
    <row r="196" spans="3:6" ht="15.75" customHeight="1">
      <c r="C196" s="206"/>
      <c r="D196" s="207"/>
      <c r="E196" s="207"/>
      <c r="F196" s="51"/>
    </row>
    <row r="197" spans="3:6" ht="15.75" customHeight="1">
      <c r="C197" s="206"/>
      <c r="D197" s="207"/>
      <c r="E197" s="207"/>
      <c r="F197" s="51"/>
    </row>
    <row r="198" spans="3:6" ht="15.75" customHeight="1">
      <c r="C198" s="206"/>
      <c r="D198" s="207"/>
      <c r="E198" s="207"/>
      <c r="F198" s="51"/>
    </row>
    <row r="199" spans="3:6" ht="15.75" customHeight="1">
      <c r="C199" s="206"/>
      <c r="D199" s="207"/>
      <c r="E199" s="207"/>
      <c r="F199" s="51"/>
    </row>
    <row r="200" spans="3:6" ht="15.75" customHeight="1">
      <c r="C200" s="206"/>
      <c r="D200" s="207"/>
      <c r="E200" s="207"/>
      <c r="F200" s="51"/>
    </row>
    <row r="201" spans="3:6" ht="15.75" customHeight="1">
      <c r="C201" s="206"/>
      <c r="D201" s="207"/>
      <c r="E201" s="207"/>
      <c r="F201" s="51"/>
    </row>
    <row r="202" spans="3:6" ht="15.75" customHeight="1">
      <c r="C202" s="206"/>
      <c r="D202" s="207"/>
      <c r="E202" s="207"/>
      <c r="F202" s="51"/>
    </row>
    <row r="203" spans="3:6" ht="15.75" customHeight="1">
      <c r="C203" s="206"/>
      <c r="D203" s="207"/>
      <c r="E203" s="207"/>
      <c r="F203" s="51"/>
    </row>
    <row r="204" spans="3:6" ht="15.75" customHeight="1">
      <c r="C204" s="206"/>
      <c r="D204" s="207"/>
      <c r="E204" s="207"/>
      <c r="F204" s="51"/>
    </row>
    <row r="205" spans="3:6" ht="15.75" customHeight="1">
      <c r="C205" s="206"/>
      <c r="D205" s="207"/>
      <c r="E205" s="207"/>
      <c r="F205" s="51"/>
    </row>
    <row r="206" spans="3:6" ht="15.75" customHeight="1">
      <c r="C206" s="206"/>
      <c r="D206" s="207"/>
      <c r="E206" s="207"/>
      <c r="F206" s="51"/>
    </row>
    <row r="207" spans="3:6" ht="15.75" customHeight="1">
      <c r="C207" s="206"/>
      <c r="D207" s="207"/>
      <c r="E207" s="207"/>
      <c r="F207" s="51"/>
    </row>
    <row r="208" spans="3:6" ht="15.75" customHeight="1">
      <c r="C208" s="206"/>
      <c r="D208" s="207"/>
      <c r="E208" s="207"/>
      <c r="F208" s="51"/>
    </row>
    <row r="209" spans="3:6" ht="15.75" customHeight="1">
      <c r="C209" s="206"/>
      <c r="D209" s="207"/>
      <c r="E209" s="207"/>
      <c r="F209" s="51"/>
    </row>
    <row r="210" spans="3:6" ht="15.75" customHeight="1">
      <c r="C210" s="206"/>
      <c r="D210" s="207"/>
      <c r="E210" s="207"/>
      <c r="F210" s="51"/>
    </row>
    <row r="211" spans="3:6" ht="15.75" customHeight="1">
      <c r="C211" s="206"/>
      <c r="D211" s="207"/>
      <c r="E211" s="207"/>
      <c r="F211" s="51"/>
    </row>
    <row r="212" spans="3:6" ht="15.75" customHeight="1">
      <c r="C212" s="206"/>
      <c r="D212" s="207"/>
      <c r="E212" s="207"/>
      <c r="F212" s="51"/>
    </row>
    <row r="213" spans="3:6" ht="15.75" customHeight="1">
      <c r="C213" s="206"/>
      <c r="D213" s="207"/>
      <c r="E213" s="207"/>
      <c r="F213" s="51"/>
    </row>
    <row r="214" spans="3:6" ht="15.75" customHeight="1">
      <c r="C214" s="206"/>
      <c r="D214" s="207"/>
      <c r="E214" s="207"/>
      <c r="F214" s="51"/>
    </row>
    <row r="215" spans="3:6" ht="15.75" customHeight="1">
      <c r="C215" s="206"/>
      <c r="D215" s="207"/>
      <c r="E215" s="207"/>
      <c r="F215" s="51"/>
    </row>
    <row r="216" spans="3:6" ht="15.75" customHeight="1">
      <c r="C216" s="206"/>
      <c r="D216" s="207"/>
      <c r="E216" s="207"/>
      <c r="F216" s="51"/>
    </row>
    <row r="217" spans="3:6" ht="15.75" customHeight="1">
      <c r="C217" s="206"/>
      <c r="D217" s="207"/>
      <c r="E217" s="207"/>
      <c r="F217" s="51"/>
    </row>
    <row r="218" spans="3:6" ht="15.75" customHeight="1">
      <c r="C218" s="206"/>
      <c r="D218" s="207"/>
      <c r="E218" s="207"/>
      <c r="F218" s="51"/>
    </row>
    <row r="219" spans="3:6" ht="15.75" customHeight="1">
      <c r="C219" s="206"/>
      <c r="D219" s="207"/>
      <c r="E219" s="207"/>
      <c r="F219" s="51"/>
    </row>
    <row r="220" spans="3:6" ht="15.75" customHeight="1">
      <c r="C220" s="206"/>
      <c r="D220" s="207"/>
      <c r="E220" s="207"/>
      <c r="F220" s="51"/>
    </row>
    <row r="221" spans="3:6" ht="15.75" customHeight="1">
      <c r="C221" s="206"/>
      <c r="D221" s="207"/>
      <c r="E221" s="207"/>
      <c r="F221" s="51"/>
    </row>
    <row r="222" spans="3:6" ht="15.75" customHeight="1">
      <c r="C222" s="206"/>
      <c r="D222" s="207"/>
      <c r="E222" s="207"/>
      <c r="F222" s="51"/>
    </row>
    <row r="223" spans="3:6" ht="15.75" customHeight="1">
      <c r="C223" s="206"/>
      <c r="D223" s="207"/>
      <c r="E223" s="207"/>
      <c r="F223" s="51"/>
    </row>
    <row r="224" spans="3:6" ht="15.75" customHeight="1">
      <c r="C224" s="206"/>
      <c r="D224" s="207"/>
      <c r="E224" s="207"/>
      <c r="F224" s="51"/>
    </row>
    <row r="225" spans="3:6" ht="15.75" customHeight="1">
      <c r="C225" s="206"/>
      <c r="D225" s="207"/>
      <c r="E225" s="207"/>
      <c r="F225" s="51"/>
    </row>
    <row r="226" spans="3:6" ht="15.75" customHeight="1">
      <c r="C226" s="206"/>
      <c r="D226" s="207"/>
      <c r="E226" s="207"/>
      <c r="F226" s="51"/>
    </row>
    <row r="227" spans="3:6" ht="15.75" customHeight="1">
      <c r="C227" s="206"/>
      <c r="D227" s="207"/>
      <c r="E227" s="207"/>
      <c r="F227" s="51"/>
    </row>
    <row r="228" spans="3:6" ht="15.75" customHeight="1">
      <c r="C228" s="206"/>
      <c r="D228" s="207"/>
      <c r="E228" s="207"/>
      <c r="F228" s="51"/>
    </row>
    <row r="229" spans="3:6" ht="15.75" customHeight="1">
      <c r="C229" s="206"/>
      <c r="D229" s="207"/>
      <c r="E229" s="207"/>
      <c r="F229" s="51"/>
    </row>
    <row r="230" spans="3:6" ht="15.75" customHeight="1">
      <c r="C230" s="206"/>
      <c r="D230" s="207"/>
      <c r="E230" s="207"/>
      <c r="F230" s="51"/>
    </row>
    <row r="231" spans="3:6" ht="15.75" customHeight="1">
      <c r="C231" s="206"/>
      <c r="D231" s="207"/>
      <c r="E231" s="207"/>
      <c r="F231" s="51"/>
    </row>
    <row r="232" spans="3:6" ht="15.75" customHeight="1">
      <c r="C232" s="206"/>
      <c r="D232" s="207"/>
      <c r="E232" s="207"/>
      <c r="F232" s="51"/>
    </row>
    <row r="233" spans="3:6" ht="15.75" customHeight="1">
      <c r="C233" s="206"/>
      <c r="D233" s="207"/>
      <c r="E233" s="207"/>
      <c r="F233" s="51"/>
    </row>
    <row r="234" spans="3:6" ht="15.75" customHeight="1">
      <c r="C234" s="206"/>
      <c r="D234" s="207"/>
      <c r="E234" s="207"/>
      <c r="F234" s="51"/>
    </row>
    <row r="235" spans="3:6" ht="15.75" customHeight="1">
      <c r="C235" s="206"/>
      <c r="D235" s="207"/>
      <c r="E235" s="207"/>
      <c r="F235" s="51"/>
    </row>
    <row r="236" spans="3:6" ht="15.75" customHeight="1">
      <c r="C236" s="206"/>
      <c r="D236" s="207"/>
      <c r="E236" s="207"/>
      <c r="F236" s="51"/>
    </row>
    <row r="237" spans="3:6" ht="15.75" customHeight="1">
      <c r="C237" s="206"/>
      <c r="D237" s="207"/>
      <c r="E237" s="207"/>
      <c r="F237" s="51"/>
    </row>
    <row r="238" spans="3:6" ht="15.75" customHeight="1">
      <c r="C238" s="206"/>
      <c r="D238" s="207"/>
      <c r="E238" s="207"/>
      <c r="F238" s="51"/>
    </row>
    <row r="239" spans="3:6" ht="15.75" customHeight="1">
      <c r="C239" s="206"/>
      <c r="D239" s="207"/>
      <c r="E239" s="207"/>
      <c r="F239" s="51"/>
    </row>
    <row r="240" spans="3:6" ht="15.75" customHeight="1">
      <c r="C240" s="206"/>
      <c r="D240" s="207"/>
      <c r="E240" s="207"/>
      <c r="F240" s="51"/>
    </row>
    <row r="241" spans="3:6" ht="15.75" customHeight="1">
      <c r="C241" s="206"/>
      <c r="D241" s="207"/>
      <c r="E241" s="207"/>
      <c r="F241" s="51"/>
    </row>
    <row r="242" spans="3:6" ht="15.75" customHeight="1">
      <c r="C242" s="206"/>
      <c r="D242" s="207"/>
      <c r="E242" s="207"/>
      <c r="F242" s="51"/>
    </row>
    <row r="243" spans="3:6" ht="15.75" customHeight="1">
      <c r="C243" s="206"/>
      <c r="D243" s="207"/>
      <c r="E243" s="207"/>
      <c r="F243" s="51"/>
    </row>
    <row r="244" spans="3:6" ht="15.75" customHeight="1">
      <c r="C244" s="206"/>
      <c r="D244" s="207"/>
      <c r="E244" s="207"/>
      <c r="F244" s="51"/>
    </row>
    <row r="245" spans="3:6" ht="15.75" customHeight="1">
      <c r="C245" s="206"/>
      <c r="D245" s="207"/>
      <c r="E245" s="207"/>
      <c r="F245" s="51"/>
    </row>
    <row r="246" spans="3:6" ht="15.75" customHeight="1">
      <c r="C246" s="206"/>
      <c r="D246" s="207"/>
      <c r="E246" s="207"/>
      <c r="F246" s="51"/>
    </row>
    <row r="247" spans="3:6" ht="15.75" customHeight="1">
      <c r="C247" s="206"/>
      <c r="D247" s="207"/>
      <c r="E247" s="207"/>
      <c r="F247" s="51"/>
    </row>
    <row r="248" spans="3:6" ht="15.75" customHeight="1">
      <c r="C248" s="206"/>
      <c r="D248" s="207"/>
      <c r="E248" s="207"/>
      <c r="F248" s="51"/>
    </row>
    <row r="249" spans="3:6" ht="15.75" customHeight="1">
      <c r="C249" s="206"/>
      <c r="D249" s="207"/>
      <c r="E249" s="207"/>
      <c r="F249" s="51"/>
    </row>
    <row r="250" spans="3:6" ht="15.75" customHeight="1">
      <c r="C250" s="206"/>
      <c r="D250" s="207"/>
      <c r="E250" s="207"/>
      <c r="F250" s="51"/>
    </row>
    <row r="251" spans="3:6" ht="15.75" customHeight="1">
      <c r="C251" s="206"/>
      <c r="D251" s="207"/>
      <c r="E251" s="207"/>
      <c r="F251" s="51"/>
    </row>
    <row r="252" spans="3:6" ht="15.75" customHeight="1">
      <c r="C252" s="206"/>
      <c r="D252" s="207"/>
      <c r="E252" s="207"/>
      <c r="F252" s="51"/>
    </row>
    <row r="253" spans="3:6" ht="15.75" customHeight="1">
      <c r="C253" s="206"/>
      <c r="D253" s="207"/>
      <c r="E253" s="207"/>
      <c r="F253" s="51"/>
    </row>
    <row r="254" spans="3:6" ht="15.75" customHeight="1">
      <c r="C254" s="206"/>
      <c r="D254" s="207"/>
      <c r="E254" s="207"/>
      <c r="F254" s="51"/>
    </row>
    <row r="255" spans="3:6" ht="15.75" customHeight="1">
      <c r="C255" s="206"/>
      <c r="D255" s="207"/>
      <c r="E255" s="207"/>
      <c r="F255" s="51"/>
    </row>
    <row r="256" spans="3:6" ht="15.75" customHeight="1">
      <c r="C256" s="206"/>
      <c r="D256" s="207"/>
      <c r="E256" s="207"/>
      <c r="F256" s="51"/>
    </row>
    <row r="257" spans="3:6" ht="15.75" customHeight="1">
      <c r="C257" s="206"/>
      <c r="D257" s="207"/>
      <c r="E257" s="207"/>
      <c r="F257" s="51"/>
    </row>
    <row r="258" spans="3:6" ht="15.75" customHeight="1">
      <c r="C258" s="206"/>
      <c r="D258" s="207"/>
      <c r="E258" s="207"/>
      <c r="F258" s="51"/>
    </row>
    <row r="259" spans="3:6" ht="15.75" customHeight="1">
      <c r="C259" s="206"/>
      <c r="D259" s="207"/>
      <c r="E259" s="207"/>
      <c r="F259" s="51"/>
    </row>
    <row r="260" spans="3:6" ht="15.75" customHeight="1">
      <c r="C260" s="206"/>
      <c r="D260" s="207"/>
      <c r="E260" s="207"/>
      <c r="F260" s="51"/>
    </row>
    <row r="261" spans="3:6" ht="15.75" customHeight="1">
      <c r="C261" s="206"/>
      <c r="D261" s="207"/>
      <c r="E261" s="207"/>
      <c r="F261" s="51"/>
    </row>
    <row r="262" spans="3:6" ht="15.75" customHeight="1">
      <c r="C262" s="206"/>
      <c r="D262" s="207"/>
      <c r="E262" s="207"/>
      <c r="F262" s="51"/>
    </row>
    <row r="263" spans="3:6" ht="15.75" customHeight="1">
      <c r="C263" s="206"/>
      <c r="D263" s="207"/>
      <c r="E263" s="207"/>
      <c r="F263" s="51"/>
    </row>
    <row r="264" spans="3:6" ht="15.75" customHeight="1">
      <c r="C264" s="206"/>
      <c r="D264" s="207"/>
      <c r="E264" s="207"/>
      <c r="F264" s="51"/>
    </row>
    <row r="265" spans="3:6" ht="15.75" customHeight="1">
      <c r="C265" s="206"/>
      <c r="D265" s="207"/>
      <c r="E265" s="207"/>
      <c r="F265" s="51"/>
    </row>
    <row r="266" spans="3:6" ht="15.75" customHeight="1">
      <c r="C266" s="206"/>
      <c r="D266" s="207"/>
      <c r="E266" s="207"/>
      <c r="F266" s="51"/>
    </row>
    <row r="267" spans="3:6" ht="15.75" customHeight="1">
      <c r="C267" s="206"/>
      <c r="D267" s="207"/>
      <c r="E267" s="207"/>
      <c r="F267" s="51"/>
    </row>
    <row r="268" spans="3:6" ht="15.75" customHeight="1">
      <c r="C268" s="206"/>
      <c r="D268" s="207"/>
      <c r="E268" s="207"/>
      <c r="F268" s="51"/>
    </row>
    <row r="269" spans="3:6" ht="15.75" customHeight="1">
      <c r="C269" s="206"/>
      <c r="D269" s="207"/>
      <c r="E269" s="207"/>
      <c r="F269" s="51"/>
    </row>
    <row r="270" spans="3:6" ht="15.75" customHeight="1">
      <c r="C270" s="206"/>
      <c r="D270" s="207"/>
      <c r="E270" s="207"/>
      <c r="F270" s="51"/>
    </row>
    <row r="271" spans="3:6" ht="15.75" customHeight="1">
      <c r="C271" s="206"/>
      <c r="D271" s="207"/>
      <c r="E271" s="207"/>
      <c r="F271" s="51"/>
    </row>
    <row r="272" spans="3:6" ht="15.75" customHeight="1">
      <c r="C272" s="206"/>
      <c r="D272" s="207"/>
      <c r="E272" s="207"/>
      <c r="F272" s="51"/>
    </row>
    <row r="273" spans="3:6" ht="15.75" customHeight="1">
      <c r="C273" s="206"/>
      <c r="D273" s="207"/>
      <c r="E273" s="207"/>
      <c r="F273" s="51"/>
    </row>
    <row r="274" spans="3:6" ht="15.75" customHeight="1">
      <c r="C274" s="206"/>
      <c r="D274" s="207"/>
      <c r="E274" s="207"/>
      <c r="F274" s="51"/>
    </row>
    <row r="275" spans="3:6" ht="15.75" customHeight="1">
      <c r="C275" s="206"/>
      <c r="D275" s="207"/>
      <c r="E275" s="207"/>
      <c r="F275" s="51"/>
    </row>
    <row r="276" spans="3:6" ht="15.75" customHeight="1">
      <c r="C276" s="206"/>
      <c r="D276" s="207"/>
      <c r="E276" s="207"/>
      <c r="F276" s="51"/>
    </row>
    <row r="277" spans="3:6" ht="15.75" customHeight="1">
      <c r="C277" s="206"/>
      <c r="D277" s="207"/>
      <c r="E277" s="207"/>
      <c r="F277" s="51"/>
    </row>
    <row r="278" spans="3:6" ht="15.75" customHeight="1">
      <c r="C278" s="206"/>
      <c r="D278" s="207"/>
      <c r="E278" s="207"/>
      <c r="F278" s="51"/>
    </row>
    <row r="279" spans="3:6" ht="15.75" customHeight="1">
      <c r="C279" s="206"/>
      <c r="D279" s="207"/>
      <c r="E279" s="207"/>
      <c r="F279" s="51"/>
    </row>
    <row r="280" spans="3:6" ht="15.75" customHeight="1">
      <c r="C280" s="206"/>
      <c r="D280" s="207"/>
      <c r="E280" s="207"/>
      <c r="F280" s="51"/>
    </row>
    <row r="281" spans="3:6" ht="15.75" customHeight="1">
      <c r="C281" s="206"/>
      <c r="D281" s="207"/>
      <c r="E281" s="207"/>
      <c r="F281" s="51"/>
    </row>
    <row r="282" spans="3:6" ht="15.75" customHeight="1">
      <c r="C282" s="206"/>
      <c r="D282" s="207"/>
      <c r="E282" s="207"/>
      <c r="F282" s="51"/>
    </row>
    <row r="283" spans="3:6" ht="15.75" customHeight="1">
      <c r="C283" s="206"/>
      <c r="D283" s="207"/>
      <c r="E283" s="207"/>
      <c r="F283" s="51"/>
    </row>
    <row r="284" spans="3:6" ht="15.75" customHeight="1">
      <c r="C284" s="206"/>
      <c r="D284" s="207"/>
      <c r="E284" s="207"/>
      <c r="F284" s="51"/>
    </row>
    <row r="285" spans="3:6" ht="15.75" customHeight="1">
      <c r="C285" s="206"/>
      <c r="D285" s="207"/>
      <c r="E285" s="207"/>
      <c r="F285" s="51"/>
    </row>
    <row r="286" spans="3:6" ht="15.75" customHeight="1">
      <c r="C286" s="206"/>
      <c r="D286" s="207"/>
      <c r="E286" s="207"/>
      <c r="F286" s="51"/>
    </row>
    <row r="287" spans="3:6" ht="15.75" customHeight="1">
      <c r="C287" s="206"/>
      <c r="D287" s="207"/>
      <c r="E287" s="207"/>
      <c r="F287" s="51"/>
    </row>
    <row r="288" spans="3:6" ht="15.75" customHeight="1">
      <c r="C288" s="206"/>
      <c r="D288" s="207"/>
      <c r="E288" s="207"/>
      <c r="F288" s="51"/>
    </row>
    <row r="289" spans="3:6" ht="15.75" customHeight="1">
      <c r="C289" s="206"/>
      <c r="D289" s="207"/>
      <c r="E289" s="207"/>
      <c r="F289" s="51"/>
    </row>
    <row r="290" spans="3:6" ht="15.75" customHeight="1">
      <c r="C290" s="206"/>
      <c r="D290" s="207"/>
      <c r="E290" s="207"/>
      <c r="F290" s="51"/>
    </row>
    <row r="291" spans="3:6" ht="15.75" customHeight="1">
      <c r="C291" s="206"/>
      <c r="D291" s="207"/>
      <c r="E291" s="207"/>
      <c r="F291" s="51"/>
    </row>
    <row r="292" spans="3:6" ht="15.75" customHeight="1">
      <c r="C292" s="206"/>
      <c r="D292" s="207"/>
      <c r="E292" s="207"/>
      <c r="F292" s="51"/>
    </row>
    <row r="293" spans="3:6" ht="15.75" customHeight="1">
      <c r="C293" s="206"/>
      <c r="D293" s="207"/>
      <c r="E293" s="207"/>
      <c r="F293" s="51"/>
    </row>
    <row r="294" spans="3:6" ht="15.75" customHeight="1">
      <c r="C294" s="206"/>
      <c r="D294" s="207"/>
      <c r="E294" s="207"/>
      <c r="F294" s="51"/>
    </row>
    <row r="295" spans="3:6" ht="15.75" customHeight="1">
      <c r="C295" s="206"/>
      <c r="D295" s="207"/>
      <c r="E295" s="207"/>
      <c r="F295" s="51"/>
    </row>
    <row r="296" spans="3:6" ht="15.75" customHeight="1">
      <c r="C296" s="206"/>
      <c r="D296" s="207"/>
      <c r="E296" s="207"/>
      <c r="F296" s="51"/>
    </row>
    <row r="297" spans="3:6" ht="15.75" customHeight="1">
      <c r="C297" s="206"/>
      <c r="D297" s="207"/>
      <c r="E297" s="207"/>
      <c r="F297" s="51"/>
    </row>
    <row r="298" spans="3:6" ht="15.75" customHeight="1">
      <c r="C298" s="206"/>
      <c r="D298" s="207"/>
      <c r="E298" s="207"/>
      <c r="F298" s="51"/>
    </row>
    <row r="299" spans="3:6" ht="15.75" customHeight="1">
      <c r="C299" s="206"/>
      <c r="D299" s="207"/>
      <c r="E299" s="207"/>
      <c r="F299" s="51"/>
    </row>
    <row r="300" spans="3:6" ht="15.75" customHeight="1">
      <c r="C300" s="206"/>
      <c r="D300" s="207"/>
      <c r="E300" s="207"/>
      <c r="F300" s="51"/>
    </row>
    <row r="301" spans="3:6" ht="15.75" customHeight="1">
      <c r="C301" s="206"/>
      <c r="D301" s="207"/>
      <c r="E301" s="207"/>
      <c r="F301" s="51"/>
    </row>
    <row r="302" spans="3:6" ht="15.75" customHeight="1">
      <c r="C302" s="206"/>
      <c r="D302" s="207"/>
      <c r="E302" s="207"/>
      <c r="F302" s="51"/>
    </row>
    <row r="303" spans="3:6" ht="15.75" customHeight="1">
      <c r="C303" s="206"/>
      <c r="D303" s="207"/>
      <c r="E303" s="207"/>
      <c r="F303" s="51"/>
    </row>
    <row r="304" spans="3:6" ht="15.75" customHeight="1">
      <c r="C304" s="206"/>
      <c r="D304" s="207"/>
      <c r="E304" s="207"/>
      <c r="F304" s="51"/>
    </row>
    <row r="305" spans="3:6" ht="15.75" customHeight="1">
      <c r="C305" s="206"/>
      <c r="D305" s="207"/>
      <c r="E305" s="207"/>
      <c r="F305" s="51"/>
    </row>
    <row r="306" spans="3:6" ht="15.75" customHeight="1">
      <c r="C306" s="206"/>
      <c r="D306" s="207"/>
      <c r="E306" s="207"/>
      <c r="F306" s="51"/>
    </row>
    <row r="307" spans="3:6" ht="15.75" customHeight="1">
      <c r="C307" s="206"/>
      <c r="D307" s="207"/>
      <c r="E307" s="207"/>
      <c r="F307" s="51"/>
    </row>
    <row r="308" spans="3:6" ht="15.75" customHeight="1">
      <c r="C308" s="206"/>
      <c r="D308" s="207"/>
      <c r="E308" s="207"/>
      <c r="F308" s="51"/>
    </row>
    <row r="309" spans="3:6" ht="15.75" customHeight="1">
      <c r="C309" s="206"/>
      <c r="D309" s="207"/>
      <c r="E309" s="207"/>
      <c r="F309" s="51"/>
    </row>
    <row r="310" spans="3:6" ht="15.75" customHeight="1">
      <c r="C310" s="206"/>
      <c r="D310" s="207"/>
      <c r="E310" s="207"/>
      <c r="F310" s="51"/>
    </row>
    <row r="311" spans="3:6" ht="15.75" customHeight="1">
      <c r="C311" s="206"/>
      <c r="D311" s="207"/>
      <c r="E311" s="207"/>
      <c r="F311" s="51"/>
    </row>
    <row r="312" spans="3:6" ht="15.75" customHeight="1">
      <c r="C312" s="206"/>
      <c r="D312" s="207"/>
      <c r="E312" s="207"/>
      <c r="F312" s="51"/>
    </row>
    <row r="313" spans="3:6" ht="15.75" customHeight="1">
      <c r="C313" s="206"/>
      <c r="D313" s="207"/>
      <c r="E313" s="207"/>
      <c r="F313" s="51"/>
    </row>
    <row r="314" spans="3:6" ht="15.75" customHeight="1">
      <c r="C314" s="206"/>
      <c r="D314" s="207"/>
      <c r="E314" s="207"/>
      <c r="F314" s="51"/>
    </row>
    <row r="315" spans="3:6" ht="15.75" customHeight="1">
      <c r="C315" s="206"/>
      <c r="D315" s="207"/>
      <c r="E315" s="207"/>
      <c r="F315" s="51"/>
    </row>
    <row r="316" spans="3:6" ht="15.75" customHeight="1">
      <c r="C316" s="206"/>
      <c r="D316" s="207"/>
      <c r="E316" s="207"/>
      <c r="F316" s="51"/>
    </row>
    <row r="317" spans="3:6" ht="15.75" customHeight="1">
      <c r="C317" s="206"/>
      <c r="D317" s="207"/>
      <c r="E317" s="207"/>
      <c r="F317" s="51"/>
    </row>
    <row r="318" spans="3:6" ht="15.75" customHeight="1">
      <c r="C318" s="206"/>
      <c r="D318" s="207"/>
      <c r="E318" s="207"/>
      <c r="F318" s="51"/>
    </row>
    <row r="319" spans="3:6" ht="15.75" customHeight="1">
      <c r="C319" s="206"/>
      <c r="D319" s="207"/>
      <c r="E319" s="207"/>
      <c r="F319" s="51"/>
    </row>
    <row r="320" spans="3:6" ht="15.75" customHeight="1">
      <c r="C320" s="206"/>
      <c r="D320" s="207"/>
      <c r="E320" s="207"/>
      <c r="F320" s="51"/>
    </row>
    <row r="321" spans="3:6" ht="15.75" customHeight="1">
      <c r="C321" s="206"/>
      <c r="D321" s="207"/>
      <c r="E321" s="207"/>
      <c r="F321" s="51"/>
    </row>
    <row r="322" spans="3:6" ht="15.75" customHeight="1">
      <c r="C322" s="206"/>
      <c r="D322" s="207"/>
      <c r="E322" s="207"/>
      <c r="F322" s="51"/>
    </row>
    <row r="323" spans="3:6" ht="15.75" customHeight="1">
      <c r="C323" s="206"/>
      <c r="D323" s="207"/>
      <c r="E323" s="207"/>
      <c r="F323" s="51"/>
    </row>
    <row r="324" spans="3:6" ht="15.75" customHeight="1">
      <c r="C324" s="206"/>
      <c r="D324" s="207"/>
      <c r="E324" s="207"/>
      <c r="F324" s="51"/>
    </row>
    <row r="325" spans="3:6" ht="15.75" customHeight="1">
      <c r="C325" s="206"/>
      <c r="D325" s="207"/>
      <c r="E325" s="207"/>
      <c r="F325" s="51"/>
    </row>
    <row r="326" spans="3:6" ht="15.75" customHeight="1">
      <c r="C326" s="206"/>
      <c r="D326" s="207"/>
      <c r="E326" s="207"/>
      <c r="F326" s="51"/>
    </row>
    <row r="327" spans="3:6" ht="15.75" customHeight="1">
      <c r="C327" s="206"/>
      <c r="D327" s="207"/>
      <c r="E327" s="207"/>
      <c r="F327" s="51"/>
    </row>
    <row r="328" spans="3:6" ht="15.75" customHeight="1">
      <c r="C328" s="206"/>
      <c r="D328" s="207"/>
      <c r="E328" s="207"/>
      <c r="F328" s="51"/>
    </row>
    <row r="329" spans="3:6" ht="15.75" customHeight="1">
      <c r="C329" s="206"/>
      <c r="D329" s="207"/>
      <c r="E329" s="207"/>
      <c r="F329" s="51"/>
    </row>
    <row r="330" spans="3:6" ht="15.75" customHeight="1">
      <c r="C330" s="206"/>
      <c r="D330" s="207"/>
      <c r="E330" s="207"/>
      <c r="F330" s="51"/>
    </row>
    <row r="331" spans="3:6" ht="15.75" customHeight="1">
      <c r="C331" s="206"/>
      <c r="D331" s="207"/>
      <c r="E331" s="207"/>
      <c r="F331" s="51"/>
    </row>
    <row r="332" spans="3:6" ht="15.75" customHeight="1">
      <c r="C332" s="206"/>
      <c r="D332" s="207"/>
      <c r="E332" s="207"/>
      <c r="F332" s="51"/>
    </row>
    <row r="333" spans="3:6" ht="15.75" customHeight="1">
      <c r="C333" s="206"/>
      <c r="D333" s="207"/>
      <c r="E333" s="207"/>
      <c r="F333" s="51"/>
    </row>
    <row r="334" spans="3:6" ht="15.75" customHeight="1">
      <c r="C334" s="206"/>
      <c r="D334" s="207"/>
      <c r="E334" s="207"/>
      <c r="F334" s="51"/>
    </row>
    <row r="335" spans="3:6" ht="15.75" customHeight="1">
      <c r="C335" s="206"/>
      <c r="D335" s="207"/>
      <c r="E335" s="207"/>
      <c r="F335" s="51"/>
    </row>
    <row r="336" spans="3:6" ht="15.75" customHeight="1">
      <c r="C336" s="206"/>
      <c r="D336" s="207"/>
      <c r="E336" s="207"/>
      <c r="F336" s="51"/>
    </row>
    <row r="337" spans="3:6" ht="15.75" customHeight="1">
      <c r="C337" s="206"/>
      <c r="D337" s="207"/>
      <c r="E337" s="207"/>
      <c r="F337" s="51"/>
    </row>
    <row r="338" spans="3:6" ht="15.75" customHeight="1">
      <c r="C338" s="206"/>
      <c r="D338" s="207"/>
      <c r="E338" s="207"/>
      <c r="F338" s="51"/>
    </row>
    <row r="339" spans="3:6" ht="15.75" customHeight="1">
      <c r="C339" s="206"/>
      <c r="D339" s="207"/>
      <c r="E339" s="207"/>
      <c r="F339" s="51"/>
    </row>
    <row r="340" spans="3:6" ht="15.75" customHeight="1">
      <c r="C340" s="206"/>
      <c r="D340" s="207"/>
      <c r="E340" s="207"/>
      <c r="F340" s="51"/>
    </row>
    <row r="341" spans="3:6" ht="15.75" customHeight="1">
      <c r="C341" s="206"/>
      <c r="D341" s="207"/>
      <c r="E341" s="207"/>
      <c r="F341" s="51"/>
    </row>
    <row r="342" spans="3:6" ht="15.75" customHeight="1">
      <c r="C342" s="206"/>
      <c r="D342" s="207"/>
      <c r="E342" s="207"/>
      <c r="F342" s="51"/>
    </row>
    <row r="343" spans="3:6" ht="15.75" customHeight="1">
      <c r="C343" s="206"/>
      <c r="D343" s="207"/>
      <c r="E343" s="207"/>
      <c r="F343" s="51"/>
    </row>
    <row r="344" spans="3:6" ht="15.75" customHeight="1">
      <c r="C344" s="206"/>
      <c r="D344" s="207"/>
      <c r="E344" s="207"/>
      <c r="F344" s="51"/>
    </row>
    <row r="345" spans="3:6" ht="15.75" customHeight="1">
      <c r="C345" s="206"/>
      <c r="D345" s="207"/>
      <c r="E345" s="207"/>
      <c r="F345" s="51"/>
    </row>
    <row r="346" spans="3:6" ht="15.75" customHeight="1">
      <c r="C346" s="206"/>
      <c r="D346" s="207"/>
      <c r="E346" s="207"/>
      <c r="F346" s="51"/>
    </row>
    <row r="347" spans="3:6" ht="15.75" customHeight="1">
      <c r="C347" s="206"/>
      <c r="D347" s="207"/>
      <c r="E347" s="207"/>
      <c r="F347" s="51"/>
    </row>
    <row r="348" spans="3:6" ht="15.75" customHeight="1">
      <c r="C348" s="206"/>
      <c r="D348" s="207"/>
      <c r="E348" s="207"/>
      <c r="F348" s="51"/>
    </row>
    <row r="349" spans="3:6" ht="15.75" customHeight="1">
      <c r="C349" s="206"/>
      <c r="D349" s="207"/>
      <c r="E349" s="207"/>
      <c r="F349" s="51"/>
    </row>
    <row r="350" spans="3:6" ht="15.75" customHeight="1">
      <c r="C350" s="206"/>
      <c r="D350" s="207"/>
      <c r="E350" s="207"/>
      <c r="F350" s="51"/>
    </row>
    <row r="351" spans="3:6" ht="15.75" customHeight="1">
      <c r="C351" s="206"/>
      <c r="D351" s="207"/>
      <c r="E351" s="207"/>
      <c r="F351" s="51"/>
    </row>
    <row r="352" spans="3:6" ht="15.75" customHeight="1">
      <c r="C352" s="206"/>
      <c r="D352" s="207"/>
      <c r="E352" s="207"/>
      <c r="F352" s="51"/>
    </row>
    <row r="353" spans="3:6" ht="15.75" customHeight="1">
      <c r="C353" s="206"/>
      <c r="D353" s="207"/>
      <c r="E353" s="207"/>
      <c r="F353" s="51"/>
    </row>
    <row r="354" spans="3:6" ht="15.75" customHeight="1">
      <c r="C354" s="206"/>
      <c r="D354" s="207"/>
      <c r="E354" s="207"/>
      <c r="F354" s="51"/>
    </row>
    <row r="355" spans="3:6" ht="15.75" customHeight="1">
      <c r="C355" s="206"/>
      <c r="D355" s="207"/>
      <c r="E355" s="207"/>
      <c r="F355" s="51"/>
    </row>
    <row r="356" spans="3:6" ht="15.75" customHeight="1">
      <c r="C356" s="206"/>
      <c r="D356" s="207"/>
      <c r="E356" s="207"/>
      <c r="F356" s="51"/>
    </row>
    <row r="357" spans="3:6" ht="15.75" customHeight="1">
      <c r="C357" s="206"/>
      <c r="D357" s="207"/>
      <c r="E357" s="207"/>
      <c r="F357" s="51"/>
    </row>
    <row r="358" spans="3:6" ht="15.75" customHeight="1">
      <c r="C358" s="206"/>
      <c r="D358" s="207"/>
      <c r="E358" s="207"/>
      <c r="F358" s="51"/>
    </row>
    <row r="359" spans="3:6" ht="15.75" customHeight="1">
      <c r="C359" s="206"/>
      <c r="D359" s="207"/>
      <c r="E359" s="207"/>
      <c r="F359" s="51"/>
    </row>
    <row r="360" spans="3:6" ht="15.75" customHeight="1">
      <c r="C360" s="206"/>
      <c r="D360" s="207"/>
      <c r="E360" s="207"/>
      <c r="F360" s="51"/>
    </row>
    <row r="361" spans="3:6" ht="15.75" customHeight="1">
      <c r="C361" s="206"/>
      <c r="D361" s="207"/>
      <c r="E361" s="207"/>
      <c r="F361" s="51"/>
    </row>
    <row r="362" spans="3:6" ht="15.75" customHeight="1">
      <c r="C362" s="206"/>
      <c r="D362" s="207"/>
      <c r="E362" s="207"/>
      <c r="F362" s="51"/>
    </row>
    <row r="363" spans="3:6" ht="15.75" customHeight="1">
      <c r="C363" s="206"/>
      <c r="D363" s="207"/>
      <c r="E363" s="207"/>
      <c r="F363" s="51"/>
    </row>
    <row r="364" spans="3:6" ht="15.75" customHeight="1">
      <c r="C364" s="206"/>
      <c r="D364" s="207"/>
      <c r="E364" s="207"/>
      <c r="F364" s="51"/>
    </row>
    <row r="365" spans="3:6" ht="15.75" customHeight="1">
      <c r="C365" s="206"/>
      <c r="D365" s="207"/>
      <c r="E365" s="207"/>
      <c r="F365" s="51"/>
    </row>
    <row r="366" spans="3:6" ht="15.75" customHeight="1">
      <c r="C366" s="206"/>
      <c r="D366" s="207"/>
      <c r="E366" s="207"/>
      <c r="F366" s="51"/>
    </row>
    <row r="367" spans="3:6" ht="15.75" customHeight="1">
      <c r="C367" s="206"/>
      <c r="D367" s="207"/>
      <c r="E367" s="207"/>
      <c r="F367" s="51"/>
    </row>
    <row r="368" spans="3:6" ht="15.75" customHeight="1">
      <c r="C368" s="206"/>
      <c r="D368" s="207"/>
      <c r="E368" s="207"/>
      <c r="F368" s="51"/>
    </row>
    <row r="369" spans="3:6" ht="15.75" customHeight="1">
      <c r="C369" s="206"/>
      <c r="D369" s="207"/>
      <c r="E369" s="207"/>
      <c r="F369" s="51"/>
    </row>
    <row r="370" spans="3:6" ht="15.75" customHeight="1">
      <c r="C370" s="206"/>
      <c r="D370" s="207"/>
      <c r="E370" s="207"/>
      <c r="F370" s="51"/>
    </row>
    <row r="371" spans="3:6" ht="15.75" customHeight="1">
      <c r="C371" s="206"/>
      <c r="D371" s="207"/>
      <c r="E371" s="207"/>
      <c r="F371" s="51"/>
    </row>
    <row r="372" spans="3:6" ht="15.75" customHeight="1">
      <c r="C372" s="206"/>
      <c r="D372" s="207"/>
      <c r="E372" s="207"/>
      <c r="F372" s="51"/>
    </row>
    <row r="373" spans="3:6" ht="15.75" customHeight="1">
      <c r="C373" s="206"/>
      <c r="D373" s="207"/>
      <c r="E373" s="207"/>
      <c r="F373" s="51"/>
    </row>
    <row r="374" spans="3:6" ht="15.75" customHeight="1">
      <c r="C374" s="206"/>
      <c r="D374" s="207"/>
      <c r="E374" s="207"/>
      <c r="F374" s="51"/>
    </row>
    <row r="375" spans="3:6" ht="15.75" customHeight="1">
      <c r="C375" s="206"/>
      <c r="D375" s="207"/>
      <c r="E375" s="207"/>
      <c r="F375" s="51"/>
    </row>
    <row r="376" spans="3:6" ht="15.75" customHeight="1">
      <c r="C376" s="206"/>
      <c r="D376" s="207"/>
      <c r="E376" s="207"/>
      <c r="F376" s="51"/>
    </row>
    <row r="377" spans="3:6" ht="15.75" customHeight="1">
      <c r="C377" s="206"/>
      <c r="D377" s="207"/>
      <c r="E377" s="207"/>
      <c r="F377" s="51"/>
    </row>
    <row r="378" spans="3:6" ht="15.75" customHeight="1">
      <c r="C378" s="206"/>
      <c r="D378" s="207"/>
      <c r="E378" s="207"/>
      <c r="F378" s="51"/>
    </row>
    <row r="379" spans="3:6" ht="15.75" customHeight="1">
      <c r="C379" s="206"/>
      <c r="D379" s="207"/>
      <c r="E379" s="207"/>
      <c r="F379" s="51"/>
    </row>
    <row r="380" spans="3:6" ht="15.75" customHeight="1">
      <c r="C380" s="206"/>
      <c r="D380" s="207"/>
      <c r="E380" s="207"/>
      <c r="F380" s="51"/>
    </row>
    <row r="381" spans="3:6" ht="15.75" customHeight="1">
      <c r="C381" s="206"/>
      <c r="D381" s="207"/>
      <c r="E381" s="207"/>
      <c r="F381" s="51"/>
    </row>
    <row r="382" spans="3:6" ht="15.75" customHeight="1">
      <c r="C382" s="206"/>
      <c r="D382" s="207"/>
      <c r="E382" s="207"/>
      <c r="F382" s="51"/>
    </row>
    <row r="383" spans="3:6" ht="15.75" customHeight="1">
      <c r="C383" s="206"/>
      <c r="D383" s="207"/>
      <c r="E383" s="207"/>
      <c r="F383" s="51"/>
    </row>
    <row r="384" spans="3:6" ht="15.75" customHeight="1">
      <c r="C384" s="206"/>
      <c r="D384" s="207"/>
      <c r="E384" s="207"/>
      <c r="F384" s="51"/>
    </row>
    <row r="385" spans="3:6" ht="15.75" customHeight="1">
      <c r="C385" s="206"/>
      <c r="D385" s="207"/>
      <c r="E385" s="207"/>
      <c r="F385" s="51"/>
    </row>
    <row r="386" spans="3:6" ht="15.75" customHeight="1">
      <c r="C386" s="206"/>
      <c r="D386" s="207"/>
      <c r="E386" s="207"/>
      <c r="F386" s="51"/>
    </row>
    <row r="387" spans="3:6" ht="15.75" customHeight="1">
      <c r="C387" s="206"/>
      <c r="D387" s="207"/>
      <c r="E387" s="207"/>
      <c r="F387" s="51"/>
    </row>
    <row r="388" spans="3:6" ht="15.75" customHeight="1">
      <c r="C388" s="206"/>
      <c r="D388" s="207"/>
      <c r="E388" s="207"/>
      <c r="F388" s="51"/>
    </row>
    <row r="389" spans="3:6" ht="15.75" customHeight="1">
      <c r="C389" s="206"/>
      <c r="D389" s="207"/>
      <c r="E389" s="207"/>
      <c r="F389" s="51"/>
    </row>
    <row r="390" spans="3:6" ht="15.75" customHeight="1">
      <c r="C390" s="206"/>
      <c r="D390" s="207"/>
      <c r="E390" s="207"/>
      <c r="F390" s="51"/>
    </row>
    <row r="391" spans="3:6" ht="15.75" customHeight="1">
      <c r="C391" s="206"/>
      <c r="D391" s="207"/>
      <c r="E391" s="207"/>
      <c r="F391" s="51"/>
    </row>
    <row r="392" spans="3:6" ht="15.75" customHeight="1">
      <c r="C392" s="206"/>
      <c r="D392" s="207"/>
      <c r="E392" s="207"/>
      <c r="F392" s="51"/>
    </row>
    <row r="393" spans="3:6" ht="15.75" customHeight="1">
      <c r="C393" s="206"/>
      <c r="D393" s="207"/>
      <c r="E393" s="207"/>
      <c r="F393" s="51"/>
    </row>
    <row r="394" spans="3:6" ht="15.75" customHeight="1">
      <c r="C394" s="206"/>
      <c r="D394" s="207"/>
      <c r="E394" s="207"/>
      <c r="F394" s="51"/>
    </row>
    <row r="395" spans="3:6" ht="15.75" customHeight="1">
      <c r="C395" s="206"/>
      <c r="D395" s="207"/>
      <c r="E395" s="207"/>
      <c r="F395" s="51"/>
    </row>
    <row r="396" spans="3:6" ht="15.75" customHeight="1">
      <c r="C396" s="206"/>
      <c r="D396" s="207"/>
      <c r="E396" s="207"/>
      <c r="F396" s="51"/>
    </row>
    <row r="397" spans="3:6" ht="15.75" customHeight="1">
      <c r="C397" s="206"/>
      <c r="D397" s="207"/>
      <c r="E397" s="207"/>
      <c r="F397" s="51"/>
    </row>
    <row r="398" spans="3:6" ht="15.75" customHeight="1">
      <c r="C398" s="206"/>
      <c r="D398" s="207"/>
      <c r="E398" s="207"/>
      <c r="F398" s="51"/>
    </row>
    <row r="399" spans="3:6" ht="15.75" customHeight="1">
      <c r="C399" s="206"/>
      <c r="D399" s="207"/>
      <c r="E399" s="207"/>
      <c r="F399" s="51"/>
    </row>
    <row r="400" spans="3:6" ht="15.75" customHeight="1">
      <c r="C400" s="206"/>
      <c r="D400" s="207"/>
      <c r="E400" s="207"/>
      <c r="F400" s="51"/>
    </row>
    <row r="401" spans="3:6" ht="15.75" customHeight="1">
      <c r="C401" s="206"/>
      <c r="D401" s="207"/>
      <c r="E401" s="207"/>
      <c r="F401" s="51"/>
    </row>
    <row r="402" spans="3:6" ht="15.75" customHeight="1">
      <c r="C402" s="206"/>
      <c r="D402" s="207"/>
      <c r="E402" s="207"/>
      <c r="F402" s="51"/>
    </row>
    <row r="403" spans="3:6" ht="15.75" customHeight="1">
      <c r="C403" s="206"/>
      <c r="D403" s="207"/>
      <c r="E403" s="207"/>
      <c r="F403" s="51"/>
    </row>
    <row r="404" spans="3:6" ht="15.75" customHeight="1">
      <c r="C404" s="206"/>
      <c r="D404" s="207"/>
      <c r="E404" s="207"/>
      <c r="F404" s="51"/>
    </row>
    <row r="405" spans="3:6" ht="15.75" customHeight="1">
      <c r="C405" s="206"/>
      <c r="D405" s="207"/>
      <c r="E405" s="207"/>
      <c r="F405" s="51"/>
    </row>
    <row r="406" spans="3:6" ht="15.75" customHeight="1">
      <c r="C406" s="206"/>
      <c r="D406" s="207"/>
      <c r="E406" s="207"/>
      <c r="F406" s="51"/>
    </row>
    <row r="407" spans="3:6" ht="15.75" customHeight="1">
      <c r="C407" s="206"/>
      <c r="D407" s="207"/>
      <c r="E407" s="207"/>
      <c r="F407" s="51"/>
    </row>
    <row r="408" spans="3:6" ht="15.75" customHeight="1">
      <c r="C408" s="206"/>
      <c r="D408" s="207"/>
      <c r="E408" s="207"/>
      <c r="F408" s="51"/>
    </row>
    <row r="409" spans="3:6" ht="15.75" customHeight="1">
      <c r="C409" s="206"/>
      <c r="D409" s="207"/>
      <c r="E409" s="207"/>
      <c r="F409" s="51"/>
    </row>
    <row r="410" spans="3:6" ht="15.75" customHeight="1">
      <c r="C410" s="206"/>
      <c r="D410" s="207"/>
      <c r="E410" s="207"/>
      <c r="F410" s="51"/>
    </row>
    <row r="411" spans="3:6" ht="15.75" customHeight="1">
      <c r="C411" s="206"/>
      <c r="D411" s="207"/>
      <c r="E411" s="207"/>
      <c r="F411" s="51"/>
    </row>
    <row r="412" spans="3:6" ht="15.75" customHeight="1">
      <c r="C412" s="206"/>
      <c r="D412" s="207"/>
      <c r="E412" s="207"/>
      <c r="F412" s="51"/>
    </row>
    <row r="413" spans="3:6" ht="15.75" customHeight="1">
      <c r="C413" s="206"/>
      <c r="D413" s="207"/>
      <c r="E413" s="207"/>
      <c r="F413" s="51"/>
    </row>
    <row r="414" spans="3:6" ht="15.75" customHeight="1">
      <c r="C414" s="206"/>
      <c r="D414" s="207"/>
      <c r="E414" s="207"/>
      <c r="F414" s="51"/>
    </row>
    <row r="415" spans="3:6" ht="15.75" customHeight="1">
      <c r="C415" s="206"/>
      <c r="D415" s="207"/>
      <c r="E415" s="207"/>
      <c r="F415" s="51"/>
    </row>
    <row r="416" spans="3:6" ht="15.75" customHeight="1">
      <c r="C416" s="206"/>
      <c r="D416" s="207"/>
      <c r="E416" s="207"/>
      <c r="F416" s="51"/>
    </row>
    <row r="417" spans="3:6" ht="15.75" customHeight="1">
      <c r="C417" s="206"/>
      <c r="D417" s="207"/>
      <c r="E417" s="207"/>
      <c r="F417" s="51"/>
    </row>
    <row r="418" spans="3:6" ht="15.75" customHeight="1">
      <c r="C418" s="206"/>
      <c r="D418" s="207"/>
      <c r="E418" s="207"/>
      <c r="F418" s="51"/>
    </row>
    <row r="419" spans="3:6" ht="15.75" customHeight="1">
      <c r="C419" s="206"/>
      <c r="D419" s="207"/>
      <c r="E419" s="207"/>
      <c r="F419" s="51"/>
    </row>
    <row r="420" spans="3:6" ht="15.75" customHeight="1">
      <c r="C420" s="206"/>
      <c r="D420" s="207"/>
      <c r="E420" s="207"/>
      <c r="F420" s="51"/>
    </row>
    <row r="421" spans="3:6" ht="15.75" customHeight="1">
      <c r="C421" s="206"/>
      <c r="D421" s="207"/>
      <c r="E421" s="207"/>
      <c r="F421" s="51"/>
    </row>
    <row r="422" spans="3:6" ht="15.75" customHeight="1">
      <c r="C422" s="206"/>
      <c r="D422" s="207"/>
      <c r="E422" s="207"/>
      <c r="F422" s="51"/>
    </row>
    <row r="423" spans="3:6" ht="15.75" customHeight="1">
      <c r="C423" s="206"/>
      <c r="D423" s="207"/>
      <c r="E423" s="207"/>
      <c r="F423" s="51"/>
    </row>
    <row r="424" spans="3:6" ht="15.75" customHeight="1">
      <c r="C424" s="206"/>
      <c r="D424" s="207"/>
      <c r="E424" s="207"/>
      <c r="F424" s="51"/>
    </row>
    <row r="425" spans="3:6" ht="15.75" customHeight="1">
      <c r="C425" s="206"/>
      <c r="D425" s="207"/>
      <c r="E425" s="207"/>
      <c r="F425" s="51"/>
    </row>
    <row r="426" spans="3:6" ht="15.75" customHeight="1">
      <c r="C426" s="206"/>
      <c r="D426" s="207"/>
      <c r="E426" s="207"/>
      <c r="F426" s="51"/>
    </row>
    <row r="427" spans="3:6" ht="15.75" customHeight="1">
      <c r="C427" s="206"/>
      <c r="D427" s="207"/>
      <c r="E427" s="207"/>
      <c r="F427" s="51"/>
    </row>
    <row r="428" spans="3:6" ht="15.75" customHeight="1">
      <c r="C428" s="206"/>
      <c r="D428" s="207"/>
      <c r="E428" s="207"/>
      <c r="F428" s="51"/>
    </row>
    <row r="429" spans="3:6" ht="15.75" customHeight="1">
      <c r="C429" s="206"/>
      <c r="D429" s="207"/>
      <c r="E429" s="207"/>
      <c r="F429" s="51"/>
    </row>
    <row r="430" spans="3:6" ht="15.75" customHeight="1">
      <c r="C430" s="206"/>
      <c r="D430" s="207"/>
      <c r="E430" s="207"/>
      <c r="F430" s="51"/>
    </row>
    <row r="431" spans="3:6" ht="15.75" customHeight="1">
      <c r="C431" s="206"/>
      <c r="D431" s="207"/>
      <c r="E431" s="207"/>
      <c r="F431" s="51"/>
    </row>
    <row r="432" spans="3:6" ht="15.75" customHeight="1">
      <c r="C432" s="206"/>
      <c r="D432" s="207"/>
      <c r="E432" s="207"/>
      <c r="F432" s="51"/>
    </row>
    <row r="433" spans="3:6" ht="15.75" customHeight="1">
      <c r="C433" s="206"/>
      <c r="D433" s="207"/>
      <c r="E433" s="207"/>
      <c r="F433" s="51"/>
    </row>
    <row r="434" spans="3:6" ht="15.75" customHeight="1">
      <c r="C434" s="206"/>
      <c r="D434" s="207"/>
      <c r="E434" s="207"/>
      <c r="F434" s="51"/>
    </row>
    <row r="435" spans="3:6" ht="15.75" customHeight="1">
      <c r="C435" s="206"/>
      <c r="D435" s="207"/>
      <c r="E435" s="207"/>
      <c r="F435" s="51"/>
    </row>
    <row r="436" spans="3:6" ht="15.75" customHeight="1">
      <c r="C436" s="206"/>
      <c r="D436" s="207"/>
      <c r="E436" s="207"/>
      <c r="F436" s="51"/>
    </row>
    <row r="437" spans="3:6" ht="15.75" customHeight="1">
      <c r="C437" s="206"/>
      <c r="D437" s="207"/>
      <c r="E437" s="207"/>
      <c r="F437" s="51"/>
    </row>
    <row r="438" spans="3:6" ht="15.75" customHeight="1">
      <c r="C438" s="206"/>
      <c r="D438" s="207"/>
      <c r="E438" s="207"/>
      <c r="F438" s="51"/>
    </row>
    <row r="439" spans="3:6" ht="15.75" customHeight="1">
      <c r="C439" s="206"/>
      <c r="D439" s="207"/>
      <c r="E439" s="207"/>
      <c r="F439" s="51"/>
    </row>
    <row r="440" spans="3:6" ht="15.75" customHeight="1">
      <c r="C440" s="206"/>
      <c r="D440" s="207"/>
      <c r="E440" s="207"/>
      <c r="F440" s="51"/>
    </row>
    <row r="441" spans="3:6" ht="15.75" customHeight="1">
      <c r="C441" s="206"/>
      <c r="D441" s="207"/>
      <c r="E441" s="207"/>
      <c r="F441" s="51"/>
    </row>
    <row r="442" spans="3:6" ht="15.75" customHeight="1">
      <c r="C442" s="206"/>
      <c r="D442" s="207"/>
      <c r="E442" s="207"/>
      <c r="F442" s="51"/>
    </row>
    <row r="443" spans="3:6" ht="15.75" customHeight="1">
      <c r="C443" s="206"/>
      <c r="D443" s="207"/>
      <c r="E443" s="207"/>
      <c r="F443" s="51"/>
    </row>
    <row r="444" spans="3:6" ht="15.75" customHeight="1">
      <c r="C444" s="206"/>
      <c r="D444" s="207"/>
      <c r="E444" s="207"/>
      <c r="F444" s="51"/>
    </row>
    <row r="445" spans="3:6" ht="15.75" customHeight="1">
      <c r="C445" s="206"/>
      <c r="D445" s="207"/>
      <c r="E445" s="207"/>
      <c r="F445" s="51"/>
    </row>
    <row r="446" spans="3:6" ht="15.75" customHeight="1">
      <c r="C446" s="206"/>
      <c r="D446" s="207"/>
      <c r="E446" s="207"/>
      <c r="F446" s="51"/>
    </row>
    <row r="447" spans="3:6" ht="15.75" customHeight="1">
      <c r="C447" s="206"/>
      <c r="D447" s="207"/>
      <c r="E447" s="207"/>
      <c r="F447" s="51"/>
    </row>
    <row r="448" spans="3:6" ht="15.75" customHeight="1">
      <c r="C448" s="206"/>
      <c r="D448" s="207"/>
      <c r="E448" s="207"/>
      <c r="F448" s="51"/>
    </row>
    <row r="449" spans="3:6" ht="15.75" customHeight="1">
      <c r="C449" s="206"/>
      <c r="D449" s="207"/>
      <c r="E449" s="207"/>
      <c r="F449" s="51"/>
    </row>
    <row r="450" spans="3:6" ht="15.75" customHeight="1">
      <c r="C450" s="206"/>
      <c r="D450" s="207"/>
      <c r="E450" s="207"/>
      <c r="F450" s="51"/>
    </row>
    <row r="451" spans="3:6" ht="15.75" customHeight="1">
      <c r="C451" s="206"/>
      <c r="D451" s="207"/>
      <c r="E451" s="207"/>
      <c r="F451" s="51"/>
    </row>
    <row r="452" spans="3:6" ht="15.75" customHeight="1">
      <c r="C452" s="206"/>
      <c r="D452" s="207"/>
      <c r="E452" s="207"/>
      <c r="F452" s="51"/>
    </row>
    <row r="453" spans="3:6" ht="15.75" customHeight="1">
      <c r="C453" s="206"/>
      <c r="D453" s="207"/>
      <c r="E453" s="207"/>
      <c r="F453" s="51"/>
    </row>
    <row r="454" spans="3:6" ht="15.75" customHeight="1">
      <c r="C454" s="206"/>
      <c r="D454" s="207"/>
      <c r="E454" s="207"/>
      <c r="F454" s="51"/>
    </row>
    <row r="455" spans="3:6" ht="15.75" customHeight="1">
      <c r="C455" s="206"/>
      <c r="D455" s="207"/>
      <c r="E455" s="207"/>
      <c r="F455" s="51"/>
    </row>
    <row r="456" spans="3:6" ht="15.75" customHeight="1">
      <c r="C456" s="206"/>
      <c r="D456" s="207"/>
      <c r="E456" s="207"/>
      <c r="F456" s="51"/>
    </row>
    <row r="457" spans="3:6" ht="15.75" customHeight="1">
      <c r="C457" s="206"/>
      <c r="D457" s="207"/>
      <c r="E457" s="207"/>
      <c r="F457" s="51"/>
    </row>
    <row r="458" spans="3:6" ht="15.75" customHeight="1">
      <c r="C458" s="206"/>
      <c r="D458" s="207"/>
      <c r="E458" s="207"/>
      <c r="F458" s="51"/>
    </row>
    <row r="459" spans="3:6" ht="15.75" customHeight="1">
      <c r="C459" s="206"/>
      <c r="D459" s="207"/>
      <c r="E459" s="207"/>
      <c r="F459" s="51"/>
    </row>
    <row r="460" spans="3:6" ht="15.75" customHeight="1">
      <c r="C460" s="206"/>
      <c r="D460" s="207"/>
      <c r="E460" s="207"/>
      <c r="F460" s="51"/>
    </row>
    <row r="461" spans="3:6" ht="15.75" customHeight="1">
      <c r="C461" s="206"/>
      <c r="D461" s="207"/>
      <c r="E461" s="207"/>
      <c r="F461" s="51"/>
    </row>
    <row r="462" spans="3:6" ht="15.75" customHeight="1">
      <c r="C462" s="206"/>
      <c r="D462" s="207"/>
      <c r="E462" s="207"/>
      <c r="F462" s="51"/>
    </row>
    <row r="463" spans="3:6" ht="15.75" customHeight="1">
      <c r="C463" s="206"/>
      <c r="D463" s="207"/>
      <c r="E463" s="207"/>
      <c r="F463" s="51"/>
    </row>
    <row r="464" spans="3:6" ht="15.75" customHeight="1">
      <c r="C464" s="206"/>
      <c r="D464" s="207"/>
      <c r="E464" s="207"/>
      <c r="F464" s="51"/>
    </row>
    <row r="465" spans="3:6" ht="15.75" customHeight="1">
      <c r="C465" s="206"/>
      <c r="D465" s="207"/>
      <c r="E465" s="207"/>
      <c r="F465" s="51"/>
    </row>
    <row r="466" spans="3:6" ht="15.75" customHeight="1">
      <c r="C466" s="206"/>
      <c r="D466" s="207"/>
      <c r="E466" s="207"/>
      <c r="F466" s="51"/>
    </row>
    <row r="467" spans="3:6" ht="15.75" customHeight="1">
      <c r="C467" s="206"/>
      <c r="D467" s="207"/>
      <c r="E467" s="207"/>
      <c r="F467" s="51"/>
    </row>
    <row r="468" spans="3:6" ht="15.75" customHeight="1">
      <c r="C468" s="206"/>
      <c r="D468" s="207"/>
      <c r="E468" s="207"/>
      <c r="F468" s="51"/>
    </row>
    <row r="469" spans="3:6" ht="15.75" customHeight="1">
      <c r="C469" s="206"/>
      <c r="D469" s="207"/>
      <c r="E469" s="207"/>
      <c r="F469" s="51"/>
    </row>
    <row r="470" spans="3:6" ht="15.75" customHeight="1">
      <c r="C470" s="206"/>
      <c r="D470" s="207"/>
      <c r="E470" s="207"/>
      <c r="F470" s="51"/>
    </row>
    <row r="471" spans="3:6" ht="15.75" customHeight="1">
      <c r="C471" s="206"/>
      <c r="D471" s="207"/>
      <c r="E471" s="207"/>
      <c r="F471" s="51"/>
    </row>
    <row r="472" spans="3:6" ht="15.75" customHeight="1">
      <c r="C472" s="206"/>
      <c r="D472" s="207"/>
      <c r="E472" s="207"/>
      <c r="F472" s="51"/>
    </row>
    <row r="473" spans="3:6" ht="15.75" customHeight="1">
      <c r="C473" s="206"/>
      <c r="D473" s="207"/>
      <c r="E473" s="207"/>
      <c r="F473" s="51"/>
    </row>
    <row r="474" spans="3:6" ht="15.75" customHeight="1">
      <c r="C474" s="206"/>
      <c r="D474" s="207"/>
      <c r="E474" s="207"/>
      <c r="F474" s="51"/>
    </row>
    <row r="475" spans="3:6" ht="15.75" customHeight="1">
      <c r="C475" s="206"/>
      <c r="D475" s="207"/>
      <c r="E475" s="207"/>
      <c r="F475" s="51"/>
    </row>
    <row r="476" spans="3:6" ht="15.75" customHeight="1">
      <c r="C476" s="206"/>
      <c r="D476" s="207"/>
      <c r="E476" s="207"/>
      <c r="F476" s="51"/>
    </row>
    <row r="477" spans="3:6" ht="15.75" customHeight="1">
      <c r="C477" s="206"/>
      <c r="D477" s="207"/>
      <c r="E477" s="207"/>
      <c r="F477" s="51"/>
    </row>
    <row r="478" spans="3:6" ht="15.75" customHeight="1">
      <c r="C478" s="206"/>
      <c r="D478" s="207"/>
      <c r="E478" s="207"/>
      <c r="F478" s="51"/>
    </row>
    <row r="479" spans="3:6" ht="15.75" customHeight="1">
      <c r="C479" s="206"/>
      <c r="D479" s="207"/>
      <c r="E479" s="207"/>
      <c r="F479" s="51"/>
    </row>
    <row r="480" spans="3:6" ht="15.75" customHeight="1">
      <c r="C480" s="206"/>
      <c r="D480" s="207"/>
      <c r="E480" s="207"/>
      <c r="F480" s="51"/>
    </row>
    <row r="481" spans="3:6" ht="15.75" customHeight="1">
      <c r="C481" s="206"/>
      <c r="D481" s="207"/>
      <c r="E481" s="207"/>
      <c r="F481" s="51"/>
    </row>
    <row r="482" spans="3:6" ht="15.75" customHeight="1">
      <c r="C482" s="206"/>
      <c r="D482" s="207"/>
      <c r="E482" s="207"/>
      <c r="F482" s="51"/>
    </row>
    <row r="483" spans="3:6" ht="15.75" customHeight="1">
      <c r="C483" s="206"/>
      <c r="D483" s="207"/>
      <c r="E483" s="207"/>
      <c r="F483" s="51"/>
    </row>
    <row r="484" spans="3:6" ht="15.75" customHeight="1">
      <c r="C484" s="206"/>
      <c r="D484" s="207"/>
      <c r="E484" s="207"/>
      <c r="F484" s="51"/>
    </row>
    <row r="485" spans="3:6" ht="15.75" customHeight="1">
      <c r="C485" s="206"/>
      <c r="D485" s="207"/>
      <c r="E485" s="207"/>
      <c r="F485" s="51"/>
    </row>
    <row r="486" spans="3:6" ht="15.75" customHeight="1">
      <c r="C486" s="206"/>
      <c r="D486" s="207"/>
      <c r="E486" s="207"/>
      <c r="F486" s="51"/>
    </row>
    <row r="487" spans="3:6" ht="15.75" customHeight="1">
      <c r="C487" s="206"/>
      <c r="D487" s="207"/>
      <c r="E487" s="207"/>
      <c r="F487" s="51"/>
    </row>
    <row r="488" spans="3:6" ht="15.75" customHeight="1">
      <c r="C488" s="206"/>
      <c r="D488" s="207"/>
      <c r="E488" s="207"/>
      <c r="F488" s="51"/>
    </row>
    <row r="489" spans="3:6" ht="15.75" customHeight="1">
      <c r="C489" s="206"/>
      <c r="D489" s="207"/>
      <c r="E489" s="207"/>
      <c r="F489" s="51"/>
    </row>
    <row r="490" spans="3:6" ht="15.75" customHeight="1">
      <c r="C490" s="206"/>
      <c r="D490" s="207"/>
      <c r="E490" s="207"/>
      <c r="F490" s="51"/>
    </row>
    <row r="491" spans="3:6" ht="15.75" customHeight="1">
      <c r="C491" s="206"/>
      <c r="D491" s="207"/>
      <c r="E491" s="207"/>
      <c r="F491" s="51"/>
    </row>
    <row r="492" spans="3:6" ht="15.75" customHeight="1">
      <c r="C492" s="206"/>
      <c r="D492" s="207"/>
      <c r="E492" s="207"/>
      <c r="F492" s="51"/>
    </row>
    <row r="493" spans="3:6" ht="15.75" customHeight="1">
      <c r="C493" s="206"/>
      <c r="D493" s="207"/>
      <c r="E493" s="207"/>
      <c r="F493" s="51"/>
    </row>
    <row r="494" spans="3:6" ht="15.75" customHeight="1">
      <c r="C494" s="206"/>
      <c r="D494" s="207"/>
      <c r="E494" s="207"/>
      <c r="F494" s="51"/>
    </row>
    <row r="495" spans="3:6" ht="15.75" customHeight="1">
      <c r="C495" s="206"/>
      <c r="D495" s="207"/>
      <c r="E495" s="207"/>
      <c r="F495" s="51"/>
    </row>
    <row r="496" spans="3:6" ht="15.75" customHeight="1">
      <c r="C496" s="206"/>
      <c r="D496" s="207"/>
      <c r="E496" s="207"/>
      <c r="F496" s="51"/>
    </row>
    <row r="497" spans="3:6" ht="15.75" customHeight="1">
      <c r="C497" s="206"/>
      <c r="D497" s="207"/>
      <c r="E497" s="207"/>
      <c r="F497" s="51"/>
    </row>
    <row r="498" spans="3:6" ht="15.75" customHeight="1">
      <c r="C498" s="206"/>
      <c r="D498" s="207"/>
      <c r="E498" s="207"/>
      <c r="F498" s="51"/>
    </row>
    <row r="499" spans="3:6" ht="15.75" customHeight="1">
      <c r="C499" s="206"/>
      <c r="D499" s="207"/>
      <c r="E499" s="207"/>
      <c r="F499" s="51"/>
    </row>
    <row r="500" spans="3:6" ht="15.75" customHeight="1">
      <c r="C500" s="206"/>
      <c r="D500" s="207"/>
      <c r="E500" s="207"/>
      <c r="F500" s="51"/>
    </row>
    <row r="501" spans="3:6" ht="15.75" customHeight="1">
      <c r="C501" s="206"/>
      <c r="D501" s="207"/>
      <c r="E501" s="207"/>
      <c r="F501" s="51"/>
    </row>
    <row r="502" spans="3:6" ht="15.75" customHeight="1">
      <c r="C502" s="206"/>
      <c r="D502" s="207"/>
      <c r="E502" s="207"/>
      <c r="F502" s="51"/>
    </row>
    <row r="503" spans="3:6" ht="15.75" customHeight="1">
      <c r="C503" s="206"/>
      <c r="D503" s="207"/>
      <c r="E503" s="207"/>
      <c r="F503" s="51"/>
    </row>
    <row r="504" spans="3:6" ht="15.75" customHeight="1">
      <c r="C504" s="206"/>
      <c r="D504" s="207"/>
      <c r="E504" s="207"/>
      <c r="F504" s="51"/>
    </row>
    <row r="505" spans="3:6" ht="15.75" customHeight="1">
      <c r="C505" s="206"/>
      <c r="D505" s="207"/>
      <c r="E505" s="207"/>
      <c r="F505" s="51"/>
    </row>
    <row r="506" spans="3:6" ht="15.75" customHeight="1">
      <c r="C506" s="206"/>
      <c r="D506" s="207"/>
      <c r="E506" s="207"/>
      <c r="F506" s="51"/>
    </row>
    <row r="507" spans="3:6" ht="15.75" customHeight="1">
      <c r="C507" s="206"/>
      <c r="D507" s="207"/>
      <c r="E507" s="207"/>
      <c r="F507" s="51"/>
    </row>
    <row r="508" spans="3:6" ht="15.75" customHeight="1">
      <c r="C508" s="206"/>
      <c r="D508" s="207"/>
      <c r="E508" s="207"/>
      <c r="F508" s="51"/>
    </row>
    <row r="509" spans="3:6" ht="15.75" customHeight="1">
      <c r="C509" s="206"/>
      <c r="D509" s="207"/>
      <c r="E509" s="207"/>
      <c r="F509" s="51"/>
    </row>
    <row r="510" spans="3:6" ht="15.75" customHeight="1">
      <c r="C510" s="206"/>
      <c r="D510" s="207"/>
      <c r="E510" s="207"/>
      <c r="F510" s="51"/>
    </row>
    <row r="511" spans="3:6" ht="15.75" customHeight="1">
      <c r="C511" s="206"/>
      <c r="D511" s="207"/>
      <c r="E511" s="207"/>
      <c r="F511" s="51"/>
    </row>
    <row r="512" spans="3:6" ht="15.75" customHeight="1">
      <c r="C512" s="206"/>
      <c r="D512" s="207"/>
      <c r="E512" s="207"/>
      <c r="F512" s="51"/>
    </row>
    <row r="513" spans="3:6" ht="15.75" customHeight="1">
      <c r="C513" s="206"/>
      <c r="D513" s="207"/>
      <c r="E513" s="207"/>
      <c r="F513" s="51"/>
    </row>
    <row r="514" spans="3:6" ht="15.75" customHeight="1">
      <c r="C514" s="206"/>
      <c r="D514" s="207"/>
      <c r="E514" s="207"/>
      <c r="F514" s="51"/>
    </row>
    <row r="515" spans="3:6" ht="15.75" customHeight="1">
      <c r="C515" s="206"/>
      <c r="D515" s="207"/>
      <c r="E515" s="207"/>
      <c r="F515" s="51"/>
    </row>
    <row r="516" spans="3:6" ht="15.75" customHeight="1">
      <c r="C516" s="206"/>
      <c r="D516" s="207"/>
      <c r="E516" s="207"/>
      <c r="F516" s="51"/>
    </row>
    <row r="517" spans="3:6" ht="15.75" customHeight="1">
      <c r="C517" s="206"/>
      <c r="D517" s="207"/>
      <c r="E517" s="207"/>
      <c r="F517" s="51"/>
    </row>
    <row r="518" spans="3:6" ht="15.75" customHeight="1">
      <c r="C518" s="206"/>
      <c r="D518" s="207"/>
      <c r="E518" s="207"/>
      <c r="F518" s="51"/>
    </row>
    <row r="519" spans="3:6" ht="15.75" customHeight="1">
      <c r="C519" s="206"/>
      <c r="D519" s="207"/>
      <c r="E519" s="207"/>
      <c r="F519" s="51"/>
    </row>
    <row r="520" spans="3:6" ht="15.75" customHeight="1">
      <c r="C520" s="206"/>
      <c r="D520" s="207"/>
      <c r="E520" s="207"/>
      <c r="F520" s="51"/>
    </row>
    <row r="521" spans="3:6" ht="15.75" customHeight="1">
      <c r="C521" s="206"/>
      <c r="D521" s="207"/>
      <c r="E521" s="207"/>
      <c r="F521" s="51"/>
    </row>
    <row r="522" spans="3:6" ht="15.75" customHeight="1">
      <c r="C522" s="206"/>
      <c r="D522" s="207"/>
      <c r="E522" s="207"/>
      <c r="F522" s="51"/>
    </row>
    <row r="523" spans="3:6" ht="15.75" customHeight="1">
      <c r="C523" s="206"/>
      <c r="D523" s="207"/>
      <c r="E523" s="207"/>
      <c r="F523" s="51"/>
    </row>
    <row r="524" spans="3:6" ht="15.75" customHeight="1">
      <c r="C524" s="206"/>
      <c r="D524" s="207"/>
      <c r="E524" s="207"/>
      <c r="F524" s="51"/>
    </row>
    <row r="525" spans="3:6" ht="15.75" customHeight="1">
      <c r="C525" s="206"/>
      <c r="D525" s="207"/>
      <c r="E525" s="207"/>
      <c r="F525" s="51"/>
    </row>
    <row r="526" spans="3:6" ht="15.75" customHeight="1">
      <c r="C526" s="206"/>
      <c r="D526" s="207"/>
      <c r="E526" s="207"/>
      <c r="F526" s="51"/>
    </row>
    <row r="527" spans="3:6" ht="15.75" customHeight="1">
      <c r="C527" s="206"/>
      <c r="D527" s="207"/>
      <c r="E527" s="207"/>
      <c r="F527" s="51"/>
    </row>
    <row r="528" spans="3:6" ht="15.75" customHeight="1">
      <c r="C528" s="206"/>
      <c r="D528" s="207"/>
      <c r="E528" s="207"/>
      <c r="F528" s="51"/>
    </row>
    <row r="529" spans="3:6" ht="15.75" customHeight="1">
      <c r="C529" s="206"/>
      <c r="D529" s="207"/>
      <c r="E529" s="207"/>
      <c r="F529" s="51"/>
    </row>
    <row r="530" spans="3:6" ht="15.75" customHeight="1">
      <c r="C530" s="206"/>
      <c r="D530" s="207"/>
      <c r="E530" s="207"/>
      <c r="F530" s="51"/>
    </row>
    <row r="531" spans="3:6" ht="15.75" customHeight="1">
      <c r="C531" s="206"/>
      <c r="D531" s="207"/>
      <c r="E531" s="207"/>
      <c r="F531" s="51"/>
    </row>
    <row r="532" spans="3:6" ht="15.75" customHeight="1">
      <c r="C532" s="206"/>
      <c r="D532" s="207"/>
      <c r="E532" s="207"/>
      <c r="F532" s="51"/>
    </row>
    <row r="533" spans="3:6" ht="15.75" customHeight="1">
      <c r="C533" s="206"/>
      <c r="D533" s="207"/>
      <c r="E533" s="207"/>
      <c r="F533" s="51"/>
    </row>
    <row r="534" spans="3:6" ht="15.75" customHeight="1">
      <c r="C534" s="206"/>
      <c r="D534" s="207"/>
      <c r="E534" s="207"/>
      <c r="F534" s="51"/>
    </row>
    <row r="535" spans="3:6" ht="15.75" customHeight="1">
      <c r="C535" s="206"/>
      <c r="D535" s="207"/>
      <c r="E535" s="207"/>
      <c r="F535" s="51"/>
    </row>
    <row r="536" spans="3:6" ht="15.75" customHeight="1">
      <c r="C536" s="206"/>
      <c r="D536" s="207"/>
      <c r="E536" s="207"/>
      <c r="F536" s="51"/>
    </row>
    <row r="537" spans="3:6" ht="15.75" customHeight="1">
      <c r="C537" s="206"/>
      <c r="D537" s="207"/>
      <c r="E537" s="207"/>
      <c r="F537" s="51"/>
    </row>
    <row r="538" spans="3:6" ht="15.75" customHeight="1">
      <c r="C538" s="206"/>
      <c r="D538" s="207"/>
      <c r="E538" s="207"/>
      <c r="F538" s="51"/>
    </row>
    <row r="539" spans="3:6" ht="15.75" customHeight="1">
      <c r="C539" s="206"/>
      <c r="D539" s="207"/>
      <c r="E539" s="207"/>
      <c r="F539" s="51"/>
    </row>
    <row r="540" spans="3:6" ht="15.75" customHeight="1">
      <c r="C540" s="206"/>
      <c r="D540" s="207"/>
      <c r="E540" s="207"/>
      <c r="F540" s="51"/>
    </row>
    <row r="541" spans="3:6" ht="15.75" customHeight="1">
      <c r="C541" s="206"/>
      <c r="D541" s="207"/>
      <c r="E541" s="207"/>
      <c r="F541" s="51"/>
    </row>
    <row r="542" spans="3:6" ht="15.75" customHeight="1">
      <c r="C542" s="206"/>
      <c r="D542" s="207"/>
      <c r="E542" s="207"/>
      <c r="F542" s="51"/>
    </row>
    <row r="543" spans="3:6" ht="15.75" customHeight="1">
      <c r="C543" s="206"/>
      <c r="D543" s="207"/>
      <c r="E543" s="207"/>
      <c r="F543" s="51"/>
    </row>
    <row r="544" spans="3:6" ht="15.75" customHeight="1">
      <c r="C544" s="206"/>
      <c r="D544" s="207"/>
      <c r="E544" s="207"/>
      <c r="F544" s="51"/>
    </row>
    <row r="545" spans="3:6" ht="15.75" customHeight="1">
      <c r="C545" s="206"/>
      <c r="D545" s="207"/>
      <c r="E545" s="207"/>
      <c r="F545" s="51"/>
    </row>
    <row r="546" spans="3:6" ht="15.75" customHeight="1">
      <c r="C546" s="206"/>
      <c r="D546" s="207"/>
      <c r="E546" s="207"/>
      <c r="F546" s="51"/>
    </row>
    <row r="547" spans="3:6" ht="15.75" customHeight="1">
      <c r="C547" s="206"/>
      <c r="D547" s="207"/>
      <c r="E547" s="207"/>
      <c r="F547" s="51"/>
    </row>
    <row r="548" spans="3:6" ht="15.75" customHeight="1">
      <c r="C548" s="206"/>
      <c r="D548" s="207"/>
      <c r="E548" s="207"/>
      <c r="F548" s="51"/>
    </row>
    <row r="549" spans="3:6" ht="15.75" customHeight="1">
      <c r="C549" s="206"/>
      <c r="D549" s="207"/>
      <c r="E549" s="207"/>
      <c r="F549" s="51"/>
    </row>
    <row r="550" spans="3:6" ht="15.75" customHeight="1">
      <c r="C550" s="206"/>
      <c r="D550" s="207"/>
      <c r="E550" s="207"/>
      <c r="F550" s="51"/>
    </row>
    <row r="551" spans="3:6" ht="15.75" customHeight="1">
      <c r="C551" s="206"/>
      <c r="D551" s="207"/>
      <c r="E551" s="207"/>
      <c r="F551" s="51"/>
    </row>
    <row r="552" spans="3:6" ht="15.75" customHeight="1">
      <c r="C552" s="206"/>
      <c r="D552" s="207"/>
      <c r="E552" s="207"/>
      <c r="F552" s="51"/>
    </row>
    <row r="553" spans="3:6" ht="15.75" customHeight="1">
      <c r="C553" s="206"/>
      <c r="D553" s="207"/>
      <c r="E553" s="207"/>
      <c r="F553" s="51"/>
    </row>
    <row r="554" spans="3:6" ht="15.75" customHeight="1">
      <c r="C554" s="206"/>
      <c r="D554" s="207"/>
      <c r="E554" s="207"/>
      <c r="F554" s="51"/>
    </row>
    <row r="555" spans="3:6" ht="15.75" customHeight="1">
      <c r="C555" s="206"/>
      <c r="D555" s="207"/>
      <c r="E555" s="207"/>
      <c r="F555" s="51"/>
    </row>
    <row r="556" spans="3:6" ht="15.75" customHeight="1">
      <c r="C556" s="206"/>
      <c r="D556" s="207"/>
      <c r="E556" s="207"/>
      <c r="F556" s="51"/>
    </row>
    <row r="557" spans="3:6" ht="15.75" customHeight="1">
      <c r="C557" s="206"/>
      <c r="D557" s="207"/>
      <c r="E557" s="207"/>
      <c r="F557" s="51"/>
    </row>
    <row r="558" spans="3:6" ht="15.75" customHeight="1">
      <c r="C558" s="206"/>
      <c r="D558" s="207"/>
      <c r="E558" s="207"/>
      <c r="F558" s="51"/>
    </row>
    <row r="559" spans="3:6" ht="15.75" customHeight="1">
      <c r="C559" s="206"/>
      <c r="D559" s="207"/>
      <c r="E559" s="207"/>
      <c r="F559" s="51"/>
    </row>
    <row r="560" spans="3:6" ht="15.75" customHeight="1">
      <c r="C560" s="206"/>
      <c r="D560" s="207"/>
      <c r="E560" s="207"/>
      <c r="F560" s="51"/>
    </row>
    <row r="561" spans="3:6" ht="15.75" customHeight="1">
      <c r="C561" s="206"/>
      <c r="D561" s="207"/>
      <c r="E561" s="207"/>
      <c r="F561" s="51"/>
    </row>
    <row r="562" spans="3:6" ht="15.75" customHeight="1">
      <c r="C562" s="206"/>
      <c r="D562" s="207"/>
      <c r="E562" s="207"/>
      <c r="F562" s="51"/>
    </row>
    <row r="563" spans="3:6" ht="15.75" customHeight="1">
      <c r="C563" s="206"/>
      <c r="D563" s="207"/>
      <c r="E563" s="207"/>
      <c r="F563" s="51"/>
    </row>
    <row r="564" spans="3:6" ht="15.75" customHeight="1">
      <c r="C564" s="206"/>
      <c r="D564" s="207"/>
      <c r="E564" s="207"/>
      <c r="F564" s="51"/>
    </row>
    <row r="565" spans="3:6" ht="15.75" customHeight="1">
      <c r="C565" s="206"/>
      <c r="D565" s="207"/>
      <c r="E565" s="207"/>
      <c r="F565" s="51"/>
    </row>
    <row r="566" spans="3:6" ht="15.75" customHeight="1">
      <c r="C566" s="206"/>
      <c r="D566" s="207"/>
      <c r="E566" s="207"/>
      <c r="F566" s="51"/>
    </row>
    <row r="567" spans="3:6" ht="15.75" customHeight="1">
      <c r="C567" s="206"/>
      <c r="D567" s="207"/>
      <c r="E567" s="207"/>
      <c r="F567" s="51"/>
    </row>
    <row r="568" spans="3:6" ht="15.75" customHeight="1">
      <c r="C568" s="206"/>
      <c r="D568" s="207"/>
      <c r="E568" s="207"/>
      <c r="F568" s="51"/>
    </row>
    <row r="569" spans="3:6" ht="15.75" customHeight="1">
      <c r="C569" s="206"/>
      <c r="D569" s="207"/>
      <c r="E569" s="207"/>
      <c r="F569" s="51"/>
    </row>
    <row r="570" spans="3:6" ht="15.75" customHeight="1">
      <c r="C570" s="206"/>
      <c r="D570" s="207"/>
      <c r="E570" s="207"/>
      <c r="F570" s="51"/>
    </row>
    <row r="571" spans="3:6" ht="15.75" customHeight="1">
      <c r="C571" s="206"/>
      <c r="D571" s="207"/>
      <c r="E571" s="207"/>
      <c r="F571" s="51"/>
    </row>
    <row r="572" spans="3:6" ht="15.75" customHeight="1">
      <c r="C572" s="206"/>
      <c r="D572" s="207"/>
      <c r="E572" s="207"/>
      <c r="F572" s="51"/>
    </row>
    <row r="573" spans="3:6" ht="15.75" customHeight="1">
      <c r="C573" s="206"/>
      <c r="D573" s="207"/>
      <c r="E573" s="207"/>
      <c r="F573" s="51"/>
    </row>
    <row r="574" spans="3:6" ht="15.75" customHeight="1">
      <c r="C574" s="206"/>
      <c r="D574" s="207"/>
      <c r="E574" s="207"/>
      <c r="F574" s="51"/>
    </row>
    <row r="575" spans="3:6" ht="15.75" customHeight="1">
      <c r="C575" s="206"/>
      <c r="D575" s="207"/>
      <c r="E575" s="207"/>
      <c r="F575" s="51"/>
    </row>
    <row r="576" spans="3:6" ht="15.75" customHeight="1">
      <c r="C576" s="206"/>
      <c r="D576" s="207"/>
      <c r="E576" s="207"/>
      <c r="F576" s="51"/>
    </row>
    <row r="577" spans="3:6" ht="15.75" customHeight="1">
      <c r="C577" s="206"/>
      <c r="D577" s="207"/>
      <c r="E577" s="207"/>
      <c r="F577" s="51"/>
    </row>
    <row r="578" spans="3:6" ht="15.75" customHeight="1">
      <c r="C578" s="206"/>
      <c r="D578" s="207"/>
      <c r="E578" s="207"/>
      <c r="F578" s="51"/>
    </row>
    <row r="579" spans="3:6" ht="15.75" customHeight="1">
      <c r="C579" s="206"/>
      <c r="D579" s="207"/>
      <c r="E579" s="207"/>
      <c r="F579" s="51"/>
    </row>
    <row r="580" spans="3:6" ht="15.75" customHeight="1">
      <c r="C580" s="206"/>
      <c r="D580" s="207"/>
      <c r="E580" s="207"/>
      <c r="F580" s="51"/>
    </row>
    <row r="581" spans="3:6" ht="15.75" customHeight="1">
      <c r="C581" s="206"/>
      <c r="D581" s="207"/>
      <c r="E581" s="207"/>
      <c r="F581" s="51"/>
    </row>
    <row r="582" spans="3:6" ht="15.75" customHeight="1">
      <c r="C582" s="206"/>
      <c r="D582" s="207"/>
      <c r="E582" s="207"/>
      <c r="F582" s="51"/>
    </row>
    <row r="583" spans="3:6" ht="15.75" customHeight="1">
      <c r="C583" s="206"/>
      <c r="D583" s="207"/>
      <c r="E583" s="207"/>
      <c r="F583" s="51"/>
    </row>
    <row r="584" spans="3:6" ht="15.75" customHeight="1">
      <c r="C584" s="206"/>
      <c r="D584" s="207"/>
      <c r="E584" s="207"/>
      <c r="F584" s="51"/>
    </row>
    <row r="585" spans="3:6" ht="15.75" customHeight="1">
      <c r="C585" s="206"/>
      <c r="D585" s="207"/>
      <c r="E585" s="207"/>
      <c r="F585" s="51"/>
    </row>
    <row r="586" spans="3:6" ht="15.75" customHeight="1">
      <c r="C586" s="206"/>
      <c r="D586" s="207"/>
      <c r="E586" s="207"/>
      <c r="F586" s="51"/>
    </row>
    <row r="587" spans="3:6" ht="15.75" customHeight="1">
      <c r="C587" s="206"/>
      <c r="D587" s="207"/>
      <c r="E587" s="207"/>
      <c r="F587" s="51"/>
    </row>
    <row r="588" spans="3:6" ht="15.75" customHeight="1">
      <c r="C588" s="206"/>
      <c r="D588" s="207"/>
      <c r="E588" s="207"/>
      <c r="F588" s="51"/>
    </row>
    <row r="589" spans="3:6" ht="15.75" customHeight="1">
      <c r="C589" s="206"/>
      <c r="D589" s="207"/>
      <c r="E589" s="207"/>
      <c r="F589" s="51"/>
    </row>
    <row r="590" spans="3:6" ht="15.75" customHeight="1">
      <c r="C590" s="206"/>
      <c r="D590" s="207"/>
      <c r="E590" s="207"/>
      <c r="F590" s="51"/>
    </row>
    <row r="591" spans="3:6" ht="15.75" customHeight="1">
      <c r="C591" s="206"/>
      <c r="D591" s="207"/>
      <c r="E591" s="207"/>
      <c r="F591" s="51"/>
    </row>
    <row r="592" spans="3:6" ht="15.75" customHeight="1">
      <c r="C592" s="206"/>
      <c r="D592" s="207"/>
      <c r="E592" s="207"/>
      <c r="F592" s="51"/>
    </row>
    <row r="593" spans="3:6" ht="15.75" customHeight="1">
      <c r="C593" s="206"/>
      <c r="D593" s="207"/>
      <c r="E593" s="207"/>
      <c r="F593" s="51"/>
    </row>
    <row r="594" spans="3:6" ht="15.75" customHeight="1">
      <c r="C594" s="206"/>
      <c r="D594" s="207"/>
      <c r="E594" s="207"/>
      <c r="F594" s="51"/>
    </row>
    <row r="595" spans="3:6" ht="15.75" customHeight="1">
      <c r="C595" s="206"/>
      <c r="D595" s="207"/>
      <c r="E595" s="207"/>
      <c r="F595" s="51"/>
    </row>
    <row r="596" spans="3:6" ht="15.75" customHeight="1">
      <c r="C596" s="206"/>
      <c r="D596" s="207"/>
      <c r="E596" s="207"/>
      <c r="F596" s="51"/>
    </row>
    <row r="597" spans="3:6" ht="15.75" customHeight="1">
      <c r="C597" s="206"/>
      <c r="D597" s="207"/>
      <c r="E597" s="207"/>
      <c r="F597" s="51"/>
    </row>
    <row r="598" spans="3:6" ht="15.75" customHeight="1">
      <c r="C598" s="206"/>
      <c r="D598" s="207"/>
      <c r="E598" s="207"/>
      <c r="F598" s="51"/>
    </row>
    <row r="599" spans="3:6" ht="15.75" customHeight="1">
      <c r="C599" s="206"/>
      <c r="D599" s="207"/>
      <c r="E599" s="207"/>
      <c r="F599" s="51"/>
    </row>
    <row r="600" spans="3:6" ht="15.75" customHeight="1">
      <c r="C600" s="206"/>
      <c r="D600" s="207"/>
      <c r="E600" s="207"/>
      <c r="F600" s="51"/>
    </row>
    <row r="601" spans="3:6" ht="15.75" customHeight="1">
      <c r="C601" s="206"/>
      <c r="D601" s="207"/>
      <c r="E601" s="207"/>
      <c r="F601" s="51"/>
    </row>
    <row r="602" spans="3:6" ht="15.75" customHeight="1">
      <c r="C602" s="206"/>
      <c r="D602" s="207"/>
      <c r="E602" s="207"/>
      <c r="F602" s="51"/>
    </row>
    <row r="603" spans="3:6" ht="15.75" customHeight="1">
      <c r="C603" s="206"/>
      <c r="D603" s="207"/>
      <c r="E603" s="207"/>
      <c r="F603" s="51"/>
    </row>
    <row r="604" spans="3:6" ht="15.75" customHeight="1">
      <c r="C604" s="206"/>
      <c r="D604" s="207"/>
      <c r="E604" s="207"/>
      <c r="F604" s="51"/>
    </row>
    <row r="605" spans="3:6" ht="15.75" customHeight="1">
      <c r="C605" s="206"/>
      <c r="D605" s="207"/>
      <c r="E605" s="207"/>
      <c r="F605" s="51"/>
    </row>
    <row r="606" spans="3:6" ht="15.75" customHeight="1">
      <c r="C606" s="206"/>
      <c r="D606" s="207"/>
      <c r="E606" s="207"/>
      <c r="F606" s="51"/>
    </row>
    <row r="607" spans="3:6" ht="15.75" customHeight="1">
      <c r="C607" s="206"/>
      <c r="D607" s="207"/>
      <c r="E607" s="207"/>
      <c r="F607" s="51"/>
    </row>
    <row r="608" spans="3:6" ht="15.75" customHeight="1">
      <c r="C608" s="206"/>
      <c r="D608" s="207"/>
      <c r="E608" s="207"/>
      <c r="F608" s="51"/>
    </row>
    <row r="609" spans="3:6" ht="15.75" customHeight="1">
      <c r="C609" s="206"/>
      <c r="D609" s="207"/>
      <c r="E609" s="207"/>
      <c r="F609" s="51"/>
    </row>
    <row r="610" spans="3:6" ht="15.75" customHeight="1">
      <c r="C610" s="206"/>
      <c r="D610" s="207"/>
      <c r="E610" s="207"/>
      <c r="F610" s="51"/>
    </row>
    <row r="611" spans="3:6" ht="15.75" customHeight="1">
      <c r="C611" s="206"/>
      <c r="D611" s="207"/>
      <c r="E611" s="207"/>
      <c r="F611" s="51"/>
    </row>
    <row r="612" spans="3:6" ht="15.75" customHeight="1">
      <c r="C612" s="206"/>
      <c r="D612" s="207"/>
      <c r="E612" s="207"/>
      <c r="F612" s="51"/>
    </row>
    <row r="613" spans="3:6" ht="15.75" customHeight="1">
      <c r="C613" s="206"/>
      <c r="D613" s="207"/>
      <c r="E613" s="207"/>
      <c r="F613" s="51"/>
    </row>
    <row r="614" spans="3:6" ht="15.75" customHeight="1">
      <c r="C614" s="206"/>
      <c r="D614" s="207"/>
      <c r="E614" s="207"/>
      <c r="F614" s="51"/>
    </row>
    <row r="615" spans="3:6" ht="15.75" customHeight="1">
      <c r="C615" s="206"/>
      <c r="D615" s="207"/>
      <c r="E615" s="207"/>
      <c r="F615" s="51"/>
    </row>
    <row r="616" spans="3:6" ht="15.75" customHeight="1">
      <c r="C616" s="206"/>
      <c r="D616" s="207"/>
      <c r="E616" s="207"/>
      <c r="F616" s="51"/>
    </row>
    <row r="617" spans="3:6" ht="15.75" customHeight="1">
      <c r="C617" s="206"/>
      <c r="D617" s="207"/>
      <c r="E617" s="207"/>
      <c r="F617" s="51"/>
    </row>
    <row r="618" spans="3:6" ht="15.75" customHeight="1">
      <c r="C618" s="206"/>
      <c r="D618" s="207"/>
      <c r="E618" s="207"/>
      <c r="F618" s="51"/>
    </row>
    <row r="619" spans="3:6" ht="15.75" customHeight="1">
      <c r="C619" s="206"/>
      <c r="D619" s="207"/>
      <c r="E619" s="207"/>
      <c r="F619" s="51"/>
    </row>
    <row r="620" spans="3:6" ht="15.75" customHeight="1">
      <c r="C620" s="206"/>
      <c r="D620" s="207"/>
      <c r="E620" s="207"/>
      <c r="F620" s="51"/>
    </row>
    <row r="621" spans="3:6" ht="15.75" customHeight="1">
      <c r="C621" s="206"/>
      <c r="D621" s="207"/>
      <c r="E621" s="207"/>
      <c r="F621" s="51"/>
    </row>
    <row r="622" spans="3:6" ht="15.75" customHeight="1">
      <c r="C622" s="206"/>
      <c r="D622" s="207"/>
      <c r="E622" s="207"/>
      <c r="F622" s="51"/>
    </row>
    <row r="623" spans="3:6" ht="15.75" customHeight="1">
      <c r="C623" s="206"/>
      <c r="D623" s="207"/>
      <c r="E623" s="207"/>
      <c r="F623" s="51"/>
    </row>
    <row r="624" spans="3:6" ht="15.75" customHeight="1">
      <c r="C624" s="206"/>
      <c r="D624" s="207"/>
      <c r="E624" s="207"/>
      <c r="F624" s="51"/>
    </row>
    <row r="625" spans="3:6" ht="15.75" customHeight="1">
      <c r="C625" s="206"/>
      <c r="D625" s="207"/>
      <c r="E625" s="207"/>
      <c r="F625" s="51"/>
    </row>
    <row r="626" spans="3:6" ht="15.75" customHeight="1">
      <c r="C626" s="206"/>
      <c r="D626" s="207"/>
      <c r="E626" s="207"/>
      <c r="F626" s="51"/>
    </row>
    <row r="627" spans="3:6" ht="15.75" customHeight="1">
      <c r="C627" s="206"/>
      <c r="D627" s="207"/>
      <c r="E627" s="207"/>
      <c r="F627" s="51"/>
    </row>
    <row r="628" spans="3:6" ht="15.75" customHeight="1">
      <c r="C628" s="206"/>
      <c r="D628" s="207"/>
      <c r="E628" s="207"/>
      <c r="F628" s="51"/>
    </row>
    <row r="629" spans="3:6" ht="15.75" customHeight="1">
      <c r="C629" s="206"/>
      <c r="D629" s="207"/>
      <c r="E629" s="207"/>
      <c r="F629" s="51"/>
    </row>
    <row r="630" spans="3:6" ht="15.75" customHeight="1">
      <c r="C630" s="206"/>
      <c r="D630" s="207"/>
      <c r="E630" s="207"/>
      <c r="F630" s="51"/>
    </row>
    <row r="631" spans="3:6" ht="15.75" customHeight="1">
      <c r="C631" s="206"/>
      <c r="D631" s="207"/>
      <c r="E631" s="207"/>
      <c r="F631" s="51"/>
    </row>
    <row r="632" spans="3:6" ht="15.75" customHeight="1">
      <c r="C632" s="206"/>
      <c r="D632" s="207"/>
      <c r="E632" s="207"/>
      <c r="F632" s="51"/>
    </row>
    <row r="633" spans="3:6" ht="15.75" customHeight="1">
      <c r="C633" s="206"/>
      <c r="D633" s="207"/>
      <c r="E633" s="207"/>
      <c r="F633" s="51"/>
    </row>
    <row r="634" spans="3:6" ht="15.75" customHeight="1">
      <c r="C634" s="206"/>
      <c r="D634" s="207"/>
      <c r="E634" s="207"/>
      <c r="F634" s="51"/>
    </row>
    <row r="635" spans="3:6" ht="15.75" customHeight="1">
      <c r="C635" s="206"/>
      <c r="D635" s="207"/>
      <c r="E635" s="207"/>
      <c r="F635" s="51"/>
    </row>
    <row r="636" spans="3:6" ht="15.75" customHeight="1">
      <c r="C636" s="206"/>
      <c r="D636" s="207"/>
      <c r="E636" s="207"/>
      <c r="F636" s="51"/>
    </row>
    <row r="637" spans="3:6" ht="15.75" customHeight="1">
      <c r="C637" s="206"/>
      <c r="D637" s="207"/>
      <c r="E637" s="207"/>
      <c r="F637" s="51"/>
    </row>
    <row r="638" spans="3:6" ht="15.75" customHeight="1">
      <c r="C638" s="206"/>
      <c r="D638" s="207"/>
      <c r="E638" s="207"/>
      <c r="F638" s="51"/>
    </row>
    <row r="639" spans="3:6" ht="15.75" customHeight="1">
      <c r="C639" s="206"/>
      <c r="D639" s="207"/>
      <c r="E639" s="207"/>
      <c r="F639" s="51"/>
    </row>
    <row r="640" spans="3:6" ht="15.75" customHeight="1">
      <c r="C640" s="206"/>
      <c r="D640" s="207"/>
      <c r="E640" s="207"/>
      <c r="F640" s="51"/>
    </row>
    <row r="641" spans="3:6" ht="15.75" customHeight="1">
      <c r="C641" s="206"/>
      <c r="D641" s="207"/>
      <c r="E641" s="207"/>
      <c r="F641" s="51"/>
    </row>
    <row r="642" spans="3:6" ht="15.75" customHeight="1">
      <c r="C642" s="206"/>
      <c r="D642" s="207"/>
      <c r="E642" s="207"/>
      <c r="F642" s="51"/>
    </row>
    <row r="643" spans="3:6" ht="15.75" customHeight="1">
      <c r="C643" s="206"/>
      <c r="D643" s="207"/>
      <c r="E643" s="207"/>
      <c r="F643" s="51"/>
    </row>
    <row r="644" spans="3:6" ht="15.75" customHeight="1">
      <c r="C644" s="206"/>
      <c r="D644" s="207"/>
      <c r="E644" s="207"/>
      <c r="F644" s="51"/>
    </row>
    <row r="645" spans="3:6" ht="15.75" customHeight="1">
      <c r="C645" s="206"/>
      <c r="D645" s="207"/>
      <c r="E645" s="207"/>
      <c r="F645" s="51"/>
    </row>
    <row r="646" spans="3:6" ht="15.75" customHeight="1">
      <c r="C646" s="206"/>
      <c r="D646" s="207"/>
      <c r="E646" s="207"/>
      <c r="F646" s="51"/>
    </row>
    <row r="647" spans="3:6" ht="15.75" customHeight="1">
      <c r="C647" s="206"/>
      <c r="D647" s="207"/>
      <c r="E647" s="207"/>
      <c r="F647" s="51"/>
    </row>
    <row r="648" spans="3:6" ht="15.75" customHeight="1">
      <c r="C648" s="206"/>
      <c r="D648" s="207"/>
      <c r="E648" s="207"/>
      <c r="F648" s="51"/>
    </row>
    <row r="649" spans="3:6" ht="15.75" customHeight="1">
      <c r="C649" s="206"/>
      <c r="D649" s="207"/>
      <c r="E649" s="207"/>
      <c r="F649" s="51"/>
    </row>
    <row r="650" spans="3:6" ht="15.75" customHeight="1">
      <c r="C650" s="206"/>
      <c r="D650" s="207"/>
      <c r="E650" s="207"/>
      <c r="F650" s="51"/>
    </row>
    <row r="651" spans="3:6" ht="15.75" customHeight="1">
      <c r="C651" s="206"/>
      <c r="D651" s="207"/>
      <c r="E651" s="207"/>
      <c r="F651" s="51"/>
    </row>
    <row r="652" spans="3:6" ht="15.75" customHeight="1">
      <c r="C652" s="206"/>
      <c r="D652" s="207"/>
      <c r="E652" s="207"/>
      <c r="F652" s="51"/>
    </row>
    <row r="653" spans="3:6" ht="15.75" customHeight="1">
      <c r="C653" s="206"/>
      <c r="D653" s="207"/>
      <c r="E653" s="207"/>
      <c r="F653" s="51"/>
    </row>
    <row r="654" spans="3:6" ht="15.75" customHeight="1">
      <c r="C654" s="206"/>
      <c r="D654" s="207"/>
      <c r="E654" s="207"/>
      <c r="F654" s="51"/>
    </row>
    <row r="655" spans="3:6" ht="15.75" customHeight="1">
      <c r="C655" s="206"/>
      <c r="D655" s="207"/>
      <c r="E655" s="207"/>
      <c r="F655" s="51"/>
    </row>
    <row r="656" spans="3:6" ht="15.75" customHeight="1">
      <c r="C656" s="206"/>
      <c r="D656" s="207"/>
      <c r="E656" s="207"/>
      <c r="F656" s="51"/>
    </row>
    <row r="657" spans="3:6" ht="15.75" customHeight="1">
      <c r="C657" s="206"/>
      <c r="D657" s="207"/>
      <c r="E657" s="207"/>
      <c r="F657" s="51"/>
    </row>
    <row r="658" spans="3:6" ht="15.75" customHeight="1">
      <c r="C658" s="206"/>
      <c r="D658" s="207"/>
      <c r="E658" s="207"/>
      <c r="F658" s="51"/>
    </row>
    <row r="659" spans="3:6" ht="15.75" customHeight="1">
      <c r="C659" s="206"/>
      <c r="D659" s="207"/>
      <c r="E659" s="207"/>
      <c r="F659" s="51"/>
    </row>
    <row r="660" spans="3:6" ht="15.75" customHeight="1">
      <c r="C660" s="206"/>
      <c r="D660" s="207"/>
      <c r="E660" s="207"/>
      <c r="F660" s="51"/>
    </row>
    <row r="661" spans="3:6" ht="15.75" customHeight="1">
      <c r="C661" s="206"/>
      <c r="D661" s="207"/>
      <c r="E661" s="207"/>
      <c r="F661" s="51"/>
    </row>
    <row r="662" spans="3:6" ht="15.75" customHeight="1">
      <c r="C662" s="206"/>
      <c r="D662" s="207"/>
      <c r="E662" s="207"/>
      <c r="F662" s="51"/>
    </row>
    <row r="663" spans="3:6" ht="15.75" customHeight="1">
      <c r="C663" s="206"/>
      <c r="D663" s="207"/>
      <c r="E663" s="207"/>
      <c r="F663" s="51"/>
    </row>
    <row r="664" spans="3:6" ht="15.75" customHeight="1">
      <c r="C664" s="206"/>
      <c r="D664" s="207"/>
      <c r="E664" s="207"/>
      <c r="F664" s="51"/>
    </row>
    <row r="665" spans="3:6" ht="15.75" customHeight="1">
      <c r="C665" s="206"/>
      <c r="D665" s="207"/>
      <c r="E665" s="207"/>
      <c r="F665" s="51"/>
    </row>
    <row r="666" spans="3:6" ht="15.75" customHeight="1">
      <c r="C666" s="206"/>
      <c r="D666" s="207"/>
      <c r="E666" s="207"/>
      <c r="F666" s="51"/>
    </row>
    <row r="667" spans="3:6" ht="15.75" customHeight="1">
      <c r="C667" s="206"/>
      <c r="D667" s="207"/>
      <c r="E667" s="207"/>
      <c r="F667" s="51"/>
    </row>
    <row r="668" spans="3:6" ht="15.75" customHeight="1">
      <c r="C668" s="206"/>
      <c r="D668" s="207"/>
      <c r="E668" s="207"/>
      <c r="F668" s="51"/>
    </row>
    <row r="669" spans="3:6" ht="15.75" customHeight="1">
      <c r="C669" s="206"/>
      <c r="D669" s="207"/>
      <c r="E669" s="207"/>
      <c r="F669" s="51"/>
    </row>
    <row r="670" spans="3:6" ht="15.75" customHeight="1">
      <c r="C670" s="206"/>
      <c r="D670" s="207"/>
      <c r="E670" s="207"/>
      <c r="F670" s="51"/>
    </row>
    <row r="671" spans="3:6" ht="15.75" customHeight="1">
      <c r="C671" s="206"/>
      <c r="D671" s="207"/>
      <c r="E671" s="207"/>
      <c r="F671" s="51"/>
    </row>
    <row r="672" spans="3:6" ht="15.75" customHeight="1">
      <c r="C672" s="206"/>
      <c r="D672" s="207"/>
      <c r="E672" s="207"/>
      <c r="F672" s="51"/>
    </row>
    <row r="673" spans="3:6" ht="15.75" customHeight="1">
      <c r="C673" s="206"/>
      <c r="D673" s="207"/>
      <c r="E673" s="207"/>
      <c r="F673" s="51"/>
    </row>
    <row r="674" spans="3:6" ht="15.75" customHeight="1">
      <c r="C674" s="206"/>
      <c r="D674" s="207"/>
      <c r="E674" s="207"/>
      <c r="F674" s="51"/>
    </row>
    <row r="675" spans="3:6" ht="15.75" customHeight="1">
      <c r="C675" s="206"/>
      <c r="D675" s="207"/>
      <c r="E675" s="207"/>
      <c r="F675" s="51"/>
    </row>
    <row r="676" spans="3:6" ht="15.75" customHeight="1">
      <c r="C676" s="206"/>
      <c r="D676" s="207"/>
      <c r="E676" s="207"/>
      <c r="F676" s="51"/>
    </row>
    <row r="677" spans="3:6" ht="15.75" customHeight="1">
      <c r="C677" s="206"/>
      <c r="D677" s="207"/>
      <c r="E677" s="207"/>
      <c r="F677" s="51"/>
    </row>
    <row r="678" spans="3:6" ht="15.75" customHeight="1">
      <c r="C678" s="206"/>
      <c r="D678" s="207"/>
      <c r="E678" s="207"/>
      <c r="F678" s="51"/>
    </row>
    <row r="679" spans="3:6" ht="15.75" customHeight="1">
      <c r="C679" s="206"/>
      <c r="D679" s="207"/>
      <c r="E679" s="207"/>
      <c r="F679" s="51"/>
    </row>
    <row r="680" spans="3:6" ht="15.75" customHeight="1">
      <c r="C680" s="206"/>
      <c r="D680" s="207"/>
      <c r="E680" s="207"/>
      <c r="F680" s="51"/>
    </row>
    <row r="681" spans="3:6" ht="15.75" customHeight="1">
      <c r="C681" s="206"/>
      <c r="D681" s="207"/>
      <c r="E681" s="207"/>
      <c r="F681" s="51"/>
    </row>
    <row r="682" spans="3:6" ht="15.75" customHeight="1">
      <c r="C682" s="206"/>
      <c r="D682" s="207"/>
      <c r="E682" s="207"/>
      <c r="F682" s="51"/>
    </row>
    <row r="683" spans="3:6" ht="15.75" customHeight="1">
      <c r="C683" s="206"/>
      <c r="D683" s="207"/>
      <c r="E683" s="207"/>
      <c r="F683" s="51"/>
    </row>
    <row r="684" spans="3:6" ht="15.75" customHeight="1">
      <c r="C684" s="206"/>
      <c r="D684" s="207"/>
      <c r="E684" s="207"/>
      <c r="F684" s="51"/>
    </row>
    <row r="685" spans="3:6" ht="15.75" customHeight="1">
      <c r="C685" s="206"/>
      <c r="D685" s="207"/>
      <c r="E685" s="207"/>
      <c r="F685" s="51"/>
    </row>
    <row r="686" spans="3:6" ht="15.75" customHeight="1">
      <c r="C686" s="206"/>
      <c r="D686" s="207"/>
      <c r="E686" s="207"/>
      <c r="F686" s="51"/>
    </row>
    <row r="687" spans="3:6" ht="15.75" customHeight="1">
      <c r="C687" s="206"/>
      <c r="D687" s="207"/>
      <c r="E687" s="207"/>
      <c r="F687" s="51"/>
    </row>
    <row r="688" spans="3:6" ht="15.75" customHeight="1">
      <c r="C688" s="206"/>
      <c r="D688" s="207"/>
      <c r="E688" s="207"/>
      <c r="F688" s="51"/>
    </row>
    <row r="689" spans="3:6" ht="15.75" customHeight="1">
      <c r="C689" s="206"/>
      <c r="D689" s="207"/>
      <c r="E689" s="207"/>
      <c r="F689" s="51"/>
    </row>
    <row r="690" spans="3:6" ht="15.75" customHeight="1">
      <c r="C690" s="206"/>
      <c r="D690" s="207"/>
      <c r="E690" s="207"/>
      <c r="F690" s="51"/>
    </row>
    <row r="691" spans="3:6" ht="15.75" customHeight="1">
      <c r="C691" s="206"/>
      <c r="D691" s="207"/>
      <c r="E691" s="207"/>
      <c r="F691" s="51"/>
    </row>
    <row r="692" spans="3:6" ht="15.75" customHeight="1">
      <c r="C692" s="206"/>
      <c r="D692" s="207"/>
      <c r="E692" s="207"/>
      <c r="F692" s="51"/>
    </row>
    <row r="693" spans="3:6" ht="15.75" customHeight="1">
      <c r="C693" s="206"/>
      <c r="D693" s="207"/>
      <c r="E693" s="207"/>
      <c r="F693" s="51"/>
    </row>
    <row r="694" spans="3:6" ht="15.75" customHeight="1">
      <c r="C694" s="206"/>
      <c r="D694" s="207"/>
      <c r="E694" s="207"/>
      <c r="F694" s="51"/>
    </row>
    <row r="695" spans="3:6" ht="15.75" customHeight="1">
      <c r="C695" s="206"/>
      <c r="D695" s="207"/>
      <c r="E695" s="207"/>
      <c r="F695" s="51"/>
    </row>
    <row r="696" spans="3:6" ht="15.75" customHeight="1">
      <c r="C696" s="206"/>
      <c r="D696" s="207"/>
      <c r="E696" s="207"/>
      <c r="F696" s="51"/>
    </row>
    <row r="697" spans="3:6" ht="15.75" customHeight="1">
      <c r="C697" s="206"/>
      <c r="D697" s="207"/>
      <c r="E697" s="207"/>
      <c r="F697" s="51"/>
    </row>
    <row r="698" spans="3:6" ht="15.75" customHeight="1">
      <c r="C698" s="206"/>
      <c r="D698" s="207"/>
      <c r="E698" s="207"/>
      <c r="F698" s="51"/>
    </row>
    <row r="699" spans="3:6" ht="15.75" customHeight="1">
      <c r="C699" s="206"/>
      <c r="D699" s="207"/>
      <c r="E699" s="207"/>
      <c r="F699" s="51"/>
    </row>
    <row r="700" spans="3:6" ht="15.75" customHeight="1">
      <c r="C700" s="206"/>
      <c r="D700" s="207"/>
      <c r="E700" s="207"/>
      <c r="F700" s="51"/>
    </row>
    <row r="701" spans="3:6" ht="15.75" customHeight="1">
      <c r="C701" s="206"/>
      <c r="D701" s="207"/>
      <c r="E701" s="207"/>
      <c r="F701" s="51"/>
    </row>
    <row r="702" spans="3:6" ht="15.75" customHeight="1">
      <c r="C702" s="206"/>
      <c r="D702" s="207"/>
      <c r="E702" s="207"/>
      <c r="F702" s="51"/>
    </row>
    <row r="703" spans="3:6" ht="15.75" customHeight="1">
      <c r="C703" s="206"/>
      <c r="D703" s="207"/>
      <c r="E703" s="207"/>
      <c r="F703" s="51"/>
    </row>
    <row r="704" spans="3:6" ht="15.75" customHeight="1">
      <c r="C704" s="206"/>
      <c r="D704" s="207"/>
      <c r="E704" s="207"/>
      <c r="F704" s="51"/>
    </row>
    <row r="705" spans="3:6" ht="15.75" customHeight="1">
      <c r="C705" s="206"/>
      <c r="D705" s="207"/>
      <c r="E705" s="207"/>
      <c r="F705" s="51"/>
    </row>
    <row r="706" spans="3:6" ht="15.75" customHeight="1">
      <c r="C706" s="206"/>
      <c r="D706" s="207"/>
      <c r="E706" s="207"/>
      <c r="F706" s="51"/>
    </row>
    <row r="707" spans="3:6" ht="15.75" customHeight="1">
      <c r="C707" s="206"/>
      <c r="D707" s="207"/>
      <c r="E707" s="207"/>
      <c r="F707" s="51"/>
    </row>
    <row r="708" spans="3:6" ht="15.75" customHeight="1">
      <c r="C708" s="206"/>
      <c r="D708" s="207"/>
      <c r="E708" s="207"/>
      <c r="F708" s="51"/>
    </row>
    <row r="709" spans="3:6" ht="15.75" customHeight="1">
      <c r="C709" s="206"/>
      <c r="D709" s="207"/>
      <c r="E709" s="207"/>
      <c r="F709" s="51"/>
    </row>
    <row r="710" spans="3:6" ht="15.75" customHeight="1">
      <c r="C710" s="206"/>
      <c r="D710" s="207"/>
      <c r="E710" s="207"/>
      <c r="F710" s="51"/>
    </row>
    <row r="711" spans="3:6" ht="15.75" customHeight="1">
      <c r="C711" s="206"/>
      <c r="D711" s="207"/>
      <c r="E711" s="207"/>
      <c r="F711" s="51"/>
    </row>
    <row r="712" spans="3:6" ht="15.75" customHeight="1">
      <c r="C712" s="206"/>
      <c r="D712" s="207"/>
      <c r="E712" s="207"/>
      <c r="F712" s="51"/>
    </row>
    <row r="713" spans="3:6" ht="15.75" customHeight="1">
      <c r="C713" s="206"/>
      <c r="D713" s="207"/>
      <c r="E713" s="207"/>
      <c r="F713" s="51"/>
    </row>
    <row r="714" spans="3:6" ht="15.75" customHeight="1">
      <c r="C714" s="206"/>
      <c r="D714" s="207"/>
      <c r="E714" s="207"/>
      <c r="F714" s="51"/>
    </row>
    <row r="715" spans="3:6" ht="15.75" customHeight="1">
      <c r="C715" s="206"/>
      <c r="D715" s="207"/>
      <c r="E715" s="207"/>
      <c r="F715" s="51"/>
    </row>
    <row r="716" spans="3:6" ht="15.75" customHeight="1">
      <c r="C716" s="206"/>
      <c r="D716" s="207"/>
      <c r="E716" s="207"/>
      <c r="F716" s="51"/>
    </row>
    <row r="717" spans="3:6" ht="15.75" customHeight="1">
      <c r="C717" s="206"/>
      <c r="D717" s="207"/>
      <c r="E717" s="207"/>
      <c r="F717" s="51"/>
    </row>
    <row r="718" spans="3:6" ht="15.75" customHeight="1">
      <c r="C718" s="206"/>
      <c r="D718" s="207"/>
      <c r="E718" s="207"/>
      <c r="F718" s="51"/>
    </row>
    <row r="719" spans="3:6" ht="15.75" customHeight="1">
      <c r="C719" s="206"/>
      <c r="D719" s="207"/>
      <c r="E719" s="207"/>
      <c r="F719" s="51"/>
    </row>
    <row r="720" spans="3:6" ht="15.75" customHeight="1">
      <c r="C720" s="206"/>
      <c r="D720" s="207"/>
      <c r="E720" s="207"/>
      <c r="F720" s="51"/>
    </row>
    <row r="721" spans="3:6" ht="15.75" customHeight="1">
      <c r="C721" s="206"/>
      <c r="D721" s="207"/>
      <c r="E721" s="207"/>
      <c r="F721" s="51"/>
    </row>
    <row r="722" spans="3:6" ht="15.75" customHeight="1">
      <c r="C722" s="206"/>
      <c r="D722" s="207"/>
      <c r="E722" s="207"/>
      <c r="F722" s="51"/>
    </row>
    <row r="723" spans="3:6" ht="15.75" customHeight="1">
      <c r="C723" s="206"/>
      <c r="D723" s="207"/>
      <c r="E723" s="207"/>
      <c r="F723" s="51"/>
    </row>
    <row r="724" spans="3:6" ht="15.75" customHeight="1">
      <c r="C724" s="206"/>
      <c r="D724" s="207"/>
      <c r="E724" s="207"/>
      <c r="F724" s="51"/>
    </row>
    <row r="725" spans="3:6" ht="15.75" customHeight="1">
      <c r="C725" s="206"/>
      <c r="D725" s="207"/>
      <c r="E725" s="207"/>
      <c r="F725" s="51"/>
    </row>
    <row r="726" spans="3:6" ht="15.75" customHeight="1">
      <c r="C726" s="206"/>
      <c r="D726" s="207"/>
      <c r="E726" s="207"/>
      <c r="F726" s="51"/>
    </row>
    <row r="727" spans="3:6" ht="15.75" customHeight="1">
      <c r="C727" s="206"/>
      <c r="D727" s="207"/>
      <c r="E727" s="207"/>
      <c r="F727" s="51"/>
    </row>
    <row r="728" spans="3:6" ht="15.75" customHeight="1">
      <c r="C728" s="206"/>
      <c r="D728" s="207"/>
      <c r="E728" s="207"/>
      <c r="F728" s="51"/>
    </row>
    <row r="729" spans="3:6" ht="15.75" customHeight="1">
      <c r="C729" s="206"/>
      <c r="D729" s="207"/>
      <c r="E729" s="207"/>
      <c r="F729" s="51"/>
    </row>
    <row r="730" spans="3:6" ht="15.75" customHeight="1">
      <c r="C730" s="206"/>
      <c r="D730" s="207"/>
      <c r="E730" s="207"/>
      <c r="F730" s="51"/>
    </row>
    <row r="731" spans="3:6" ht="15.75" customHeight="1">
      <c r="C731" s="206"/>
      <c r="D731" s="207"/>
      <c r="E731" s="207"/>
      <c r="F731" s="51"/>
    </row>
    <row r="732" spans="3:6" ht="15.75" customHeight="1">
      <c r="C732" s="206"/>
      <c r="D732" s="207"/>
      <c r="E732" s="207"/>
      <c r="F732" s="51"/>
    </row>
    <row r="733" spans="3:6" ht="15.75" customHeight="1">
      <c r="C733" s="206"/>
      <c r="D733" s="207"/>
      <c r="E733" s="207"/>
      <c r="F733" s="51"/>
    </row>
    <row r="734" spans="3:6" ht="15.75" customHeight="1">
      <c r="C734" s="206"/>
      <c r="D734" s="207"/>
      <c r="E734" s="207"/>
      <c r="F734" s="51"/>
    </row>
    <row r="735" spans="3:6" ht="15.75" customHeight="1">
      <c r="C735" s="206"/>
      <c r="D735" s="207"/>
      <c r="E735" s="207"/>
      <c r="F735" s="51"/>
    </row>
    <row r="736" spans="3:6" ht="15.75" customHeight="1">
      <c r="C736" s="206"/>
      <c r="D736" s="207"/>
      <c r="E736" s="207"/>
      <c r="F736" s="51"/>
    </row>
    <row r="737" spans="3:6" ht="15.75" customHeight="1">
      <c r="C737" s="206"/>
      <c r="D737" s="207"/>
      <c r="E737" s="207"/>
      <c r="F737" s="51"/>
    </row>
    <row r="738" spans="3:6" ht="15.75" customHeight="1">
      <c r="C738" s="206"/>
      <c r="D738" s="207"/>
      <c r="E738" s="207"/>
      <c r="F738" s="51"/>
    </row>
    <row r="739" spans="3:6" ht="15.75" customHeight="1">
      <c r="C739" s="206"/>
      <c r="D739" s="207"/>
      <c r="E739" s="207"/>
      <c r="F739" s="51"/>
    </row>
    <row r="740" spans="3:6" ht="15.75" customHeight="1">
      <c r="C740" s="206"/>
      <c r="D740" s="207"/>
      <c r="E740" s="207"/>
      <c r="F740" s="51"/>
    </row>
    <row r="741" spans="3:6" ht="15.75" customHeight="1">
      <c r="C741" s="206"/>
      <c r="D741" s="207"/>
      <c r="E741" s="207"/>
      <c r="F741" s="51"/>
    </row>
    <row r="742" spans="3:6" ht="15.75" customHeight="1">
      <c r="C742" s="206"/>
      <c r="D742" s="207"/>
      <c r="E742" s="207"/>
      <c r="F742" s="51"/>
    </row>
    <row r="743" spans="3:6" ht="15.75" customHeight="1">
      <c r="C743" s="206"/>
      <c r="D743" s="207"/>
      <c r="E743" s="207"/>
      <c r="F743" s="51"/>
    </row>
    <row r="744" spans="3:6" ht="15.75" customHeight="1">
      <c r="C744" s="206"/>
      <c r="D744" s="207"/>
      <c r="E744" s="207"/>
      <c r="F744" s="51"/>
    </row>
    <row r="745" spans="3:6" ht="15.75" customHeight="1">
      <c r="C745" s="206"/>
      <c r="D745" s="207"/>
      <c r="E745" s="207"/>
      <c r="F745" s="51"/>
    </row>
    <row r="746" spans="3:6" ht="15.75" customHeight="1">
      <c r="C746" s="206"/>
      <c r="D746" s="207"/>
      <c r="E746" s="207"/>
      <c r="F746" s="51"/>
    </row>
    <row r="747" spans="3:6" ht="15.75" customHeight="1">
      <c r="C747" s="206"/>
      <c r="D747" s="207"/>
      <c r="E747" s="207"/>
      <c r="F747" s="51"/>
    </row>
    <row r="748" spans="3:6" ht="15.75" customHeight="1">
      <c r="C748" s="206"/>
      <c r="D748" s="207"/>
      <c r="E748" s="207"/>
      <c r="F748" s="51"/>
    </row>
    <row r="749" spans="3:6" ht="15.75" customHeight="1">
      <c r="C749" s="206"/>
      <c r="D749" s="207"/>
      <c r="E749" s="207"/>
      <c r="F749" s="51"/>
    </row>
    <row r="750" spans="3:6" ht="15.75" customHeight="1">
      <c r="C750" s="206"/>
      <c r="D750" s="207"/>
      <c r="E750" s="207"/>
      <c r="F750" s="51"/>
    </row>
    <row r="751" spans="3:6" ht="15.75" customHeight="1">
      <c r="C751" s="206"/>
      <c r="D751" s="207"/>
      <c r="E751" s="207"/>
      <c r="F751" s="51"/>
    </row>
    <row r="752" spans="3:6" ht="15.75" customHeight="1">
      <c r="C752" s="206"/>
      <c r="D752" s="207"/>
      <c r="E752" s="207"/>
      <c r="F752" s="51"/>
    </row>
    <row r="753" spans="3:6" ht="15.75" customHeight="1">
      <c r="C753" s="206"/>
      <c r="D753" s="207"/>
      <c r="E753" s="207"/>
      <c r="F753" s="51"/>
    </row>
    <row r="754" spans="3:6" ht="15.75" customHeight="1">
      <c r="C754" s="206"/>
      <c r="D754" s="207"/>
      <c r="E754" s="207"/>
      <c r="F754" s="51"/>
    </row>
    <row r="755" spans="3:6" ht="15.75" customHeight="1">
      <c r="C755" s="206"/>
      <c r="D755" s="207"/>
      <c r="E755" s="207"/>
      <c r="F755" s="51"/>
    </row>
    <row r="756" spans="3:6" ht="15.75" customHeight="1">
      <c r="C756" s="206"/>
      <c r="D756" s="207"/>
      <c r="E756" s="207"/>
      <c r="F756" s="51"/>
    </row>
    <row r="757" spans="3:6" ht="15.75" customHeight="1">
      <c r="C757" s="206"/>
      <c r="D757" s="207"/>
      <c r="E757" s="207"/>
      <c r="F757" s="51"/>
    </row>
    <row r="758" spans="3:6" ht="15.75" customHeight="1">
      <c r="C758" s="206"/>
      <c r="D758" s="207"/>
      <c r="E758" s="207"/>
      <c r="F758" s="51"/>
    </row>
    <row r="759" spans="3:6" ht="15.75" customHeight="1">
      <c r="C759" s="206"/>
      <c r="D759" s="207"/>
      <c r="E759" s="207"/>
      <c r="F759" s="51"/>
    </row>
    <row r="760" spans="3:6" ht="15.75" customHeight="1">
      <c r="C760" s="206"/>
      <c r="D760" s="207"/>
      <c r="E760" s="207"/>
      <c r="F760" s="51"/>
    </row>
    <row r="761" spans="3:6" ht="15.75" customHeight="1">
      <c r="C761" s="206"/>
      <c r="D761" s="207"/>
      <c r="E761" s="207"/>
      <c r="F761" s="51"/>
    </row>
    <row r="762" spans="3:6" ht="15.75" customHeight="1">
      <c r="C762" s="206"/>
      <c r="D762" s="207"/>
      <c r="E762" s="207"/>
      <c r="F762" s="51"/>
    </row>
    <row r="763" spans="3:6" ht="15.75" customHeight="1">
      <c r="C763" s="206"/>
      <c r="D763" s="207"/>
      <c r="E763" s="207"/>
      <c r="F763" s="51"/>
    </row>
    <row r="764" spans="3:6" ht="15.75" customHeight="1">
      <c r="C764" s="206"/>
      <c r="D764" s="207"/>
      <c r="E764" s="207"/>
      <c r="F764" s="51"/>
    </row>
    <row r="765" spans="3:6" ht="15.75" customHeight="1">
      <c r="C765" s="206"/>
      <c r="D765" s="207"/>
      <c r="E765" s="207"/>
      <c r="F765" s="51"/>
    </row>
    <row r="766" spans="3:6" ht="15.75" customHeight="1">
      <c r="C766" s="206"/>
      <c r="D766" s="207"/>
      <c r="E766" s="207"/>
      <c r="F766" s="51"/>
    </row>
    <row r="767" spans="3:6" ht="15.75" customHeight="1">
      <c r="C767" s="206"/>
      <c r="D767" s="207"/>
      <c r="E767" s="207"/>
      <c r="F767" s="51"/>
    </row>
    <row r="768" spans="3:6" ht="15.75" customHeight="1">
      <c r="C768" s="206"/>
      <c r="D768" s="207"/>
      <c r="E768" s="207"/>
      <c r="F768" s="51"/>
    </row>
    <row r="769" spans="3:6" ht="15.75" customHeight="1">
      <c r="C769" s="206"/>
      <c r="D769" s="207"/>
      <c r="E769" s="207"/>
      <c r="F769" s="51"/>
    </row>
    <row r="770" spans="3:6" ht="15.75" customHeight="1">
      <c r="C770" s="206"/>
      <c r="D770" s="207"/>
      <c r="E770" s="207"/>
      <c r="F770" s="51"/>
    </row>
    <row r="771" spans="3:6" ht="15.75" customHeight="1">
      <c r="C771" s="206"/>
      <c r="D771" s="207"/>
      <c r="E771" s="207"/>
      <c r="F771" s="51"/>
    </row>
    <row r="772" spans="3:6" ht="15.75" customHeight="1">
      <c r="C772" s="206"/>
      <c r="D772" s="207"/>
      <c r="E772" s="207"/>
      <c r="F772" s="51"/>
    </row>
    <row r="773" spans="3:6" ht="15.75" customHeight="1">
      <c r="C773" s="206"/>
      <c r="D773" s="207"/>
      <c r="E773" s="207"/>
      <c r="F773" s="51"/>
    </row>
    <row r="774" spans="3:6" ht="15.75" customHeight="1">
      <c r="C774" s="206"/>
      <c r="D774" s="207"/>
      <c r="E774" s="207"/>
      <c r="F774" s="51"/>
    </row>
    <row r="775" spans="3:6" ht="15.75" customHeight="1">
      <c r="C775" s="206"/>
      <c r="D775" s="207"/>
      <c r="E775" s="207"/>
      <c r="F775" s="51"/>
    </row>
    <row r="776" spans="3:6" ht="15.75" customHeight="1">
      <c r="C776" s="206"/>
      <c r="D776" s="207"/>
      <c r="E776" s="207"/>
      <c r="F776" s="51"/>
    </row>
    <row r="777" spans="3:6" ht="15.75" customHeight="1">
      <c r="C777" s="206"/>
      <c r="D777" s="207"/>
      <c r="E777" s="207"/>
      <c r="F777" s="51"/>
    </row>
    <row r="778" spans="3:6" ht="15.75" customHeight="1">
      <c r="C778" s="206"/>
      <c r="D778" s="207"/>
      <c r="E778" s="207"/>
      <c r="F778" s="51"/>
    </row>
    <row r="779" spans="3:6" ht="15.75" customHeight="1">
      <c r="C779" s="206"/>
      <c r="D779" s="207"/>
      <c r="E779" s="207"/>
      <c r="F779" s="51"/>
    </row>
    <row r="780" spans="3:6" ht="15.75" customHeight="1">
      <c r="C780" s="206"/>
      <c r="D780" s="207"/>
      <c r="E780" s="207"/>
      <c r="F780" s="51"/>
    </row>
    <row r="781" spans="3:6" ht="15.75" customHeight="1">
      <c r="C781" s="206"/>
      <c r="D781" s="207"/>
      <c r="E781" s="207"/>
      <c r="F781" s="51"/>
    </row>
    <row r="782" spans="3:6" ht="15.75" customHeight="1">
      <c r="C782" s="206"/>
      <c r="D782" s="207"/>
      <c r="E782" s="207"/>
      <c r="F782" s="51"/>
    </row>
    <row r="783" spans="3:6" ht="15.75" customHeight="1">
      <c r="C783" s="206"/>
      <c r="D783" s="207"/>
      <c r="E783" s="207"/>
      <c r="F783" s="51"/>
    </row>
    <row r="784" spans="3:6" ht="15.75" customHeight="1">
      <c r="C784" s="206"/>
      <c r="D784" s="207"/>
      <c r="E784" s="207"/>
      <c r="F784" s="51"/>
    </row>
    <row r="785" spans="3:6" ht="15.75" customHeight="1">
      <c r="C785" s="206"/>
      <c r="D785" s="207"/>
      <c r="E785" s="207"/>
      <c r="F785" s="51"/>
    </row>
    <row r="786" spans="3:6" ht="15.75" customHeight="1">
      <c r="C786" s="206"/>
      <c r="D786" s="207"/>
      <c r="E786" s="207"/>
      <c r="F786" s="51"/>
    </row>
    <row r="787" spans="3:6" ht="15.75" customHeight="1">
      <c r="C787" s="206"/>
      <c r="D787" s="207"/>
      <c r="E787" s="207"/>
      <c r="F787" s="51"/>
    </row>
    <row r="788" spans="3:6" ht="15.75" customHeight="1">
      <c r="C788" s="206"/>
      <c r="D788" s="207"/>
      <c r="E788" s="207"/>
      <c r="F788" s="51"/>
    </row>
    <row r="789" spans="3:6" ht="15.75" customHeight="1">
      <c r="C789" s="206"/>
      <c r="D789" s="207"/>
      <c r="E789" s="207"/>
      <c r="F789" s="51"/>
    </row>
    <row r="790" spans="3:6" ht="15.75" customHeight="1">
      <c r="C790" s="206"/>
      <c r="D790" s="207"/>
      <c r="E790" s="207"/>
      <c r="F790" s="51"/>
    </row>
    <row r="791" spans="3:6" ht="15.75" customHeight="1">
      <c r="C791" s="206"/>
      <c r="D791" s="207"/>
      <c r="E791" s="207"/>
      <c r="F791" s="51"/>
    </row>
    <row r="792" spans="3:6" ht="15.75" customHeight="1">
      <c r="C792" s="206"/>
      <c r="D792" s="207"/>
      <c r="E792" s="207"/>
      <c r="F792" s="51"/>
    </row>
    <row r="793" spans="3:6" ht="15.75" customHeight="1">
      <c r="C793" s="206"/>
      <c r="D793" s="207"/>
      <c r="E793" s="207"/>
      <c r="F793" s="51"/>
    </row>
    <row r="794" spans="3:6" ht="15.75" customHeight="1">
      <c r="C794" s="206"/>
      <c r="D794" s="207"/>
      <c r="E794" s="207"/>
      <c r="F794" s="51"/>
    </row>
    <row r="795" spans="3:6" ht="15.75" customHeight="1">
      <c r="C795" s="206"/>
      <c r="D795" s="207"/>
      <c r="E795" s="207"/>
      <c r="F795" s="51"/>
    </row>
    <row r="796" spans="3:6" ht="15.75" customHeight="1">
      <c r="C796" s="206"/>
      <c r="D796" s="207"/>
      <c r="E796" s="207"/>
      <c r="F796" s="51"/>
    </row>
    <row r="797" spans="3:6" ht="15.75" customHeight="1">
      <c r="C797" s="206"/>
      <c r="D797" s="207"/>
      <c r="E797" s="207"/>
      <c r="F797" s="51"/>
    </row>
    <row r="798" spans="3:6" ht="15.75" customHeight="1">
      <c r="C798" s="206"/>
      <c r="D798" s="207"/>
      <c r="E798" s="207"/>
      <c r="F798" s="51"/>
    </row>
    <row r="799" spans="3:6" ht="15.75" customHeight="1">
      <c r="C799" s="206"/>
      <c r="D799" s="207"/>
      <c r="E799" s="207"/>
      <c r="F799" s="51"/>
    </row>
    <row r="800" spans="3:6" ht="15.75" customHeight="1">
      <c r="C800" s="206"/>
      <c r="D800" s="207"/>
      <c r="E800" s="207"/>
      <c r="F800" s="51"/>
    </row>
    <row r="801" spans="3:6" ht="15.75" customHeight="1">
      <c r="C801" s="206"/>
      <c r="D801" s="207"/>
      <c r="E801" s="207"/>
      <c r="F801" s="51"/>
    </row>
    <row r="802" spans="3:6" ht="15.75" customHeight="1">
      <c r="C802" s="206"/>
      <c r="D802" s="207"/>
      <c r="E802" s="207"/>
      <c r="F802" s="51"/>
    </row>
    <row r="803" spans="3:6" ht="15.75" customHeight="1">
      <c r="C803" s="206"/>
      <c r="D803" s="207"/>
      <c r="E803" s="207"/>
      <c r="F803" s="51"/>
    </row>
    <row r="804" spans="3:6" ht="15.75" customHeight="1">
      <c r="C804" s="206"/>
      <c r="D804" s="207"/>
      <c r="E804" s="207"/>
      <c r="F804" s="51"/>
    </row>
    <row r="805" spans="3:6" ht="15.75" customHeight="1">
      <c r="C805" s="206"/>
      <c r="D805" s="207"/>
      <c r="E805" s="207"/>
      <c r="F805" s="51"/>
    </row>
    <row r="806" spans="3:6" ht="15.75" customHeight="1">
      <c r="C806" s="206"/>
      <c r="D806" s="207"/>
      <c r="E806" s="207"/>
      <c r="F806" s="51"/>
    </row>
    <row r="807" spans="3:6" ht="15.75" customHeight="1">
      <c r="C807" s="206"/>
      <c r="D807" s="207"/>
      <c r="E807" s="207"/>
      <c r="F807" s="51"/>
    </row>
    <row r="808" spans="3:6" ht="15.75" customHeight="1">
      <c r="C808" s="206"/>
      <c r="D808" s="207"/>
      <c r="E808" s="207"/>
      <c r="F808" s="51"/>
    </row>
    <row r="809" spans="3:6" ht="15.75" customHeight="1">
      <c r="C809" s="206"/>
      <c r="D809" s="207"/>
      <c r="E809" s="207"/>
      <c r="F809" s="51"/>
    </row>
    <row r="810" spans="3:6" ht="15.75" customHeight="1">
      <c r="C810" s="206"/>
      <c r="D810" s="207"/>
      <c r="E810" s="207"/>
      <c r="F810" s="51"/>
    </row>
    <row r="811" spans="3:6" ht="15.75" customHeight="1">
      <c r="C811" s="206"/>
      <c r="D811" s="207"/>
      <c r="E811" s="207"/>
      <c r="F811" s="51"/>
    </row>
    <row r="812" spans="3:6" ht="15.75" customHeight="1">
      <c r="C812" s="206"/>
      <c r="D812" s="207"/>
      <c r="E812" s="207"/>
      <c r="F812" s="51"/>
    </row>
    <row r="813" spans="3:6" ht="15.75" customHeight="1">
      <c r="C813" s="206"/>
      <c r="D813" s="207"/>
      <c r="E813" s="207"/>
      <c r="F813" s="51"/>
    </row>
    <row r="814" spans="3:6" ht="15.75" customHeight="1">
      <c r="C814" s="206"/>
      <c r="D814" s="207"/>
      <c r="E814" s="207"/>
      <c r="F814" s="51"/>
    </row>
    <row r="815" spans="3:6" ht="15.75" customHeight="1">
      <c r="C815" s="206"/>
      <c r="D815" s="207"/>
      <c r="E815" s="207"/>
      <c r="F815" s="51"/>
    </row>
    <row r="816" spans="3:6" ht="15.75" customHeight="1">
      <c r="C816" s="206"/>
      <c r="D816" s="207"/>
      <c r="E816" s="207"/>
      <c r="F816" s="51"/>
    </row>
    <row r="817" spans="3:6" ht="15.75" customHeight="1">
      <c r="C817" s="206"/>
      <c r="D817" s="207"/>
      <c r="E817" s="207"/>
      <c r="F817" s="51"/>
    </row>
    <row r="818" spans="3:6" ht="15.75" customHeight="1">
      <c r="C818" s="206"/>
      <c r="D818" s="207"/>
      <c r="E818" s="207"/>
      <c r="F818" s="51"/>
    </row>
    <row r="819" spans="3:6" ht="15.75" customHeight="1">
      <c r="C819" s="206"/>
      <c r="D819" s="207"/>
      <c r="E819" s="207"/>
      <c r="F819" s="51"/>
    </row>
    <row r="820" spans="3:6" ht="15.75" customHeight="1">
      <c r="C820" s="206"/>
      <c r="D820" s="207"/>
      <c r="E820" s="207"/>
      <c r="F820" s="51"/>
    </row>
    <row r="821" spans="3:6" ht="15.75" customHeight="1">
      <c r="C821" s="206"/>
      <c r="D821" s="207"/>
      <c r="E821" s="207"/>
      <c r="F821" s="51"/>
    </row>
    <row r="822" spans="3:6" ht="15.75" customHeight="1">
      <c r="C822" s="206"/>
      <c r="D822" s="207"/>
      <c r="E822" s="207"/>
      <c r="F822" s="51"/>
    </row>
    <row r="823" spans="3:6" ht="15.75" customHeight="1">
      <c r="C823" s="206"/>
      <c r="D823" s="207"/>
      <c r="E823" s="207"/>
      <c r="F823" s="51"/>
    </row>
    <row r="824" spans="3:6" ht="15.75" customHeight="1">
      <c r="C824" s="206"/>
      <c r="D824" s="207"/>
      <c r="E824" s="207"/>
      <c r="F824" s="51"/>
    </row>
    <row r="825" spans="3:6" ht="15.75" customHeight="1">
      <c r="C825" s="206"/>
      <c r="D825" s="207"/>
      <c r="E825" s="207"/>
      <c r="F825" s="51"/>
    </row>
    <row r="826" spans="3:6" ht="15.75" customHeight="1">
      <c r="C826" s="206"/>
      <c r="D826" s="207"/>
      <c r="E826" s="207"/>
      <c r="F826" s="51"/>
    </row>
    <row r="827" spans="3:6" ht="15.75" customHeight="1">
      <c r="C827" s="206"/>
      <c r="D827" s="207"/>
      <c r="E827" s="207"/>
      <c r="F827" s="51"/>
    </row>
    <row r="828" spans="3:6" ht="15.75" customHeight="1">
      <c r="C828" s="206"/>
      <c r="D828" s="207"/>
      <c r="E828" s="207"/>
      <c r="F828" s="51"/>
    </row>
    <row r="829" spans="3:6" ht="15.75" customHeight="1">
      <c r="C829" s="206"/>
      <c r="D829" s="207"/>
      <c r="E829" s="207"/>
      <c r="F829" s="51"/>
    </row>
    <row r="830" spans="3:6" ht="15.75" customHeight="1">
      <c r="C830" s="206"/>
      <c r="D830" s="207"/>
      <c r="E830" s="207"/>
      <c r="F830" s="51"/>
    </row>
    <row r="831" spans="3:6" ht="15.75" customHeight="1">
      <c r="C831" s="206"/>
      <c r="D831" s="207"/>
      <c r="E831" s="207"/>
      <c r="F831" s="51"/>
    </row>
    <row r="832" spans="3:6" ht="15.75" customHeight="1">
      <c r="C832" s="206"/>
      <c r="D832" s="207"/>
      <c r="E832" s="207"/>
      <c r="F832" s="51"/>
    </row>
    <row r="833" spans="3:6" ht="15.75" customHeight="1">
      <c r="C833" s="206"/>
      <c r="D833" s="207"/>
      <c r="E833" s="207"/>
      <c r="F833" s="51"/>
    </row>
    <row r="834" spans="3:6" ht="15.75" customHeight="1">
      <c r="C834" s="206"/>
      <c r="D834" s="207"/>
      <c r="E834" s="207"/>
      <c r="F834" s="51"/>
    </row>
    <row r="835" spans="3:6" ht="15.75" customHeight="1">
      <c r="C835" s="206"/>
      <c r="D835" s="207"/>
      <c r="E835" s="207"/>
      <c r="F835" s="51"/>
    </row>
    <row r="836" spans="3:6" ht="15.75" customHeight="1">
      <c r="C836" s="206"/>
      <c r="D836" s="207"/>
      <c r="E836" s="207"/>
      <c r="F836" s="51"/>
    </row>
    <row r="837" spans="3:6" ht="15.75" customHeight="1">
      <c r="C837" s="206"/>
      <c r="D837" s="207"/>
      <c r="E837" s="207"/>
      <c r="F837" s="51"/>
    </row>
    <row r="838" spans="3:6" ht="15.75" customHeight="1">
      <c r="C838" s="206"/>
      <c r="D838" s="207"/>
      <c r="E838" s="207"/>
      <c r="F838" s="51"/>
    </row>
    <row r="839" spans="3:6" ht="15.75" customHeight="1">
      <c r="C839" s="206"/>
      <c r="D839" s="207"/>
      <c r="E839" s="207"/>
      <c r="F839" s="51"/>
    </row>
    <row r="840" spans="3:6" ht="15.75" customHeight="1">
      <c r="C840" s="206"/>
      <c r="D840" s="207"/>
      <c r="E840" s="207"/>
      <c r="F840" s="51"/>
    </row>
    <row r="841" spans="3:6" ht="15.75" customHeight="1">
      <c r="C841" s="206"/>
      <c r="D841" s="207"/>
      <c r="E841" s="207"/>
      <c r="F841" s="51"/>
    </row>
    <row r="842" spans="3:6" ht="15.75" customHeight="1">
      <c r="C842" s="206"/>
      <c r="D842" s="207"/>
      <c r="E842" s="207"/>
      <c r="F842" s="51"/>
    </row>
    <row r="843" spans="3:6" ht="15.75" customHeight="1">
      <c r="C843" s="206"/>
      <c r="D843" s="207"/>
      <c r="E843" s="207"/>
      <c r="F843" s="51"/>
    </row>
    <row r="844" spans="3:6" ht="15.75" customHeight="1">
      <c r="C844" s="206"/>
      <c r="D844" s="207"/>
      <c r="E844" s="207"/>
      <c r="F844" s="51"/>
    </row>
    <row r="845" spans="3:6" ht="15.75" customHeight="1">
      <c r="C845" s="206"/>
      <c r="D845" s="207"/>
      <c r="E845" s="207"/>
      <c r="F845" s="51"/>
    </row>
    <row r="846" spans="3:6" ht="15.75" customHeight="1">
      <c r="C846" s="206"/>
      <c r="D846" s="207"/>
      <c r="E846" s="207"/>
      <c r="F846" s="51"/>
    </row>
    <row r="847" spans="3:6" ht="15.75" customHeight="1">
      <c r="C847" s="206"/>
      <c r="D847" s="207"/>
      <c r="E847" s="207"/>
      <c r="F847" s="51"/>
    </row>
    <row r="848" spans="3:6" ht="15.75" customHeight="1">
      <c r="C848" s="206"/>
      <c r="D848" s="207"/>
      <c r="E848" s="207"/>
      <c r="F848" s="51"/>
    </row>
    <row r="849" spans="3:6" ht="15.75" customHeight="1">
      <c r="C849" s="206"/>
      <c r="D849" s="207"/>
      <c r="E849" s="207"/>
      <c r="F849" s="51"/>
    </row>
    <row r="850" spans="3:6" ht="15.75" customHeight="1">
      <c r="C850" s="206"/>
      <c r="D850" s="207"/>
      <c r="E850" s="207"/>
      <c r="F850" s="51"/>
    </row>
    <row r="851" spans="3:6" ht="15.75" customHeight="1">
      <c r="C851" s="206"/>
      <c r="D851" s="207"/>
      <c r="E851" s="207"/>
      <c r="F851" s="51"/>
    </row>
    <row r="852" spans="3:6" ht="15.75" customHeight="1">
      <c r="C852" s="206"/>
      <c r="D852" s="207"/>
      <c r="E852" s="207"/>
      <c r="F852" s="51"/>
    </row>
    <row r="853" spans="3:6" ht="15.75" customHeight="1">
      <c r="C853" s="206"/>
      <c r="D853" s="207"/>
      <c r="E853" s="207"/>
      <c r="F853" s="51"/>
    </row>
    <row r="854" spans="3:6" ht="15.75" customHeight="1">
      <c r="C854" s="206"/>
      <c r="D854" s="207"/>
      <c r="E854" s="207"/>
      <c r="F854" s="51"/>
    </row>
    <row r="855" spans="3:6" ht="15.75" customHeight="1">
      <c r="C855" s="206"/>
      <c r="D855" s="207"/>
      <c r="E855" s="207"/>
      <c r="F855" s="51"/>
    </row>
    <row r="856" spans="3:6" ht="15.75" customHeight="1">
      <c r="C856" s="206"/>
      <c r="D856" s="207"/>
      <c r="E856" s="207"/>
      <c r="F856" s="51"/>
    </row>
    <row r="857" spans="3:6" ht="15.75" customHeight="1">
      <c r="C857" s="206"/>
      <c r="D857" s="207"/>
      <c r="E857" s="207"/>
      <c r="F857" s="51"/>
    </row>
    <row r="858" spans="3:6" ht="15.75" customHeight="1">
      <c r="C858" s="206"/>
      <c r="D858" s="207"/>
      <c r="E858" s="207"/>
      <c r="F858" s="51"/>
    </row>
    <row r="859" spans="3:6" ht="15.75" customHeight="1">
      <c r="C859" s="206"/>
      <c r="D859" s="207"/>
      <c r="E859" s="207"/>
      <c r="F859" s="51"/>
    </row>
    <row r="860" spans="3:6" ht="15.75" customHeight="1">
      <c r="C860" s="206"/>
      <c r="D860" s="207"/>
      <c r="E860" s="207"/>
      <c r="F860" s="51"/>
    </row>
    <row r="861" spans="3:6" ht="15.75" customHeight="1">
      <c r="C861" s="206"/>
      <c r="D861" s="207"/>
      <c r="E861" s="207"/>
      <c r="F861" s="51"/>
    </row>
    <row r="862" spans="3:6" ht="15.75" customHeight="1">
      <c r="C862" s="206"/>
      <c r="D862" s="207"/>
      <c r="E862" s="207"/>
      <c r="F862" s="51"/>
    </row>
    <row r="863" spans="3:6" ht="15.75" customHeight="1">
      <c r="C863" s="206"/>
      <c r="D863" s="207"/>
      <c r="E863" s="207"/>
      <c r="F863" s="51"/>
    </row>
    <row r="864" spans="3:6" ht="15.75" customHeight="1">
      <c r="C864" s="206"/>
      <c r="D864" s="207"/>
      <c r="E864" s="207"/>
      <c r="F864" s="51"/>
    </row>
    <row r="865" spans="3:6" ht="15.75" customHeight="1">
      <c r="C865" s="206"/>
      <c r="D865" s="207"/>
      <c r="E865" s="207"/>
      <c r="F865" s="51"/>
    </row>
    <row r="866" spans="3:6" ht="15.75" customHeight="1">
      <c r="C866" s="206"/>
      <c r="D866" s="207"/>
      <c r="E866" s="207"/>
      <c r="F866" s="51"/>
    </row>
    <row r="867" spans="3:6" ht="15.75" customHeight="1">
      <c r="C867" s="206"/>
      <c r="D867" s="207"/>
      <c r="E867" s="207"/>
      <c r="F867" s="51"/>
    </row>
    <row r="868" spans="3:6" ht="15.75" customHeight="1">
      <c r="C868" s="206"/>
      <c r="D868" s="207"/>
      <c r="E868" s="207"/>
      <c r="F868" s="51"/>
    </row>
    <row r="869" spans="3:6" ht="15.75" customHeight="1">
      <c r="C869" s="206"/>
      <c r="D869" s="207"/>
      <c r="E869" s="207"/>
      <c r="F869" s="51"/>
    </row>
    <row r="870" spans="3:6" ht="15.75" customHeight="1">
      <c r="C870" s="206"/>
      <c r="D870" s="207"/>
      <c r="E870" s="207"/>
      <c r="F870" s="51"/>
    </row>
    <row r="871" spans="3:6" ht="15.75" customHeight="1">
      <c r="C871" s="206"/>
      <c r="D871" s="207"/>
      <c r="E871" s="207"/>
      <c r="F871" s="51"/>
    </row>
    <row r="872" spans="3:6" ht="15.75" customHeight="1">
      <c r="C872" s="206"/>
      <c r="D872" s="207"/>
      <c r="E872" s="207"/>
      <c r="F872" s="51"/>
    </row>
    <row r="873" spans="3:6" ht="15.75" customHeight="1">
      <c r="C873" s="206"/>
      <c r="D873" s="207"/>
      <c r="E873" s="207"/>
      <c r="F873" s="51"/>
    </row>
    <row r="874" spans="3:6" ht="15.75" customHeight="1">
      <c r="C874" s="206"/>
      <c r="D874" s="207"/>
      <c r="E874" s="207"/>
      <c r="F874" s="51"/>
    </row>
    <row r="875" spans="3:6" ht="15.75" customHeight="1">
      <c r="C875" s="206"/>
      <c r="D875" s="207"/>
      <c r="E875" s="207"/>
      <c r="F875" s="51"/>
    </row>
    <row r="876" spans="3:6" ht="15.75" customHeight="1">
      <c r="C876" s="206"/>
      <c r="D876" s="207"/>
      <c r="E876" s="207"/>
      <c r="F876" s="51"/>
    </row>
    <row r="877" spans="3:6" ht="15.75" customHeight="1">
      <c r="C877" s="206"/>
      <c r="D877" s="207"/>
      <c r="E877" s="207"/>
      <c r="F877" s="51"/>
    </row>
    <row r="878" spans="3:6" ht="15.75" customHeight="1">
      <c r="C878" s="206"/>
      <c r="D878" s="207"/>
      <c r="E878" s="207"/>
      <c r="F878" s="51"/>
    </row>
    <row r="879" spans="3:6" ht="15.75" customHeight="1">
      <c r="C879" s="206"/>
      <c r="D879" s="207"/>
      <c r="E879" s="207"/>
      <c r="F879" s="51"/>
    </row>
    <row r="880" spans="3:6" ht="15.75" customHeight="1">
      <c r="C880" s="206"/>
      <c r="D880" s="207"/>
      <c r="E880" s="207"/>
      <c r="F880" s="51"/>
    </row>
    <row r="881" spans="3:6" ht="15.75" customHeight="1">
      <c r="C881" s="206"/>
      <c r="D881" s="207"/>
      <c r="E881" s="207"/>
      <c r="F881" s="51"/>
    </row>
    <row r="882" spans="3:6" ht="15.75" customHeight="1">
      <c r="C882" s="206"/>
      <c r="D882" s="207"/>
      <c r="E882" s="207"/>
      <c r="F882" s="51"/>
    </row>
    <row r="883" spans="3:6" ht="15.75" customHeight="1">
      <c r="C883" s="206"/>
      <c r="D883" s="207"/>
      <c r="E883" s="207"/>
      <c r="F883" s="51"/>
    </row>
    <row r="884" spans="3:6" ht="15.75" customHeight="1">
      <c r="C884" s="206"/>
      <c r="D884" s="207"/>
      <c r="E884" s="207"/>
      <c r="F884" s="51"/>
    </row>
    <row r="885" spans="3:6" ht="15.75" customHeight="1">
      <c r="C885" s="206"/>
      <c r="D885" s="207"/>
      <c r="E885" s="207"/>
      <c r="F885" s="51"/>
    </row>
    <row r="886" spans="3:6" ht="15.75" customHeight="1">
      <c r="C886" s="206"/>
      <c r="D886" s="207"/>
      <c r="E886" s="207"/>
      <c r="F886" s="51"/>
    </row>
    <row r="887" spans="3:6" ht="15.75" customHeight="1">
      <c r="C887" s="206"/>
      <c r="D887" s="207"/>
      <c r="E887" s="207"/>
      <c r="F887" s="51"/>
    </row>
    <row r="888" spans="3:6" ht="15.75" customHeight="1">
      <c r="C888" s="206"/>
      <c r="D888" s="207"/>
      <c r="E888" s="207"/>
      <c r="F888" s="51"/>
    </row>
    <row r="889" spans="3:6" ht="15.75" customHeight="1">
      <c r="C889" s="206"/>
      <c r="D889" s="207"/>
      <c r="E889" s="207"/>
      <c r="F889" s="51"/>
    </row>
    <row r="890" spans="3:6" ht="15.75" customHeight="1">
      <c r="C890" s="206"/>
      <c r="D890" s="207"/>
      <c r="E890" s="207"/>
      <c r="F890" s="51"/>
    </row>
    <row r="891" spans="3:6" ht="15.75" customHeight="1">
      <c r="C891" s="206"/>
      <c r="D891" s="207"/>
      <c r="E891" s="207"/>
      <c r="F891" s="51"/>
    </row>
    <row r="892" spans="3:6" ht="15.75" customHeight="1">
      <c r="C892" s="206"/>
      <c r="D892" s="207"/>
      <c r="E892" s="207"/>
      <c r="F892" s="51"/>
    </row>
    <row r="893" spans="3:6" ht="15.75" customHeight="1">
      <c r="C893" s="206"/>
      <c r="D893" s="207"/>
      <c r="E893" s="207"/>
      <c r="F893" s="51"/>
    </row>
    <row r="894" spans="3:6" ht="15.75" customHeight="1">
      <c r="C894" s="206"/>
      <c r="D894" s="207"/>
      <c r="E894" s="207"/>
      <c r="F894" s="51"/>
    </row>
    <row r="895" spans="3:6" ht="15.75" customHeight="1">
      <c r="C895" s="206"/>
      <c r="D895" s="207"/>
      <c r="E895" s="207"/>
      <c r="F895" s="51"/>
    </row>
    <row r="896" spans="3:6" ht="15.75" customHeight="1">
      <c r="C896" s="206"/>
      <c r="D896" s="207"/>
      <c r="E896" s="207"/>
      <c r="F896" s="51"/>
    </row>
    <row r="897" spans="3:6" ht="15.75" customHeight="1">
      <c r="C897" s="206"/>
      <c r="D897" s="207"/>
      <c r="E897" s="207"/>
      <c r="F897" s="51"/>
    </row>
    <row r="898" spans="3:6" ht="15.75" customHeight="1">
      <c r="C898" s="206"/>
      <c r="D898" s="207"/>
      <c r="E898" s="207"/>
      <c r="F898" s="51"/>
    </row>
    <row r="899" spans="3:6" ht="15.75" customHeight="1">
      <c r="C899" s="206"/>
      <c r="D899" s="207"/>
      <c r="E899" s="207"/>
      <c r="F899" s="51"/>
    </row>
    <row r="900" spans="3:6" ht="15.75" customHeight="1">
      <c r="C900" s="206"/>
      <c r="D900" s="207"/>
      <c r="E900" s="207"/>
      <c r="F900" s="51"/>
    </row>
    <row r="901" spans="3:6" ht="15.75" customHeight="1">
      <c r="C901" s="206"/>
      <c r="D901" s="207"/>
      <c r="E901" s="207"/>
      <c r="F901" s="51"/>
    </row>
    <row r="902" spans="3:6" ht="15.75" customHeight="1">
      <c r="C902" s="206"/>
      <c r="D902" s="207"/>
      <c r="E902" s="207"/>
      <c r="F902" s="51"/>
    </row>
    <row r="903" spans="3:6" ht="15.75" customHeight="1">
      <c r="C903" s="206"/>
      <c r="D903" s="207"/>
      <c r="E903" s="207"/>
      <c r="F903" s="51"/>
    </row>
    <row r="904" spans="3:6" ht="15.75" customHeight="1">
      <c r="C904" s="206"/>
      <c r="D904" s="207"/>
      <c r="E904" s="207"/>
      <c r="F904" s="51"/>
    </row>
    <row r="905" spans="3:6" ht="15.75" customHeight="1">
      <c r="C905" s="206"/>
      <c r="D905" s="207"/>
      <c r="E905" s="207"/>
      <c r="F905" s="51"/>
    </row>
    <row r="906" spans="3:6" ht="15.75" customHeight="1">
      <c r="C906" s="206"/>
      <c r="D906" s="207"/>
      <c r="E906" s="207"/>
      <c r="F906" s="51"/>
    </row>
    <row r="907" spans="3:6" ht="15.75" customHeight="1">
      <c r="C907" s="206"/>
      <c r="D907" s="207"/>
      <c r="E907" s="207"/>
      <c r="F907" s="51"/>
    </row>
    <row r="908" spans="3:6" ht="15.75" customHeight="1">
      <c r="C908" s="206"/>
      <c r="D908" s="207"/>
      <c r="E908" s="207"/>
      <c r="F908" s="51"/>
    </row>
    <row r="909" spans="3:6" ht="15.75" customHeight="1">
      <c r="C909" s="206"/>
      <c r="D909" s="207"/>
      <c r="E909" s="207"/>
      <c r="F909" s="51"/>
    </row>
    <row r="910" spans="3:6" ht="15.75" customHeight="1">
      <c r="C910" s="206"/>
      <c r="D910" s="207"/>
      <c r="E910" s="207"/>
      <c r="F910" s="51"/>
    </row>
    <row r="911" spans="3:6" ht="15.75" customHeight="1">
      <c r="C911" s="206"/>
      <c r="D911" s="207"/>
      <c r="E911" s="207"/>
      <c r="F911" s="51"/>
    </row>
    <row r="912" spans="3:6" ht="15.75" customHeight="1">
      <c r="C912" s="206"/>
      <c r="D912" s="207"/>
      <c r="E912" s="207"/>
      <c r="F912" s="51"/>
    </row>
    <row r="913" spans="3:6" ht="15.75" customHeight="1">
      <c r="C913" s="206"/>
      <c r="D913" s="207"/>
      <c r="E913" s="207"/>
      <c r="F913" s="51"/>
    </row>
    <row r="914" spans="3:6" ht="15.75" customHeight="1">
      <c r="C914" s="206"/>
      <c r="D914" s="207"/>
      <c r="E914" s="207"/>
      <c r="F914" s="51"/>
    </row>
    <row r="915" spans="3:6" ht="15.75" customHeight="1">
      <c r="C915" s="206"/>
      <c r="D915" s="207"/>
      <c r="E915" s="207"/>
      <c r="F915" s="51"/>
    </row>
    <row r="916" spans="3:6" ht="15.75" customHeight="1">
      <c r="C916" s="206"/>
      <c r="D916" s="207"/>
      <c r="E916" s="207"/>
      <c r="F916" s="51"/>
    </row>
    <row r="917" spans="3:6" ht="15.75" customHeight="1">
      <c r="C917" s="206"/>
      <c r="D917" s="207"/>
      <c r="E917" s="207"/>
      <c r="F917" s="51"/>
    </row>
    <row r="918" spans="3:6" ht="15.75" customHeight="1">
      <c r="C918" s="206"/>
      <c r="D918" s="207"/>
      <c r="E918" s="207"/>
      <c r="F918" s="51"/>
    </row>
    <row r="919" spans="3:6" ht="15.75" customHeight="1">
      <c r="C919" s="206"/>
      <c r="D919" s="207"/>
      <c r="E919" s="207"/>
      <c r="F919" s="51"/>
    </row>
    <row r="920" spans="3:6" ht="15.75" customHeight="1">
      <c r="C920" s="206"/>
      <c r="D920" s="207"/>
      <c r="E920" s="207"/>
      <c r="F920" s="51"/>
    </row>
    <row r="921" spans="3:6" ht="15.75" customHeight="1">
      <c r="C921" s="206"/>
      <c r="D921" s="207"/>
      <c r="E921" s="207"/>
      <c r="F921" s="51"/>
    </row>
    <row r="922" spans="3:6" ht="15.75" customHeight="1">
      <c r="C922" s="206"/>
      <c r="D922" s="207"/>
      <c r="E922" s="207"/>
      <c r="F922" s="51"/>
    </row>
    <row r="923" spans="3:6" ht="15.75" customHeight="1">
      <c r="C923" s="206"/>
      <c r="D923" s="207"/>
      <c r="E923" s="207"/>
      <c r="F923" s="51"/>
    </row>
    <row r="924" spans="3:6" ht="15.75" customHeight="1">
      <c r="C924" s="206"/>
      <c r="D924" s="207"/>
      <c r="E924" s="207"/>
      <c r="F924" s="51"/>
    </row>
    <row r="925" spans="3:6" ht="15.75" customHeight="1">
      <c r="C925" s="206"/>
      <c r="D925" s="207"/>
      <c r="E925" s="207"/>
      <c r="F925" s="51"/>
    </row>
    <row r="926" spans="3:6" ht="15.75" customHeight="1">
      <c r="C926" s="206"/>
      <c r="D926" s="207"/>
      <c r="E926" s="207"/>
      <c r="F926" s="51"/>
    </row>
    <row r="927" spans="3:6" ht="15.75" customHeight="1">
      <c r="C927" s="206"/>
      <c r="D927" s="207"/>
      <c r="E927" s="207"/>
      <c r="F927" s="51"/>
    </row>
    <row r="928" spans="3:6" ht="15.75" customHeight="1">
      <c r="C928" s="206"/>
      <c r="D928" s="207"/>
      <c r="E928" s="207"/>
      <c r="F928" s="51"/>
    </row>
    <row r="929" spans="3:6" ht="15.75" customHeight="1">
      <c r="C929" s="206"/>
      <c r="D929" s="207"/>
      <c r="E929" s="207"/>
      <c r="F929" s="51"/>
    </row>
    <row r="930" spans="3:6" ht="15.75" customHeight="1">
      <c r="C930" s="206"/>
      <c r="D930" s="207"/>
      <c r="E930" s="207"/>
      <c r="F930" s="51"/>
    </row>
    <row r="931" spans="3:6" ht="15.75" customHeight="1">
      <c r="C931" s="206"/>
      <c r="D931" s="207"/>
      <c r="E931" s="207"/>
      <c r="F931" s="51"/>
    </row>
    <row r="932" spans="3:6" ht="15.75" customHeight="1">
      <c r="C932" s="206"/>
      <c r="D932" s="207"/>
      <c r="E932" s="207"/>
      <c r="F932" s="51"/>
    </row>
    <row r="933" spans="3:6" ht="15.75" customHeight="1">
      <c r="C933" s="206"/>
      <c r="D933" s="207"/>
      <c r="E933" s="207"/>
      <c r="F933" s="51"/>
    </row>
    <row r="934" spans="3:6" ht="15.75" customHeight="1">
      <c r="C934" s="206"/>
      <c r="D934" s="207"/>
      <c r="E934" s="207"/>
      <c r="F934" s="51"/>
    </row>
    <row r="935" spans="3:6" ht="15.75" customHeight="1">
      <c r="C935" s="206"/>
      <c r="D935" s="207"/>
      <c r="E935" s="207"/>
      <c r="F935" s="51"/>
    </row>
    <row r="936" spans="3:6" ht="15.75" customHeight="1">
      <c r="C936" s="206"/>
      <c r="D936" s="207"/>
      <c r="E936" s="207"/>
      <c r="F936" s="51"/>
    </row>
    <row r="937" spans="3:6" ht="15.75" customHeight="1">
      <c r="C937" s="206"/>
      <c r="D937" s="207"/>
      <c r="E937" s="207"/>
      <c r="F937" s="51"/>
    </row>
    <row r="938" spans="3:6" ht="15.75" customHeight="1">
      <c r="C938" s="206"/>
      <c r="D938" s="207"/>
      <c r="E938" s="207"/>
      <c r="F938" s="51"/>
    </row>
    <row r="939" spans="3:6" ht="15.75" customHeight="1">
      <c r="C939" s="206"/>
      <c r="D939" s="207"/>
      <c r="E939" s="207"/>
      <c r="F939" s="51"/>
    </row>
    <row r="940" spans="3:6" ht="15.75" customHeight="1">
      <c r="C940" s="206"/>
      <c r="D940" s="207"/>
      <c r="E940" s="207"/>
      <c r="F940" s="51"/>
    </row>
    <row r="941" spans="3:6" ht="15.75" customHeight="1">
      <c r="C941" s="206"/>
      <c r="D941" s="207"/>
      <c r="E941" s="207"/>
      <c r="F941" s="51"/>
    </row>
    <row r="942" spans="3:6" ht="15.75" customHeight="1">
      <c r="C942" s="206"/>
      <c r="D942" s="207"/>
      <c r="E942" s="207"/>
      <c r="F942" s="51"/>
    </row>
    <row r="943" spans="3:6" ht="15.75" customHeight="1">
      <c r="C943" s="206"/>
      <c r="D943" s="207"/>
      <c r="E943" s="207"/>
      <c r="F943" s="51"/>
    </row>
    <row r="944" spans="3:6" ht="15.75" customHeight="1">
      <c r="C944" s="206"/>
      <c r="D944" s="207"/>
      <c r="E944" s="207"/>
      <c r="F944" s="51"/>
    </row>
    <row r="945" spans="3:6" ht="15.75" customHeight="1">
      <c r="C945" s="206"/>
      <c r="D945" s="207"/>
      <c r="E945" s="207"/>
      <c r="F945" s="51"/>
    </row>
    <row r="946" spans="3:6" ht="15.75" customHeight="1">
      <c r="C946" s="206"/>
      <c r="D946" s="207"/>
      <c r="E946" s="207"/>
      <c r="F946" s="51"/>
    </row>
    <row r="947" spans="3:6" ht="15.75" customHeight="1">
      <c r="C947" s="206"/>
      <c r="D947" s="207"/>
      <c r="E947" s="207"/>
      <c r="F947" s="51"/>
    </row>
    <row r="948" spans="3:6" ht="15.75" customHeight="1">
      <c r="C948" s="206"/>
      <c r="D948" s="207"/>
      <c r="E948" s="207"/>
      <c r="F948" s="51"/>
    </row>
    <row r="949" spans="3:6" ht="15.75" customHeight="1">
      <c r="C949" s="206"/>
      <c r="D949" s="207"/>
      <c r="E949" s="207"/>
      <c r="F949" s="51"/>
    </row>
    <row r="950" spans="3:6" ht="15.75" customHeight="1">
      <c r="C950" s="206"/>
      <c r="D950" s="207"/>
      <c r="E950" s="207"/>
      <c r="F950" s="51"/>
    </row>
    <row r="951" spans="3:6" ht="15.75" customHeight="1">
      <c r="C951" s="206"/>
      <c r="D951" s="207"/>
      <c r="E951" s="207"/>
      <c r="F951" s="51"/>
    </row>
    <row r="952" spans="3:6" ht="15.75" customHeight="1">
      <c r="C952" s="206"/>
      <c r="D952" s="207"/>
      <c r="E952" s="207"/>
      <c r="F952" s="51"/>
    </row>
    <row r="953" spans="3:6" ht="15.75" customHeight="1">
      <c r="C953" s="206"/>
      <c r="D953" s="207"/>
      <c r="E953" s="207"/>
      <c r="F953" s="51"/>
    </row>
    <row r="954" spans="3:6" ht="15.75" customHeight="1">
      <c r="C954" s="206"/>
      <c r="D954" s="207"/>
      <c r="E954" s="207"/>
      <c r="F954" s="51"/>
    </row>
    <row r="955" spans="3:6" ht="15.75" customHeight="1">
      <c r="C955" s="206"/>
      <c r="D955" s="207"/>
      <c r="E955" s="207"/>
      <c r="F955" s="51"/>
    </row>
    <row r="956" spans="3:6" ht="15.75" customHeight="1">
      <c r="C956" s="206"/>
      <c r="D956" s="207"/>
      <c r="E956" s="207"/>
      <c r="F956" s="51"/>
    </row>
    <row r="957" spans="3:6" ht="15.75" customHeight="1">
      <c r="C957" s="206"/>
      <c r="D957" s="207"/>
      <c r="E957" s="207"/>
      <c r="F957" s="51"/>
    </row>
    <row r="958" spans="3:6" ht="15.75" customHeight="1">
      <c r="C958" s="206"/>
      <c r="D958" s="207"/>
      <c r="E958" s="207"/>
      <c r="F958" s="51"/>
    </row>
    <row r="959" spans="3:6" ht="15.75" customHeight="1">
      <c r="C959" s="206"/>
      <c r="D959" s="207"/>
      <c r="E959" s="207"/>
      <c r="F959" s="51"/>
    </row>
    <row r="960" spans="3:6" ht="15.75" customHeight="1">
      <c r="C960" s="206"/>
      <c r="D960" s="207"/>
      <c r="E960" s="207"/>
      <c r="F960" s="51"/>
    </row>
    <row r="961" spans="3:6" ht="15.75" customHeight="1">
      <c r="C961" s="206"/>
      <c r="D961" s="207"/>
      <c r="E961" s="207"/>
      <c r="F961" s="51"/>
    </row>
    <row r="962" spans="3:6" ht="15.75" customHeight="1">
      <c r="C962" s="206"/>
      <c r="D962" s="207"/>
      <c r="E962" s="207"/>
      <c r="F962" s="51"/>
    </row>
    <row r="963" spans="3:6" ht="15.75" customHeight="1">
      <c r="C963" s="206"/>
      <c r="D963" s="207"/>
      <c r="E963" s="207"/>
      <c r="F963" s="51"/>
    </row>
    <row r="964" spans="3:6" ht="15.75" customHeight="1">
      <c r="C964" s="206"/>
      <c r="D964" s="207"/>
      <c r="E964" s="207"/>
      <c r="F964" s="51"/>
    </row>
    <row r="965" spans="3:6" ht="15.75" customHeight="1">
      <c r="C965" s="206"/>
      <c r="D965" s="207"/>
      <c r="E965" s="207"/>
      <c r="F965" s="51"/>
    </row>
    <row r="966" spans="3:6" ht="15.75" customHeight="1">
      <c r="C966" s="206"/>
      <c r="D966" s="207"/>
      <c r="E966" s="207"/>
      <c r="F966" s="51"/>
    </row>
    <row r="967" spans="3:6" ht="15.75" customHeight="1">
      <c r="C967" s="206"/>
      <c r="D967" s="207"/>
      <c r="E967" s="207"/>
      <c r="F967" s="51"/>
    </row>
    <row r="968" spans="3:6" ht="15.75" customHeight="1">
      <c r="C968" s="206"/>
      <c r="D968" s="207"/>
      <c r="E968" s="207"/>
      <c r="F968" s="51"/>
    </row>
    <row r="969" spans="3:6" ht="15.75" customHeight="1">
      <c r="C969" s="206"/>
      <c r="D969" s="207"/>
      <c r="E969" s="207"/>
      <c r="F969" s="51"/>
    </row>
    <row r="970" spans="3:6" ht="15.75" customHeight="1">
      <c r="C970" s="206"/>
      <c r="D970" s="207"/>
      <c r="E970" s="207"/>
      <c r="F970" s="51"/>
    </row>
    <row r="971" spans="3:6" ht="15.75" customHeight="1">
      <c r="C971" s="206"/>
      <c r="D971" s="207"/>
      <c r="E971" s="207"/>
      <c r="F971" s="51"/>
    </row>
    <row r="972" spans="3:6" ht="15.75" customHeight="1">
      <c r="C972" s="206"/>
      <c r="D972" s="207"/>
      <c r="E972" s="207"/>
      <c r="F972" s="51"/>
    </row>
    <row r="973" spans="3:6" ht="15.75" customHeight="1">
      <c r="C973" s="206"/>
      <c r="D973" s="207"/>
      <c r="E973" s="207"/>
      <c r="F973" s="51"/>
    </row>
    <row r="974" spans="3:6" ht="15.75" customHeight="1">
      <c r="C974" s="206"/>
      <c r="D974" s="207"/>
      <c r="E974" s="207"/>
      <c r="F974" s="51"/>
    </row>
    <row r="975" spans="3:6" ht="15.75" customHeight="1">
      <c r="C975" s="206"/>
      <c r="D975" s="207"/>
      <c r="E975" s="207"/>
      <c r="F975" s="51"/>
    </row>
    <row r="976" spans="3:6" ht="15.75" customHeight="1">
      <c r="C976" s="206"/>
      <c r="D976" s="207"/>
      <c r="E976" s="207"/>
      <c r="F976" s="51"/>
    </row>
    <row r="977" spans="3:6" ht="15.75" customHeight="1">
      <c r="C977" s="206"/>
      <c r="D977" s="207"/>
      <c r="E977" s="207"/>
      <c r="F977" s="51"/>
    </row>
    <row r="978" spans="3:6" ht="15.75" customHeight="1">
      <c r="C978" s="206"/>
      <c r="D978" s="207"/>
      <c r="E978" s="207"/>
      <c r="F978" s="51"/>
    </row>
    <row r="979" spans="3:6" ht="15.75" customHeight="1">
      <c r="C979" s="206"/>
      <c r="D979" s="207"/>
      <c r="E979" s="207"/>
      <c r="F979" s="51"/>
    </row>
    <row r="980" spans="3:6" ht="15.75" customHeight="1">
      <c r="C980" s="206"/>
      <c r="D980" s="207"/>
      <c r="E980" s="207"/>
      <c r="F980" s="51"/>
    </row>
    <row r="981" spans="3:6" ht="15.75" customHeight="1">
      <c r="C981" s="206"/>
      <c r="D981" s="207"/>
      <c r="E981" s="207"/>
      <c r="F981" s="51"/>
    </row>
    <row r="982" spans="3:6" ht="15.75" customHeight="1">
      <c r="C982" s="206"/>
      <c r="D982" s="207"/>
      <c r="E982" s="207"/>
      <c r="F982" s="51"/>
    </row>
    <row r="983" spans="3:6" ht="15.75" customHeight="1">
      <c r="C983" s="206"/>
      <c r="D983" s="207"/>
      <c r="E983" s="207"/>
      <c r="F983" s="51"/>
    </row>
    <row r="984" spans="3:6" ht="15.75" customHeight="1">
      <c r="C984" s="206"/>
      <c r="D984" s="207"/>
      <c r="E984" s="207"/>
      <c r="F984" s="51"/>
    </row>
    <row r="985" spans="3:6" ht="15.75" customHeight="1">
      <c r="C985" s="206"/>
      <c r="D985" s="207"/>
      <c r="E985" s="207"/>
      <c r="F985" s="51"/>
    </row>
    <row r="986" spans="3:6" ht="15.75" customHeight="1">
      <c r="C986" s="206"/>
      <c r="D986" s="207"/>
      <c r="E986" s="207"/>
      <c r="F986" s="51"/>
    </row>
    <row r="987" spans="3:6" ht="15.75" customHeight="1">
      <c r="C987" s="206"/>
      <c r="D987" s="207"/>
      <c r="E987" s="207"/>
      <c r="F987" s="51"/>
    </row>
    <row r="988" spans="3:6" ht="15.75" customHeight="1">
      <c r="C988" s="206"/>
      <c r="D988" s="207"/>
      <c r="E988" s="207"/>
      <c r="F988" s="51"/>
    </row>
    <row r="989" spans="3:6" ht="15.75" customHeight="1">
      <c r="C989" s="206"/>
      <c r="D989" s="207"/>
      <c r="E989" s="207"/>
      <c r="F989" s="51"/>
    </row>
    <row r="990" spans="3:6" ht="15.75" customHeight="1">
      <c r="C990" s="206"/>
      <c r="D990" s="207"/>
      <c r="E990" s="207"/>
      <c r="F990" s="51"/>
    </row>
    <row r="991" spans="3:6" ht="15.75" customHeight="1">
      <c r="C991" s="206"/>
      <c r="D991" s="207"/>
      <c r="E991" s="207"/>
      <c r="F991" s="51"/>
    </row>
    <row r="992" spans="3:6" ht="15.75" customHeight="1">
      <c r="C992" s="206"/>
      <c r="D992" s="207"/>
      <c r="E992" s="207"/>
      <c r="F992" s="51"/>
    </row>
    <row r="993" spans="3:6" ht="15.75" customHeight="1">
      <c r="C993" s="206"/>
      <c r="D993" s="207"/>
      <c r="E993" s="207"/>
      <c r="F993" s="51"/>
    </row>
    <row r="994" spans="3:6" ht="15.75" customHeight="1">
      <c r="C994" s="206"/>
      <c r="D994" s="207"/>
      <c r="E994" s="207"/>
      <c r="F994" s="51"/>
    </row>
    <row r="995" spans="3:6" ht="15.75" customHeight="1">
      <c r="C995" s="206"/>
      <c r="D995" s="207"/>
      <c r="E995" s="207"/>
      <c r="F995" s="51"/>
    </row>
    <row r="996" spans="3:6" ht="15.75" customHeight="1">
      <c r="C996" s="206"/>
      <c r="D996" s="207"/>
      <c r="E996" s="207"/>
      <c r="F996" s="51"/>
    </row>
    <row r="997" spans="3:6" ht="15.75" customHeight="1">
      <c r="C997" s="206"/>
      <c r="D997" s="207"/>
      <c r="E997" s="207"/>
      <c r="F997" s="51"/>
    </row>
    <row r="998" spans="3:6" ht="15.75" customHeight="1">
      <c r="C998" s="206"/>
      <c r="D998" s="207"/>
      <c r="E998" s="207"/>
      <c r="F998" s="51"/>
    </row>
    <row r="999" spans="3:6" ht="15.75" customHeight="1">
      <c r="C999" s="206"/>
      <c r="D999" s="207"/>
      <c r="E999" s="207"/>
      <c r="F999" s="51"/>
    </row>
    <row r="1000" spans="3:6" ht="15.75" customHeight="1">
      <c r="C1000" s="206"/>
      <c r="D1000" s="207"/>
      <c r="E1000" s="207"/>
      <c r="F1000" s="51"/>
    </row>
  </sheetData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4.42578125" defaultRowHeight="15" customHeight="1"/>
  <cols>
    <col min="1" max="1" width="4.5703125" customWidth="1"/>
    <col min="2" max="2" width="6.85546875" customWidth="1"/>
    <col min="3" max="4" width="81.7109375" customWidth="1"/>
    <col min="5" max="5" width="37.140625" customWidth="1"/>
    <col min="6" max="6" width="24.7109375" customWidth="1"/>
    <col min="7" max="7" width="11.7109375" customWidth="1"/>
    <col min="8" max="8" width="12" customWidth="1"/>
    <col min="9" max="9" width="21.7109375" customWidth="1"/>
    <col min="10" max="26" width="9.140625" customWidth="1"/>
  </cols>
  <sheetData>
    <row r="1" spans="1:26" ht="18" customHeight="1">
      <c r="A1" s="317" t="s">
        <v>3823</v>
      </c>
      <c r="B1" s="318"/>
      <c r="C1" s="318"/>
      <c r="D1" s="318"/>
      <c r="E1" s="318"/>
      <c r="F1" s="318"/>
      <c r="G1" s="318"/>
      <c r="H1" s="318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</row>
    <row r="2" spans="1:26" ht="30" customHeight="1">
      <c r="A2" s="210" t="s">
        <v>5</v>
      </c>
      <c r="B2" s="211" t="s">
        <v>7</v>
      </c>
      <c r="C2" s="211" t="s">
        <v>8</v>
      </c>
      <c r="D2" s="211"/>
      <c r="E2" s="211" t="s">
        <v>10</v>
      </c>
      <c r="F2" s="211" t="s">
        <v>11</v>
      </c>
      <c r="G2" s="211" t="s">
        <v>12</v>
      </c>
      <c r="H2" s="212" t="s">
        <v>13</v>
      </c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</row>
    <row r="3" spans="1:26" ht="12" customHeight="1">
      <c r="A3" s="213">
        <v>1</v>
      </c>
      <c r="B3" s="214">
        <v>2</v>
      </c>
      <c r="C3" s="214" t="s">
        <v>3824</v>
      </c>
      <c r="D3" s="214"/>
      <c r="E3" s="215">
        <v>4</v>
      </c>
      <c r="F3" s="216">
        <v>5</v>
      </c>
      <c r="G3" s="216">
        <v>6</v>
      </c>
      <c r="H3" s="217">
        <v>7</v>
      </c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</row>
    <row r="4" spans="1:26" ht="15" customHeight="1">
      <c r="A4" s="219">
        <v>1</v>
      </c>
      <c r="B4" s="211">
        <v>19</v>
      </c>
      <c r="C4" s="220" t="s">
        <v>3825</v>
      </c>
      <c r="D4" s="221" t="str">
        <f t="shared" ref="D4:D614" si="0">C4&amp;" ("&amp;B4&amp;")"</f>
        <v>HRVATSKI SABOR (19)</v>
      </c>
      <c r="E4" s="220" t="s">
        <v>3826</v>
      </c>
      <c r="F4" s="220" t="s">
        <v>23</v>
      </c>
      <c r="G4" s="222">
        <v>3205860</v>
      </c>
      <c r="H4" s="223" t="s">
        <v>3827</v>
      </c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</row>
    <row r="5" spans="1:26" ht="15" customHeight="1">
      <c r="A5" s="219">
        <f t="shared" ref="A5:A614" si="1">+A4+1</f>
        <v>2</v>
      </c>
      <c r="B5" s="225">
        <v>52321</v>
      </c>
      <c r="C5" s="220" t="s">
        <v>3828</v>
      </c>
      <c r="D5" s="221" t="str">
        <f t="shared" si="0"/>
        <v>POVJERENSTVO ZA FISKALNU POLITIKU (52321)</v>
      </c>
      <c r="E5" s="220" t="s">
        <v>3829</v>
      </c>
      <c r="F5" s="220" t="s">
        <v>23</v>
      </c>
      <c r="G5" s="222">
        <v>5513260</v>
      </c>
      <c r="H5" s="223" t="s">
        <v>3830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</row>
    <row r="6" spans="1:26" ht="15" customHeight="1">
      <c r="A6" s="219">
        <f t="shared" si="1"/>
        <v>3</v>
      </c>
      <c r="B6" s="226">
        <v>42434</v>
      </c>
      <c r="C6" s="227" t="s">
        <v>3831</v>
      </c>
      <c r="D6" s="221" t="str">
        <f t="shared" si="0"/>
        <v>DRŽAVNO IZBORNO POVJERENSTVO REPUBLIKE HRVATSKE (42434)</v>
      </c>
      <c r="E6" s="227" t="s">
        <v>3832</v>
      </c>
      <c r="F6" s="227" t="s">
        <v>23</v>
      </c>
      <c r="G6" s="228">
        <v>2197278</v>
      </c>
      <c r="H6" s="229" t="s">
        <v>3833</v>
      </c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</row>
    <row r="7" spans="1:26" ht="15" customHeight="1">
      <c r="A7" s="219">
        <f t="shared" si="1"/>
        <v>4</v>
      </c>
      <c r="B7" s="226">
        <v>46028</v>
      </c>
      <c r="C7" s="220" t="s">
        <v>3834</v>
      </c>
      <c r="D7" s="221" t="str">
        <f t="shared" si="0"/>
        <v>URED PREDSJEDNICE REPUBLIKE HRVATSKE PO PRESTANKU OBNAŠANJA DUŽNOSTI (46028)</v>
      </c>
      <c r="E7" s="220" t="s">
        <v>3835</v>
      </c>
      <c r="F7" s="220" t="s">
        <v>23</v>
      </c>
      <c r="G7" s="222">
        <v>2611660</v>
      </c>
      <c r="H7" s="223" t="s">
        <v>3836</v>
      </c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</row>
    <row r="8" spans="1:26" ht="15" customHeight="1">
      <c r="A8" s="219">
        <f t="shared" si="1"/>
        <v>5</v>
      </c>
      <c r="B8" s="226">
        <v>35</v>
      </c>
      <c r="C8" s="220" t="s">
        <v>3837</v>
      </c>
      <c r="D8" s="221" t="str">
        <f t="shared" si="0"/>
        <v>URED PREDSJEDNIKA REPUBLIKE HRVATSKE (35)</v>
      </c>
      <c r="E8" s="220" t="s">
        <v>3838</v>
      </c>
      <c r="F8" s="220" t="s">
        <v>23</v>
      </c>
      <c r="G8" s="222">
        <v>3220346</v>
      </c>
      <c r="H8" s="223" t="s">
        <v>3839</v>
      </c>
      <c r="I8" s="209"/>
      <c r="J8" s="224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</row>
    <row r="9" spans="1:26" ht="15" customHeight="1">
      <c r="A9" s="219">
        <f t="shared" si="1"/>
        <v>6</v>
      </c>
      <c r="B9" s="226">
        <v>6031</v>
      </c>
      <c r="C9" s="220" t="s">
        <v>3840</v>
      </c>
      <c r="D9" s="221" t="str">
        <f t="shared" si="0"/>
        <v>USTAVNI SUD REPUBLIKE HRVATSKE (6031)</v>
      </c>
      <c r="E9" s="220" t="s">
        <v>3841</v>
      </c>
      <c r="F9" s="220" t="s">
        <v>23</v>
      </c>
      <c r="G9" s="222">
        <v>3206084</v>
      </c>
      <c r="H9" s="223" t="s">
        <v>3842</v>
      </c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</row>
    <row r="10" spans="1:26" ht="15" customHeight="1">
      <c r="A10" s="219">
        <f t="shared" si="1"/>
        <v>7</v>
      </c>
      <c r="B10" s="226">
        <v>20833</v>
      </c>
      <c r="C10" s="220" t="s">
        <v>3843</v>
      </c>
      <c r="D10" s="221" t="str">
        <f t="shared" si="0"/>
        <v>AGENCIJA ZA ZAŠTITU TRŽIŠNOG NATJECANJA (20833)</v>
      </c>
      <c r="E10" s="220" t="s">
        <v>3844</v>
      </c>
      <c r="F10" s="220" t="s">
        <v>23</v>
      </c>
      <c r="G10" s="222">
        <v>1253433</v>
      </c>
      <c r="H10" s="223" t="s">
        <v>3845</v>
      </c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</row>
    <row r="11" spans="1:26" ht="15" customHeight="1">
      <c r="A11" s="219">
        <f t="shared" si="1"/>
        <v>8</v>
      </c>
      <c r="B11" s="226">
        <v>51</v>
      </c>
      <c r="C11" s="220" t="s">
        <v>3846</v>
      </c>
      <c r="D11" s="221" t="str">
        <f t="shared" si="0"/>
        <v>VLADA REPUBLIKE HRVATSKE (51)</v>
      </c>
      <c r="E11" s="220" t="s">
        <v>3847</v>
      </c>
      <c r="F11" s="220" t="s">
        <v>23</v>
      </c>
      <c r="G11" s="222">
        <v>3205924</v>
      </c>
      <c r="H11" s="223" t="s">
        <v>3848</v>
      </c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</row>
    <row r="12" spans="1:26" ht="15" customHeight="1">
      <c r="A12" s="230">
        <f t="shared" si="1"/>
        <v>9</v>
      </c>
      <c r="B12" s="231">
        <v>23753</v>
      </c>
      <c r="C12" s="221" t="s">
        <v>3849</v>
      </c>
      <c r="D12" s="221" t="str">
        <f t="shared" si="0"/>
        <v>URED PREDSJEDNIKA VLADE REPUBLIKE HRVATSKE (23753)</v>
      </c>
      <c r="E12" s="221" t="s">
        <v>3847</v>
      </c>
      <c r="F12" s="221" t="s">
        <v>23</v>
      </c>
      <c r="G12" s="232">
        <v>1676504</v>
      </c>
      <c r="H12" s="16" t="s">
        <v>3850</v>
      </c>
      <c r="I12" s="209"/>
      <c r="J12" s="224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209"/>
    </row>
    <row r="13" spans="1:26" ht="15" customHeight="1">
      <c r="A13" s="230">
        <f t="shared" si="1"/>
        <v>10</v>
      </c>
      <c r="B13" s="231">
        <v>51386</v>
      </c>
      <c r="C13" s="221" t="s">
        <v>3851</v>
      </c>
      <c r="D13" s="221" t="str">
        <f t="shared" si="0"/>
        <v>URED POTPREDSJEDNIKA VLADE REPUBLIKE HRVATSKE (51386)</v>
      </c>
      <c r="E13" s="221" t="s">
        <v>3847</v>
      </c>
      <c r="F13" s="221" t="s">
        <v>23</v>
      </c>
      <c r="G13" s="232">
        <v>5294584</v>
      </c>
      <c r="H13" s="16" t="s">
        <v>3852</v>
      </c>
      <c r="I13" s="209"/>
      <c r="J13" s="224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</row>
    <row r="14" spans="1:26" ht="15" customHeight="1">
      <c r="A14" s="230">
        <f t="shared" si="1"/>
        <v>11</v>
      </c>
      <c r="B14" s="231">
        <v>22275</v>
      </c>
      <c r="C14" s="221" t="s">
        <v>3853</v>
      </c>
      <c r="D14" s="221" t="str">
        <f t="shared" si="0"/>
        <v>URED ZA UDRUGE (22275)</v>
      </c>
      <c r="E14" s="221" t="s">
        <v>3854</v>
      </c>
      <c r="F14" s="221" t="s">
        <v>23</v>
      </c>
      <c r="G14" s="232">
        <v>1404113</v>
      </c>
      <c r="H14" s="16" t="s">
        <v>3855</v>
      </c>
      <c r="I14" s="209"/>
      <c r="J14" s="224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1:26" ht="15" customHeight="1">
      <c r="A15" s="230">
        <f t="shared" si="1"/>
        <v>12</v>
      </c>
      <c r="B15" s="231">
        <v>47406</v>
      </c>
      <c r="C15" s="221" t="s">
        <v>3856</v>
      </c>
      <c r="D15" s="221" t="str">
        <f t="shared" si="0"/>
        <v>URED ZASTUPNIKA REPUBLIKE HRVATSKE PRED EUROPSKIM SUDOM ZA LJUDSKA PRAVA  (47406)</v>
      </c>
      <c r="E15" s="221" t="s">
        <v>3857</v>
      </c>
      <c r="F15" s="221" t="s">
        <v>23</v>
      </c>
      <c r="G15" s="232">
        <v>2864851</v>
      </c>
      <c r="H15" s="16" t="s">
        <v>3858</v>
      </c>
      <c r="I15" s="209"/>
      <c r="J15" s="224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1:26" ht="15" customHeight="1">
      <c r="A16" s="230">
        <f t="shared" si="1"/>
        <v>13</v>
      </c>
      <c r="B16" s="231">
        <v>23979</v>
      </c>
      <c r="C16" s="221" t="s">
        <v>3859</v>
      </c>
      <c r="D16" s="221" t="str">
        <f t="shared" si="0"/>
        <v>STRUČNA SLUŽBA SAVJETA ZA NACIONALNE MANJINE (23979)</v>
      </c>
      <c r="E16" s="221" t="s">
        <v>3860</v>
      </c>
      <c r="F16" s="221" t="s">
        <v>23</v>
      </c>
      <c r="G16" s="232">
        <v>1730118</v>
      </c>
      <c r="H16" s="16" t="s">
        <v>3861</v>
      </c>
      <c r="I16" s="209"/>
      <c r="J16" s="224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26" ht="15" customHeight="1">
      <c r="A17" s="230">
        <f t="shared" si="1"/>
        <v>14</v>
      </c>
      <c r="B17" s="231">
        <v>115</v>
      </c>
      <c r="C17" s="221" t="s">
        <v>3862</v>
      </c>
      <c r="D17" s="221" t="str">
        <f t="shared" si="0"/>
        <v>URED ZA ZAKONODAVSTVO (115)</v>
      </c>
      <c r="E17" s="221" t="s">
        <v>3847</v>
      </c>
      <c r="F17" s="221" t="s">
        <v>23</v>
      </c>
      <c r="G17" s="232">
        <v>3205959</v>
      </c>
      <c r="H17" s="16" t="s">
        <v>3863</v>
      </c>
      <c r="I17" s="209"/>
      <c r="J17" s="224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26" ht="15" customHeight="1">
      <c r="A18" s="230">
        <f t="shared" si="1"/>
        <v>15</v>
      </c>
      <c r="B18" s="231">
        <v>123</v>
      </c>
      <c r="C18" s="221" t="s">
        <v>3864</v>
      </c>
      <c r="D18" s="221" t="str">
        <f t="shared" si="0"/>
        <v>URED ZA OPĆE POSLOVE HRVATSKOG SABORA I VLADE REPUBLIKE HRVATSKE (123)</v>
      </c>
      <c r="E18" s="221" t="s">
        <v>3865</v>
      </c>
      <c r="F18" s="221" t="s">
        <v>23</v>
      </c>
      <c r="G18" s="232">
        <v>3205916</v>
      </c>
      <c r="H18" s="16" t="s">
        <v>3866</v>
      </c>
      <c r="I18" s="209"/>
      <c r="J18" s="224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26" ht="15" customHeight="1">
      <c r="A19" s="230">
        <f t="shared" si="1"/>
        <v>16</v>
      </c>
      <c r="B19" s="231">
        <v>23673</v>
      </c>
      <c r="C19" s="221" t="s">
        <v>3867</v>
      </c>
      <c r="D19" s="221" t="str">
        <f t="shared" si="0"/>
        <v>URED ZA PROTOKOL (23673)</v>
      </c>
      <c r="E19" s="221" t="s">
        <v>3847</v>
      </c>
      <c r="F19" s="221" t="s">
        <v>23</v>
      </c>
      <c r="G19" s="232">
        <v>1594478</v>
      </c>
      <c r="H19" s="16" t="s">
        <v>3868</v>
      </c>
      <c r="I19" s="209"/>
      <c r="J19" s="224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</row>
    <row r="20" spans="1:26" ht="15" customHeight="1">
      <c r="A20" s="230">
        <f t="shared" si="1"/>
        <v>17</v>
      </c>
      <c r="B20" s="231">
        <v>23745</v>
      </c>
      <c r="C20" s="221" t="s">
        <v>3869</v>
      </c>
      <c r="D20" s="221" t="str">
        <f t="shared" si="0"/>
        <v>URED VLADE REPUBLIKE HRVATSKE ZA UNUTARNJU REVIZIJU (23745)</v>
      </c>
      <c r="E20" s="221" t="s">
        <v>3870</v>
      </c>
      <c r="F20" s="221" t="s">
        <v>23</v>
      </c>
      <c r="G20" s="232">
        <v>1654098</v>
      </c>
      <c r="H20" s="16" t="s">
        <v>3871</v>
      </c>
      <c r="I20" s="209"/>
      <c r="J20" s="224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26" ht="15.75" customHeight="1">
      <c r="A21" s="230">
        <f t="shared" si="1"/>
        <v>18</v>
      </c>
      <c r="B21" s="231">
        <v>23690</v>
      </c>
      <c r="C21" s="221" t="s">
        <v>3872</v>
      </c>
      <c r="D21" s="221" t="str">
        <f t="shared" si="0"/>
        <v>DIREKCIJA ZA KORIŠTENJE SLUŽBENIH ZRAKOPLOVA (23690)</v>
      </c>
      <c r="E21" s="221" t="s">
        <v>3873</v>
      </c>
      <c r="F21" s="221" t="s">
        <v>3874</v>
      </c>
      <c r="G21" s="232">
        <v>1604686</v>
      </c>
      <c r="H21" s="16" t="s">
        <v>3875</v>
      </c>
      <c r="I21" s="209"/>
      <c r="J21" s="224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26" ht="15" customHeight="1">
      <c r="A22" s="230">
        <f t="shared" si="1"/>
        <v>19</v>
      </c>
      <c r="B22" s="231">
        <v>47422</v>
      </c>
      <c r="C22" s="221" t="s">
        <v>3876</v>
      </c>
      <c r="D22" s="221" t="str">
        <f t="shared" si="0"/>
        <v>URED ZA LJUDSKA PRAVA I PRAVA NACIONALNH MANJINA (47422)</v>
      </c>
      <c r="E22" s="221" t="s">
        <v>3860</v>
      </c>
      <c r="F22" s="221" t="s">
        <v>23</v>
      </c>
      <c r="G22" s="232">
        <v>2872781</v>
      </c>
      <c r="H22" s="16" t="s">
        <v>3877</v>
      </c>
      <c r="I22" s="209"/>
      <c r="J22" s="224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ht="15" customHeight="1">
      <c r="A23" s="230">
        <f t="shared" si="1"/>
        <v>20</v>
      </c>
      <c r="B23" s="231">
        <v>48066</v>
      </c>
      <c r="C23" s="221" t="s">
        <v>3878</v>
      </c>
      <c r="D23" s="221" t="str">
        <f t="shared" si="0"/>
        <v>URED KOMISIJE ZA ODNOSE S VJERSKIM ZAJEDNICAMA (48066)</v>
      </c>
      <c r="E23" s="221" t="s">
        <v>3860</v>
      </c>
      <c r="F23" s="221" t="s">
        <v>23</v>
      </c>
      <c r="G23" s="233" t="s">
        <v>3879</v>
      </c>
      <c r="H23" s="16" t="s">
        <v>3880</v>
      </c>
      <c r="I23" s="209"/>
      <c r="J23" s="224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26" ht="15" customHeight="1">
      <c r="A24" s="230">
        <f t="shared" si="1"/>
        <v>21</v>
      </c>
      <c r="B24" s="231">
        <v>24051</v>
      </c>
      <c r="C24" s="221" t="s">
        <v>3881</v>
      </c>
      <c r="D24" s="221" t="str">
        <f t="shared" si="0"/>
        <v>URED ZA RAVNOPRAVNOST SPOLOVA (24051)</v>
      </c>
      <c r="E24" s="221" t="s">
        <v>3860</v>
      </c>
      <c r="F24" s="221" t="s">
        <v>23</v>
      </c>
      <c r="G24" s="232">
        <v>1815342</v>
      </c>
      <c r="H24" s="16" t="s">
        <v>3882</v>
      </c>
      <c r="I24" s="234"/>
      <c r="J24" s="224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26" ht="15" customHeight="1">
      <c r="A25" s="219">
        <f t="shared" si="1"/>
        <v>22</v>
      </c>
      <c r="B25" s="226">
        <v>20157</v>
      </c>
      <c r="C25" s="220" t="s">
        <v>3883</v>
      </c>
      <c r="D25" s="221" t="str">
        <f t="shared" si="0"/>
        <v>MINISTARSTVO FINANCIJA (20157)</v>
      </c>
      <c r="E25" s="220" t="s">
        <v>3884</v>
      </c>
      <c r="F25" s="220" t="s">
        <v>23</v>
      </c>
      <c r="G25" s="222">
        <v>3205991</v>
      </c>
      <c r="H25" s="223" t="s">
        <v>3885</v>
      </c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</row>
    <row r="26" spans="1:26" ht="15" customHeight="1">
      <c r="A26" s="230">
        <f t="shared" si="1"/>
        <v>23</v>
      </c>
      <c r="B26" s="231">
        <v>43732</v>
      </c>
      <c r="C26" s="221" t="s">
        <v>3886</v>
      </c>
      <c r="D26" s="221" t="str">
        <f t="shared" si="0"/>
        <v>AGENCIJA ZA REVIZIJU SUSTAVA PROVEDBE PROGRAMA EUROPSKE UNIJE (43732)</v>
      </c>
      <c r="E26" s="221" t="s">
        <v>3887</v>
      </c>
      <c r="F26" s="221" t="s">
        <v>23</v>
      </c>
      <c r="G26" s="232">
        <v>2400774</v>
      </c>
      <c r="H26" s="16" t="s">
        <v>3888</v>
      </c>
      <c r="I26" s="209"/>
      <c r="J26" s="224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209"/>
    </row>
    <row r="27" spans="1:26" ht="15" customHeight="1">
      <c r="A27" s="230">
        <f t="shared" si="1"/>
        <v>24</v>
      </c>
      <c r="B27" s="231">
        <v>49286</v>
      </c>
      <c r="C27" s="221" t="s">
        <v>3889</v>
      </c>
      <c r="D27" s="221" t="str">
        <f t="shared" si="0"/>
        <v>ODBOR ZA STANDARDE FINANCIJSKOG IZVJEŠTAVANJA (49286)</v>
      </c>
      <c r="E27" s="221" t="s">
        <v>3884</v>
      </c>
      <c r="F27" s="221" t="s">
        <v>23</v>
      </c>
      <c r="G27" s="233" t="s">
        <v>3890</v>
      </c>
      <c r="H27" s="16" t="s">
        <v>3891</v>
      </c>
      <c r="I27" s="209"/>
      <c r="J27" s="224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</row>
    <row r="28" spans="1:26" ht="15" customHeight="1">
      <c r="A28" s="219">
        <f t="shared" si="1"/>
        <v>25</v>
      </c>
      <c r="B28" s="226">
        <v>40834</v>
      </c>
      <c r="C28" s="227" t="s">
        <v>3892</v>
      </c>
      <c r="D28" s="221" t="str">
        <f t="shared" si="0"/>
        <v>SIGURNOSNO OBAVJEŠTAJNA AGENCIJA (40834)</v>
      </c>
      <c r="E28" s="227" t="s">
        <v>3893</v>
      </c>
      <c r="F28" s="227" t="s">
        <v>23</v>
      </c>
      <c r="G28" s="228">
        <v>2111004</v>
      </c>
      <c r="H28" s="229" t="s">
        <v>3894</v>
      </c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</row>
    <row r="29" spans="1:26" ht="15" customHeight="1">
      <c r="A29" s="219">
        <f t="shared" si="1"/>
        <v>26</v>
      </c>
      <c r="B29" s="226">
        <v>47334</v>
      </c>
      <c r="C29" s="227" t="s">
        <v>3895</v>
      </c>
      <c r="D29" s="221" t="str">
        <f t="shared" si="0"/>
        <v>SREDIŠNJI DRŽAVNI URED ZA SREDIŠNJU JAVNU NABAVU (47334)</v>
      </c>
      <c r="E29" s="227" t="s">
        <v>3896</v>
      </c>
      <c r="F29" s="227" t="s">
        <v>23</v>
      </c>
      <c r="G29" s="228">
        <v>2840731</v>
      </c>
      <c r="H29" s="229" t="s">
        <v>3897</v>
      </c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</row>
    <row r="30" spans="1:26" ht="15" customHeight="1">
      <c r="A30" s="219">
        <f t="shared" si="1"/>
        <v>27</v>
      </c>
      <c r="B30" s="226">
        <v>174</v>
      </c>
      <c r="C30" s="227" t="s">
        <v>3898</v>
      </c>
      <c r="D30" s="221" t="str">
        <f t="shared" si="0"/>
        <v>MINISTARSTVO OBRANE (174)</v>
      </c>
      <c r="E30" s="227" t="s">
        <v>3899</v>
      </c>
      <c r="F30" s="227" t="s">
        <v>23</v>
      </c>
      <c r="G30" s="228">
        <v>3207595</v>
      </c>
      <c r="H30" s="229" t="s">
        <v>3900</v>
      </c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</row>
    <row r="31" spans="1:26" ht="15" customHeight="1">
      <c r="A31" s="219">
        <f t="shared" si="1"/>
        <v>28</v>
      </c>
      <c r="B31" s="226">
        <v>47439</v>
      </c>
      <c r="C31" s="227" t="s">
        <v>3901</v>
      </c>
      <c r="D31" s="221" t="str">
        <f t="shared" si="0"/>
        <v>SREDIŠNJI DRŽAVNI URED ZA HRVATE IZVAN REPUBLIKE HRVATSKE (47439)</v>
      </c>
      <c r="E31" s="227" t="s">
        <v>3902</v>
      </c>
      <c r="F31" s="227" t="s">
        <v>23</v>
      </c>
      <c r="G31" s="228">
        <v>2875004</v>
      </c>
      <c r="H31" s="229" t="s">
        <v>3903</v>
      </c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</row>
    <row r="32" spans="1:26" ht="15" customHeight="1">
      <c r="A32" s="230">
        <f t="shared" si="1"/>
        <v>29</v>
      </c>
      <c r="B32" s="231">
        <v>25917</v>
      </c>
      <c r="C32" s="221" t="s">
        <v>3904</v>
      </c>
      <c r="D32" s="221" t="str">
        <f t="shared" si="0"/>
        <v>HRVATSKA MATICA ISELJENIKA (25917)</v>
      </c>
      <c r="E32" s="221" t="s">
        <v>409</v>
      </c>
      <c r="F32" s="221" t="s">
        <v>23</v>
      </c>
      <c r="G32" s="232">
        <v>3277348</v>
      </c>
      <c r="H32" s="16" t="s">
        <v>3905</v>
      </c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</row>
    <row r="33" spans="1:26" ht="15" customHeight="1">
      <c r="A33" s="219">
        <f t="shared" si="1"/>
        <v>30</v>
      </c>
      <c r="B33" s="226">
        <v>47932</v>
      </c>
      <c r="C33" s="227" t="s">
        <v>3906</v>
      </c>
      <c r="D33" s="221" t="str">
        <f t="shared" si="0"/>
        <v>SREDIŠNJI DRŽAVNI URED ZA OBNOVU I STAMBENO ZBRINJAVANJE  (47932)</v>
      </c>
      <c r="E33" s="227" t="s">
        <v>3907</v>
      </c>
      <c r="F33" s="227" t="s">
        <v>23</v>
      </c>
      <c r="G33" s="228">
        <v>4041186</v>
      </c>
      <c r="H33" s="229" t="s">
        <v>3908</v>
      </c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</row>
    <row r="34" spans="1:26" ht="15" customHeight="1">
      <c r="A34" s="219">
        <f t="shared" si="1"/>
        <v>31</v>
      </c>
      <c r="B34" s="226">
        <v>49585</v>
      </c>
      <c r="C34" s="227" t="s">
        <v>3909</v>
      </c>
      <c r="D34" s="221" t="str">
        <f t="shared" si="0"/>
        <v>SREDIŠNJI DRŽAVNI URED ZA RAZVOJ DIGITALNOG DRUŠTVA (49585)</v>
      </c>
      <c r="E34" s="227" t="s">
        <v>3896</v>
      </c>
      <c r="F34" s="227" t="s">
        <v>23</v>
      </c>
      <c r="G34" s="235" t="s">
        <v>3910</v>
      </c>
      <c r="H34" s="229" t="s">
        <v>3911</v>
      </c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</row>
    <row r="35" spans="1:26" ht="15" customHeight="1">
      <c r="A35" s="219">
        <f t="shared" si="1"/>
        <v>32</v>
      </c>
      <c r="B35" s="226">
        <v>51409</v>
      </c>
      <c r="C35" s="227" t="s">
        <v>3912</v>
      </c>
      <c r="D35" s="221" t="str">
        <f t="shared" si="0"/>
        <v>SREDIŠNJI DRŽAVNI URED ZA DEMOGRAFIJU I MLADE (51409)</v>
      </c>
      <c r="E35" s="227" t="s">
        <v>3913</v>
      </c>
      <c r="F35" s="227" t="s">
        <v>23</v>
      </c>
      <c r="G35" s="228">
        <v>5292441</v>
      </c>
      <c r="H35" s="229" t="s">
        <v>3914</v>
      </c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</row>
    <row r="36" spans="1:26" ht="15" customHeight="1">
      <c r="A36" s="219">
        <f t="shared" si="1"/>
        <v>33</v>
      </c>
      <c r="B36" s="226">
        <v>50985</v>
      </c>
      <c r="C36" s="227" t="s">
        <v>3915</v>
      </c>
      <c r="D36" s="221" t="str">
        <f t="shared" si="0"/>
        <v>HRVATSKA VATROGASNA ZAJEDNICA (50985)</v>
      </c>
      <c r="E36" s="227" t="s">
        <v>3916</v>
      </c>
      <c r="F36" s="227" t="s">
        <v>23</v>
      </c>
      <c r="G36" s="228">
        <v>5205689</v>
      </c>
      <c r="H36" s="229" t="s">
        <v>3917</v>
      </c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</row>
    <row r="37" spans="1:26" ht="15" customHeight="1">
      <c r="A37" s="230">
        <f t="shared" si="1"/>
        <v>34</v>
      </c>
      <c r="B37" s="231">
        <v>51853</v>
      </c>
      <c r="C37" s="221" t="s">
        <v>3918</v>
      </c>
      <c r="D37" s="221" t="str">
        <f t="shared" si="0"/>
        <v>DRŽAVNA VATROGASNA ŠKOLA (51853)</v>
      </c>
      <c r="E37" s="221" t="s">
        <v>3919</v>
      </c>
      <c r="F37" s="221" t="s">
        <v>23</v>
      </c>
      <c r="G37" s="232">
        <v>5379229</v>
      </c>
      <c r="H37" s="16">
        <v>68850110329</v>
      </c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</row>
    <row r="38" spans="1:26" ht="15" customHeight="1">
      <c r="A38" s="219">
        <f t="shared" si="1"/>
        <v>35</v>
      </c>
      <c r="B38" s="226">
        <v>713</v>
      </c>
      <c r="C38" s="227" t="s">
        <v>3920</v>
      </c>
      <c r="D38" s="221" t="str">
        <f t="shared" si="0"/>
        <v>MINISTARSTVO UNUTARNJIH POSLOVA (713)</v>
      </c>
      <c r="E38" s="227" t="s">
        <v>3921</v>
      </c>
      <c r="F38" s="227" t="s">
        <v>23</v>
      </c>
      <c r="G38" s="228">
        <v>3281418</v>
      </c>
      <c r="H38" s="229" t="s">
        <v>3922</v>
      </c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</row>
    <row r="39" spans="1:26" ht="15" customHeight="1">
      <c r="A39" s="219">
        <f t="shared" si="1"/>
        <v>36</v>
      </c>
      <c r="B39" s="226">
        <v>47037</v>
      </c>
      <c r="C39" s="227" t="s">
        <v>3923</v>
      </c>
      <c r="D39" s="221" t="str">
        <f t="shared" si="0"/>
        <v>MINISTARSTVO HRVATSKIH BRANITELJA (47037)</v>
      </c>
      <c r="E39" s="236" t="s">
        <v>3913</v>
      </c>
      <c r="F39" s="227" t="s">
        <v>23</v>
      </c>
      <c r="G39" s="228">
        <v>2829541</v>
      </c>
      <c r="H39" s="229" t="s">
        <v>3924</v>
      </c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</row>
    <row r="40" spans="1:26" ht="15" customHeight="1">
      <c r="A40" s="230">
        <f t="shared" si="1"/>
        <v>37</v>
      </c>
      <c r="B40" s="231">
        <v>48314</v>
      </c>
      <c r="C40" s="221" t="s">
        <v>3925</v>
      </c>
      <c r="D40" s="221" t="str">
        <f t="shared" si="0"/>
        <v>JAVNA USTANOVA MEMORIJALNI CENTAR DOMOVINSKOG RATA VUKOVAR (48314)</v>
      </c>
      <c r="E40" s="221" t="s">
        <v>3926</v>
      </c>
      <c r="F40" s="221" t="s">
        <v>324</v>
      </c>
      <c r="G40" s="232">
        <v>4140966</v>
      </c>
      <c r="H40" s="16" t="s">
        <v>3927</v>
      </c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</row>
    <row r="41" spans="1:26" ht="15" customHeight="1">
      <c r="A41" s="230">
        <f t="shared" si="1"/>
        <v>38</v>
      </c>
      <c r="B41" s="231">
        <v>48710</v>
      </c>
      <c r="C41" s="221" t="s">
        <v>3928</v>
      </c>
      <c r="D41" s="221" t="str">
        <f t="shared" si="0"/>
        <v>DOM HRVATSKIH VETERANA (48710)</v>
      </c>
      <c r="E41" s="221" t="s">
        <v>3929</v>
      </c>
      <c r="F41" s="221" t="s">
        <v>23</v>
      </c>
      <c r="G41" s="232">
        <v>4335635</v>
      </c>
      <c r="H41" s="16" t="s">
        <v>3930</v>
      </c>
      <c r="I41" s="209"/>
      <c r="J41" s="224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</row>
    <row r="42" spans="1:26" ht="15" customHeight="1">
      <c r="A42" s="230">
        <f t="shared" si="1"/>
        <v>39</v>
      </c>
      <c r="B42" s="231">
        <v>52313</v>
      </c>
      <c r="C42" s="221" t="s">
        <v>3931</v>
      </c>
      <c r="D42" s="221" t="str">
        <f t="shared" si="0"/>
        <v>VETERANSKI CENTAR (52313)</v>
      </c>
      <c r="E42" s="221" t="s">
        <v>3932</v>
      </c>
      <c r="F42" s="221" t="s">
        <v>23</v>
      </c>
      <c r="G42" s="232">
        <v>5475139</v>
      </c>
      <c r="H42" s="16">
        <v>38617796847</v>
      </c>
      <c r="I42" s="209"/>
      <c r="J42" s="224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</row>
    <row r="43" spans="1:26" ht="15" customHeight="1">
      <c r="A43" s="219">
        <f t="shared" si="1"/>
        <v>40</v>
      </c>
      <c r="B43" s="226">
        <v>721</v>
      </c>
      <c r="C43" s="227" t="s">
        <v>3933</v>
      </c>
      <c r="D43" s="221" t="str">
        <f t="shared" si="0"/>
        <v>MINISTARSTVO VANJSKIH I EUROPSKIH POSLOVA (721)</v>
      </c>
      <c r="E43" s="227" t="s">
        <v>3934</v>
      </c>
      <c r="F43" s="227" t="s">
        <v>23</v>
      </c>
      <c r="G43" s="228">
        <v>3230040</v>
      </c>
      <c r="H43" s="229" t="s">
        <v>3935</v>
      </c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</row>
    <row r="44" spans="1:26" ht="15" customHeight="1">
      <c r="A44" s="219">
        <f t="shared" si="1"/>
        <v>41</v>
      </c>
      <c r="B44" s="226">
        <v>47852</v>
      </c>
      <c r="C44" s="227" t="s">
        <v>3936</v>
      </c>
      <c r="D44" s="221" t="str">
        <f t="shared" si="0"/>
        <v>POVJERENSTVO ZA ODLUČIVANJE O SUKOBU INTERESA (47852)</v>
      </c>
      <c r="E44" s="227" t="s">
        <v>3937</v>
      </c>
      <c r="F44" s="227" t="s">
        <v>23</v>
      </c>
      <c r="G44" s="228">
        <v>1850113</v>
      </c>
      <c r="H44" s="229" t="s">
        <v>3938</v>
      </c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</row>
    <row r="45" spans="1:26" ht="15.75" customHeight="1">
      <c r="A45" s="219">
        <f t="shared" si="1"/>
        <v>42</v>
      </c>
      <c r="B45" s="226">
        <v>756</v>
      </c>
      <c r="C45" s="227" t="s">
        <v>3939</v>
      </c>
      <c r="D45" s="221" t="str">
        <f t="shared" si="0"/>
        <v>MINISTARSTVO KULTURE I MEDIJA (756)</v>
      </c>
      <c r="E45" s="227" t="s">
        <v>3940</v>
      </c>
      <c r="F45" s="227" t="s">
        <v>23</v>
      </c>
      <c r="G45" s="228">
        <v>931608</v>
      </c>
      <c r="H45" s="229" t="s">
        <v>3941</v>
      </c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</row>
    <row r="46" spans="1:26" ht="15" customHeight="1">
      <c r="A46" s="230">
        <f t="shared" si="1"/>
        <v>43</v>
      </c>
      <c r="B46" s="231">
        <v>789</v>
      </c>
      <c r="C46" s="221" t="s">
        <v>3942</v>
      </c>
      <c r="D46" s="221" t="str">
        <f t="shared" si="0"/>
        <v>DRŽAVNI ARHIV U BJELOVARU (789)</v>
      </c>
      <c r="E46" s="221" t="s">
        <v>3943</v>
      </c>
      <c r="F46" s="221" t="s">
        <v>3944</v>
      </c>
      <c r="G46" s="232">
        <v>3316734</v>
      </c>
      <c r="H46" s="16" t="s">
        <v>3945</v>
      </c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</row>
    <row r="47" spans="1:26" ht="15" customHeight="1">
      <c r="A47" s="230">
        <f t="shared" si="1"/>
        <v>44</v>
      </c>
      <c r="B47" s="231">
        <v>797</v>
      </c>
      <c r="C47" s="221" t="s">
        <v>3946</v>
      </c>
      <c r="D47" s="221" t="str">
        <f t="shared" si="0"/>
        <v>DRŽAVNI ARHIV U DUBROVNIKU (797)</v>
      </c>
      <c r="E47" s="221" t="s">
        <v>3947</v>
      </c>
      <c r="F47" s="221" t="s">
        <v>118</v>
      </c>
      <c r="G47" s="232">
        <v>3303870</v>
      </c>
      <c r="H47" s="16" t="s">
        <v>3948</v>
      </c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</row>
    <row r="48" spans="1:26" ht="15" customHeight="1">
      <c r="A48" s="230">
        <f t="shared" si="1"/>
        <v>45</v>
      </c>
      <c r="B48" s="231">
        <v>23577</v>
      </c>
      <c r="C48" s="221" t="s">
        <v>3949</v>
      </c>
      <c r="D48" s="221" t="str">
        <f t="shared" si="0"/>
        <v>DRŽAVNI ARHIV U GOSPIĆU (23577)</v>
      </c>
      <c r="E48" s="221" t="s">
        <v>3950</v>
      </c>
      <c r="F48" s="221" t="s">
        <v>332</v>
      </c>
      <c r="G48" s="232">
        <v>1475444</v>
      </c>
      <c r="H48" s="16" t="s">
        <v>3951</v>
      </c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</row>
    <row r="49" spans="1:26" ht="15" customHeight="1">
      <c r="A49" s="230">
        <f t="shared" si="1"/>
        <v>46</v>
      </c>
      <c r="B49" s="231">
        <v>801</v>
      </c>
      <c r="C49" s="221" t="s">
        <v>3952</v>
      </c>
      <c r="D49" s="221" t="str">
        <f t="shared" si="0"/>
        <v>DRŽAVNI ARHIV U KARLOVCU (801)</v>
      </c>
      <c r="E49" s="221" t="s">
        <v>3953</v>
      </c>
      <c r="F49" s="221" t="s">
        <v>336</v>
      </c>
      <c r="G49" s="232">
        <v>3123367</v>
      </c>
      <c r="H49" s="16" t="s">
        <v>3954</v>
      </c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</row>
    <row r="50" spans="1:26" ht="15" customHeight="1">
      <c r="A50" s="230">
        <f t="shared" si="1"/>
        <v>47</v>
      </c>
      <c r="B50" s="231">
        <v>810</v>
      </c>
      <c r="C50" s="221" t="s">
        <v>3955</v>
      </c>
      <c r="D50" s="221" t="str">
        <f t="shared" si="0"/>
        <v>DRŽAVNI ARHIV U OSIJEKU (810)</v>
      </c>
      <c r="E50" s="221" t="s">
        <v>3956</v>
      </c>
      <c r="F50" s="221" t="s">
        <v>43</v>
      </c>
      <c r="G50" s="232">
        <v>3014223</v>
      </c>
      <c r="H50" s="16" t="s">
        <v>3957</v>
      </c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</row>
    <row r="51" spans="1:26" ht="15" customHeight="1">
      <c r="A51" s="230">
        <f t="shared" si="1"/>
        <v>48</v>
      </c>
      <c r="B51" s="231">
        <v>828</v>
      </c>
      <c r="C51" s="221" t="s">
        <v>3958</v>
      </c>
      <c r="D51" s="221" t="str">
        <f t="shared" si="0"/>
        <v>DRŽAVNI ARHIV U PAZINU (828)</v>
      </c>
      <c r="E51" s="221" t="s">
        <v>3959</v>
      </c>
      <c r="F51" s="221" t="s">
        <v>3960</v>
      </c>
      <c r="G51" s="232">
        <v>3089240</v>
      </c>
      <c r="H51" s="16" t="s">
        <v>3961</v>
      </c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</row>
    <row r="52" spans="1:26" ht="15" customHeight="1">
      <c r="A52" s="230">
        <f t="shared" si="1"/>
        <v>49</v>
      </c>
      <c r="B52" s="231">
        <v>836</v>
      </c>
      <c r="C52" s="221" t="s">
        <v>3962</v>
      </c>
      <c r="D52" s="221" t="str">
        <f t="shared" si="0"/>
        <v>DRŽAVNI ARHIV U RIJECI (836)</v>
      </c>
      <c r="E52" s="221" t="s">
        <v>3963</v>
      </c>
      <c r="F52" s="221" t="s">
        <v>124</v>
      </c>
      <c r="G52" s="232">
        <v>3321088</v>
      </c>
      <c r="H52" s="16" t="s">
        <v>3964</v>
      </c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</row>
    <row r="53" spans="1:26" ht="15" customHeight="1">
      <c r="A53" s="230">
        <f t="shared" si="1"/>
        <v>50</v>
      </c>
      <c r="B53" s="231">
        <v>844</v>
      </c>
      <c r="C53" s="221" t="s">
        <v>3965</v>
      </c>
      <c r="D53" s="221" t="str">
        <f t="shared" si="0"/>
        <v>DRŽAVNI ARHIV U SISKU (844)</v>
      </c>
      <c r="E53" s="221" t="s">
        <v>3966</v>
      </c>
      <c r="F53" s="221" t="s">
        <v>286</v>
      </c>
      <c r="G53" s="232">
        <v>3313824</v>
      </c>
      <c r="H53" s="16" t="s">
        <v>3967</v>
      </c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</row>
    <row r="54" spans="1:26" ht="15" customHeight="1">
      <c r="A54" s="230">
        <f t="shared" si="1"/>
        <v>51</v>
      </c>
      <c r="B54" s="231">
        <v>852</v>
      </c>
      <c r="C54" s="221" t="s">
        <v>3968</v>
      </c>
      <c r="D54" s="221" t="str">
        <f t="shared" si="0"/>
        <v>DRŽAVNI ARHIV U SLAVONSKOM BRODU (852)</v>
      </c>
      <c r="E54" s="221" t="s">
        <v>3969</v>
      </c>
      <c r="F54" s="221" t="s">
        <v>169</v>
      </c>
      <c r="G54" s="232">
        <v>3071162</v>
      </c>
      <c r="H54" s="16" t="s">
        <v>3970</v>
      </c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</row>
    <row r="55" spans="1:26" ht="15" customHeight="1">
      <c r="A55" s="230">
        <f t="shared" si="1"/>
        <v>52</v>
      </c>
      <c r="B55" s="231">
        <v>869</v>
      </c>
      <c r="C55" s="221" t="s">
        <v>3971</v>
      </c>
      <c r="D55" s="221" t="str">
        <f t="shared" si="0"/>
        <v>DRŽAVNI ARHIV U SPLITU (869)</v>
      </c>
      <c r="E55" s="221" t="s">
        <v>3972</v>
      </c>
      <c r="F55" s="221" t="s">
        <v>173</v>
      </c>
      <c r="G55" s="232">
        <v>3118452</v>
      </c>
      <c r="H55" s="16" t="s">
        <v>3973</v>
      </c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</row>
    <row r="56" spans="1:26" ht="15" customHeight="1">
      <c r="A56" s="230">
        <f t="shared" si="1"/>
        <v>53</v>
      </c>
      <c r="B56" s="231">
        <v>43915</v>
      </c>
      <c r="C56" s="221" t="s">
        <v>3974</v>
      </c>
      <c r="D56" s="221" t="str">
        <f t="shared" si="0"/>
        <v>DRŽAVNI ARHIV U ŠIBENIKU (43915)</v>
      </c>
      <c r="E56" s="221" t="s">
        <v>3975</v>
      </c>
      <c r="F56" s="221" t="s">
        <v>343</v>
      </c>
      <c r="G56" s="232">
        <v>2435411</v>
      </c>
      <c r="H56" s="16" t="s">
        <v>3976</v>
      </c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</row>
    <row r="57" spans="1:26" ht="15" customHeight="1">
      <c r="A57" s="230">
        <f t="shared" si="1"/>
        <v>54</v>
      </c>
      <c r="B57" s="231">
        <v>877</v>
      </c>
      <c r="C57" s="221" t="s">
        <v>3977</v>
      </c>
      <c r="D57" s="221" t="str">
        <f t="shared" si="0"/>
        <v>DRŽAVNI ARHIV U VARAŽDINU (877)</v>
      </c>
      <c r="E57" s="221" t="s">
        <v>3978</v>
      </c>
      <c r="F57" s="221" t="s">
        <v>30</v>
      </c>
      <c r="G57" s="232">
        <v>3006166</v>
      </c>
      <c r="H57" s="16" t="s">
        <v>3979</v>
      </c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</row>
    <row r="58" spans="1:26" ht="15" customHeight="1">
      <c r="A58" s="230">
        <f t="shared" si="1"/>
        <v>55</v>
      </c>
      <c r="B58" s="231">
        <v>44493</v>
      </c>
      <c r="C58" s="221" t="s">
        <v>3980</v>
      </c>
      <c r="D58" s="221" t="str">
        <f t="shared" si="0"/>
        <v>DRŽAVNI ARHIV U VIROVITICI  (44493)</v>
      </c>
      <c r="E58" s="221" t="s">
        <v>3981</v>
      </c>
      <c r="F58" s="221" t="s">
        <v>347</v>
      </c>
      <c r="G58" s="232">
        <v>2494841</v>
      </c>
      <c r="H58" s="16" t="s">
        <v>3982</v>
      </c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</row>
    <row r="59" spans="1:26" ht="15" customHeight="1">
      <c r="A59" s="230">
        <f t="shared" si="1"/>
        <v>56</v>
      </c>
      <c r="B59" s="231">
        <v>43636</v>
      </c>
      <c r="C59" s="221" t="s">
        <v>3983</v>
      </c>
      <c r="D59" s="221" t="str">
        <f t="shared" si="0"/>
        <v>DRŽAVNI ARHIV U VUKOVARU  (43636)</v>
      </c>
      <c r="E59" s="221" t="s">
        <v>3984</v>
      </c>
      <c r="F59" s="221" t="s">
        <v>324</v>
      </c>
      <c r="G59" s="232">
        <v>2334712</v>
      </c>
      <c r="H59" s="16" t="s">
        <v>3985</v>
      </c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</row>
    <row r="60" spans="1:26" ht="15" customHeight="1">
      <c r="A60" s="230">
        <f t="shared" si="1"/>
        <v>57</v>
      </c>
      <c r="B60" s="231">
        <v>885</v>
      </c>
      <c r="C60" s="221" t="s">
        <v>3986</v>
      </c>
      <c r="D60" s="221" t="str">
        <f t="shared" si="0"/>
        <v>DRŽAVNI ARHIV U ZADRU (885)</v>
      </c>
      <c r="E60" s="221" t="s">
        <v>3987</v>
      </c>
      <c r="F60" s="221" t="s">
        <v>214</v>
      </c>
      <c r="G60" s="232">
        <v>3142019</v>
      </c>
      <c r="H60" s="16" t="s">
        <v>3988</v>
      </c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</row>
    <row r="61" spans="1:26" ht="15" customHeight="1">
      <c r="A61" s="230">
        <f t="shared" si="1"/>
        <v>58</v>
      </c>
      <c r="B61" s="231">
        <v>893</v>
      </c>
      <c r="C61" s="221" t="s">
        <v>3989</v>
      </c>
      <c r="D61" s="221" t="str">
        <f t="shared" si="0"/>
        <v>DRŽAVNI ARHIV U ZAGREBU (893)</v>
      </c>
      <c r="E61" s="221" t="s">
        <v>3990</v>
      </c>
      <c r="F61" s="221" t="s">
        <v>23</v>
      </c>
      <c r="G61" s="232">
        <v>3224953</v>
      </c>
      <c r="H61" s="16" t="s">
        <v>3991</v>
      </c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</row>
    <row r="62" spans="1:26" ht="15" customHeight="1">
      <c r="A62" s="230">
        <f t="shared" si="1"/>
        <v>59</v>
      </c>
      <c r="B62" s="231">
        <v>43644</v>
      </c>
      <c r="C62" s="221" t="s">
        <v>3992</v>
      </c>
      <c r="D62" s="221" t="str">
        <f t="shared" si="0"/>
        <v>DRŽAVNI ARHIV ZA MEĐIMURJE  (43644)</v>
      </c>
      <c r="E62" s="221" t="s">
        <v>3993</v>
      </c>
      <c r="F62" s="221" t="s">
        <v>3994</v>
      </c>
      <c r="G62" s="232">
        <v>2326086</v>
      </c>
      <c r="H62" s="16" t="s">
        <v>3995</v>
      </c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</row>
    <row r="63" spans="1:26" ht="15" customHeight="1">
      <c r="A63" s="230">
        <f t="shared" si="1"/>
        <v>60</v>
      </c>
      <c r="B63" s="231">
        <v>764</v>
      </c>
      <c r="C63" s="221" t="s">
        <v>3996</v>
      </c>
      <c r="D63" s="221" t="str">
        <f t="shared" si="0"/>
        <v>HRVATSKI DRŽAVNI ARHIV (764)</v>
      </c>
      <c r="E63" s="221" t="s">
        <v>3997</v>
      </c>
      <c r="F63" s="221" t="s">
        <v>23</v>
      </c>
      <c r="G63" s="232">
        <v>3205380</v>
      </c>
      <c r="H63" s="16" t="s">
        <v>3998</v>
      </c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</row>
    <row r="64" spans="1:26" ht="15" customHeight="1">
      <c r="A64" s="230">
        <f t="shared" si="1"/>
        <v>61</v>
      </c>
      <c r="B64" s="231">
        <v>40623</v>
      </c>
      <c r="C64" s="221" t="s">
        <v>3999</v>
      </c>
      <c r="D64" s="221" t="str">
        <f t="shared" si="0"/>
        <v>HRVATSKI MEMORIJALNO-DOKUMENTACIJSKI CENTAR DOMOVINSKOGA RATA (40623)</v>
      </c>
      <c r="E64" s="221" t="s">
        <v>4000</v>
      </c>
      <c r="F64" s="221" t="s">
        <v>23</v>
      </c>
      <c r="G64" s="232">
        <v>1909592</v>
      </c>
      <c r="H64" s="16" t="s">
        <v>4001</v>
      </c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</row>
    <row r="65" spans="1:26" ht="15" customHeight="1">
      <c r="A65" s="230">
        <f t="shared" si="1"/>
        <v>62</v>
      </c>
      <c r="B65" s="231">
        <v>924</v>
      </c>
      <c r="C65" s="221" t="s">
        <v>4002</v>
      </c>
      <c r="D65" s="221" t="str">
        <f t="shared" si="0"/>
        <v>ARHEOLOŠKI MUZEJ ISTRE (924)</v>
      </c>
      <c r="E65" s="221" t="s">
        <v>4003</v>
      </c>
      <c r="F65" s="221" t="s">
        <v>108</v>
      </c>
      <c r="G65" s="232">
        <v>3203727</v>
      </c>
      <c r="H65" s="16" t="s">
        <v>4004</v>
      </c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</row>
    <row r="66" spans="1:26" ht="15" customHeight="1">
      <c r="A66" s="230">
        <f t="shared" si="1"/>
        <v>63</v>
      </c>
      <c r="B66" s="231">
        <v>40631</v>
      </c>
      <c r="C66" s="221" t="s">
        <v>4005</v>
      </c>
      <c r="D66" s="221" t="str">
        <f t="shared" si="0"/>
        <v>ARHEOLOŠKI MUZEJ NARONA (40631)</v>
      </c>
      <c r="E66" s="221" t="s">
        <v>4006</v>
      </c>
      <c r="F66" s="221" t="s">
        <v>4007</v>
      </c>
      <c r="G66" s="232">
        <v>2071061</v>
      </c>
      <c r="H66" s="16" t="s">
        <v>4008</v>
      </c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</row>
    <row r="67" spans="1:26" ht="15" customHeight="1">
      <c r="A67" s="230">
        <f t="shared" si="1"/>
        <v>64</v>
      </c>
      <c r="B67" s="231">
        <v>50090</v>
      </c>
      <c r="C67" s="221" t="s">
        <v>4009</v>
      </c>
      <c r="D67" s="221" t="str">
        <f t="shared" si="0"/>
        <v>ARHEOLOŠKI MUZEJ OSIJEK (50090)</v>
      </c>
      <c r="E67" s="221" t="s">
        <v>4010</v>
      </c>
      <c r="F67" s="221" t="s">
        <v>43</v>
      </c>
      <c r="G67" s="232">
        <v>4857283</v>
      </c>
      <c r="H67" s="16" t="s">
        <v>4011</v>
      </c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</row>
    <row r="68" spans="1:26" ht="15" customHeight="1">
      <c r="A68" s="230">
        <f t="shared" si="1"/>
        <v>65</v>
      </c>
      <c r="B68" s="231">
        <v>908</v>
      </c>
      <c r="C68" s="221" t="s">
        <v>4012</v>
      </c>
      <c r="D68" s="221" t="str">
        <f t="shared" si="0"/>
        <v>ARHEOLOŠKI MUZEJ U SPLITU (908)</v>
      </c>
      <c r="E68" s="221" t="s">
        <v>4013</v>
      </c>
      <c r="F68" s="221" t="s">
        <v>173</v>
      </c>
      <c r="G68" s="232">
        <v>3118380</v>
      </c>
      <c r="H68" s="16" t="s">
        <v>4014</v>
      </c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</row>
    <row r="69" spans="1:26" ht="15" customHeight="1">
      <c r="A69" s="230">
        <f t="shared" si="1"/>
        <v>66</v>
      </c>
      <c r="B69" s="231">
        <v>916</v>
      </c>
      <c r="C69" s="221" t="s">
        <v>4015</v>
      </c>
      <c r="D69" s="221" t="str">
        <f t="shared" si="0"/>
        <v>ARHEOLOŠKI MUZEJ ZADAR (916)</v>
      </c>
      <c r="E69" s="221" t="s">
        <v>4016</v>
      </c>
      <c r="F69" s="221" t="s">
        <v>4017</v>
      </c>
      <c r="G69" s="232">
        <v>3132170</v>
      </c>
      <c r="H69" s="16" t="s">
        <v>4018</v>
      </c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</row>
    <row r="70" spans="1:26" ht="15" customHeight="1">
      <c r="A70" s="230">
        <f t="shared" si="1"/>
        <v>67</v>
      </c>
      <c r="B70" s="231">
        <v>932</v>
      </c>
      <c r="C70" s="221" t="s">
        <v>4019</v>
      </c>
      <c r="D70" s="221" t="str">
        <f t="shared" si="0"/>
        <v>DVOR TRAKOŠČAN (932)</v>
      </c>
      <c r="E70" s="221" t="s">
        <v>4020</v>
      </c>
      <c r="F70" s="221" t="s">
        <v>4021</v>
      </c>
      <c r="G70" s="232">
        <v>3125483</v>
      </c>
      <c r="H70" s="16" t="s">
        <v>4022</v>
      </c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</row>
    <row r="71" spans="1:26" ht="15" customHeight="1">
      <c r="A71" s="230">
        <f t="shared" si="1"/>
        <v>68</v>
      </c>
      <c r="B71" s="231">
        <v>22242</v>
      </c>
      <c r="C71" s="221" t="s">
        <v>4023</v>
      </c>
      <c r="D71" s="221" t="str">
        <f t="shared" si="0"/>
        <v>GALERIJA KLOVIĆEVI DVORI (22242)</v>
      </c>
      <c r="E71" s="221" t="s">
        <v>4024</v>
      </c>
      <c r="F71" s="221" t="s">
        <v>23</v>
      </c>
      <c r="G71" s="15">
        <v>1426672</v>
      </c>
      <c r="H71" s="16" t="s">
        <v>4025</v>
      </c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</row>
    <row r="72" spans="1:26" ht="15" customHeight="1">
      <c r="A72" s="230">
        <f t="shared" si="1"/>
        <v>69</v>
      </c>
      <c r="B72" s="231">
        <v>6146</v>
      </c>
      <c r="C72" s="221" t="s">
        <v>4026</v>
      </c>
      <c r="D72" s="221" t="str">
        <f t="shared" si="0"/>
        <v>HRVATSKI MUZEJ NAIVNE UMJETNOSTI (6146)</v>
      </c>
      <c r="E72" s="221" t="s">
        <v>4027</v>
      </c>
      <c r="F72" s="221" t="s">
        <v>23</v>
      </c>
      <c r="G72" s="232">
        <v>738751</v>
      </c>
      <c r="H72" s="16" t="s">
        <v>4028</v>
      </c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</row>
    <row r="73" spans="1:26" ht="15" customHeight="1">
      <c r="A73" s="230">
        <f t="shared" si="1"/>
        <v>70</v>
      </c>
      <c r="B73" s="231">
        <v>43907</v>
      </c>
      <c r="C73" s="221" t="s">
        <v>4029</v>
      </c>
      <c r="D73" s="221" t="str">
        <f t="shared" si="0"/>
        <v>HRVATSKI MUZEJ TURIZMA (43907)</v>
      </c>
      <c r="E73" s="221" t="s">
        <v>4030</v>
      </c>
      <c r="F73" s="221" t="s">
        <v>137</v>
      </c>
      <c r="G73" s="232">
        <v>2298651</v>
      </c>
      <c r="H73" s="16" t="s">
        <v>4031</v>
      </c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</row>
    <row r="74" spans="1:26" ht="15" customHeight="1">
      <c r="A74" s="230">
        <f t="shared" si="1"/>
        <v>71</v>
      </c>
      <c r="B74" s="231">
        <v>965</v>
      </c>
      <c r="C74" s="221" t="s">
        <v>4032</v>
      </c>
      <c r="D74" s="221" t="str">
        <f t="shared" si="0"/>
        <v>HRVATSKI POVIJESNI MUZEJ (965)</v>
      </c>
      <c r="E74" s="221" t="s">
        <v>4033</v>
      </c>
      <c r="F74" s="221" t="s">
        <v>23</v>
      </c>
      <c r="G74" s="232">
        <v>3212084</v>
      </c>
      <c r="H74" s="16" t="s">
        <v>4034</v>
      </c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</row>
    <row r="75" spans="1:26" ht="15" customHeight="1">
      <c r="A75" s="230">
        <f t="shared" si="1"/>
        <v>72</v>
      </c>
      <c r="B75" s="231">
        <v>40682</v>
      </c>
      <c r="C75" s="221" t="s">
        <v>4035</v>
      </c>
      <c r="D75" s="221" t="str">
        <f t="shared" si="0"/>
        <v>HRVATSKI ŠPORTSKI MUZEJ (40682)</v>
      </c>
      <c r="E75" s="237" t="s">
        <v>4036</v>
      </c>
      <c r="F75" s="221" t="s">
        <v>23</v>
      </c>
      <c r="G75" s="15">
        <v>1783815</v>
      </c>
      <c r="H75" s="16" t="s">
        <v>4037</v>
      </c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</row>
    <row r="76" spans="1:26" ht="15" customHeight="1">
      <c r="A76" s="230">
        <f t="shared" si="1"/>
        <v>73</v>
      </c>
      <c r="B76" s="231">
        <v>23593</v>
      </c>
      <c r="C76" s="221" t="s">
        <v>4038</v>
      </c>
      <c r="D76" s="221" t="str">
        <f t="shared" si="0"/>
        <v>J. U. SPOMEN PODRUČJE JASENOVAC (23593)</v>
      </c>
      <c r="E76" s="221" t="s">
        <v>4039</v>
      </c>
      <c r="F76" s="221" t="s">
        <v>4040</v>
      </c>
      <c r="G76" s="232">
        <v>3201678</v>
      </c>
      <c r="H76" s="16" t="s">
        <v>4041</v>
      </c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</row>
    <row r="77" spans="1:26" ht="15" customHeight="1">
      <c r="A77" s="230">
        <f t="shared" si="1"/>
        <v>74</v>
      </c>
      <c r="B77" s="231">
        <v>22347</v>
      </c>
      <c r="C77" s="221" t="s">
        <v>4042</v>
      </c>
      <c r="D77" s="221" t="str">
        <f t="shared" si="0"/>
        <v>J. U. ZBIRKA UMJETNINA ANTE I WILTRUDE TOPIĆ MIMARA  (22347)</v>
      </c>
      <c r="E77" s="221" t="s">
        <v>4043</v>
      </c>
      <c r="F77" s="221" t="s">
        <v>23</v>
      </c>
      <c r="G77" s="232">
        <v>1425684</v>
      </c>
      <c r="H77" s="16" t="s">
        <v>4044</v>
      </c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</row>
    <row r="78" spans="1:26" ht="15" customHeight="1">
      <c r="A78" s="230">
        <f t="shared" si="1"/>
        <v>75</v>
      </c>
      <c r="B78" s="231">
        <v>973</v>
      </c>
      <c r="C78" s="221" t="s">
        <v>4045</v>
      </c>
      <c r="D78" s="221" t="str">
        <f t="shared" si="0"/>
        <v>MODERNA GALERIJA (973)</v>
      </c>
      <c r="E78" s="221" t="s">
        <v>4046</v>
      </c>
      <c r="F78" s="221" t="s">
        <v>23</v>
      </c>
      <c r="G78" s="232">
        <v>3205240</v>
      </c>
      <c r="H78" s="16" t="s">
        <v>4047</v>
      </c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</row>
    <row r="79" spans="1:26" ht="15" customHeight="1">
      <c r="A79" s="230">
        <f t="shared" si="1"/>
        <v>76</v>
      </c>
      <c r="B79" s="231">
        <v>42112</v>
      </c>
      <c r="C79" s="221" t="s">
        <v>4048</v>
      </c>
      <c r="D79" s="221" t="str">
        <f t="shared" si="0"/>
        <v>MUZEJ ANTIČKOG STAKLA ZADAR (42112)</v>
      </c>
      <c r="E79" s="221" t="s">
        <v>4049</v>
      </c>
      <c r="F79" s="221" t="s">
        <v>214</v>
      </c>
      <c r="G79" s="232">
        <v>2106698</v>
      </c>
      <c r="H79" s="16" t="s">
        <v>4050</v>
      </c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</row>
    <row r="80" spans="1:26" ht="15" customHeight="1">
      <c r="A80" s="230">
        <f t="shared" si="1"/>
        <v>77</v>
      </c>
      <c r="B80" s="231">
        <v>990</v>
      </c>
      <c r="C80" s="221" t="s">
        <v>4051</v>
      </c>
      <c r="D80" s="221" t="str">
        <f t="shared" si="0"/>
        <v>MUZEJ HRVATSKIH ARHEOLOŠKIH SPOMENIKA SPLIT (990)</v>
      </c>
      <c r="E80" s="221" t="s">
        <v>4052</v>
      </c>
      <c r="F80" s="221" t="s">
        <v>173</v>
      </c>
      <c r="G80" s="232">
        <v>3119904</v>
      </c>
      <c r="H80" s="16" t="s">
        <v>4053</v>
      </c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</row>
    <row r="81" spans="1:26" ht="15" customHeight="1">
      <c r="A81" s="230">
        <f t="shared" si="1"/>
        <v>78</v>
      </c>
      <c r="B81" s="231">
        <v>1011</v>
      </c>
      <c r="C81" s="221" t="s">
        <v>4054</v>
      </c>
      <c r="D81" s="221" t="str">
        <f t="shared" si="0"/>
        <v>MUZEJ HRVATSKOG ZAGORJA (1011)</v>
      </c>
      <c r="E81" s="221" t="s">
        <v>4055</v>
      </c>
      <c r="F81" s="221" t="s">
        <v>4056</v>
      </c>
      <c r="G81" s="232">
        <v>207349</v>
      </c>
      <c r="H81" s="16" t="s">
        <v>4057</v>
      </c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</row>
    <row r="82" spans="1:26" ht="15" customHeight="1">
      <c r="A82" s="230">
        <f t="shared" si="1"/>
        <v>79</v>
      </c>
      <c r="B82" s="231">
        <v>1003</v>
      </c>
      <c r="C82" s="221" t="s">
        <v>4058</v>
      </c>
      <c r="D82" s="221" t="str">
        <f t="shared" si="0"/>
        <v>MUZEJ SLAVONIJE OSIJEK (1003)</v>
      </c>
      <c r="E82" s="221" t="s">
        <v>4059</v>
      </c>
      <c r="F82" s="221" t="s">
        <v>43</v>
      </c>
      <c r="G82" s="232">
        <v>3014207</v>
      </c>
      <c r="H82" s="16" t="s">
        <v>4060</v>
      </c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</row>
    <row r="83" spans="1:26" ht="15" customHeight="1">
      <c r="A83" s="230">
        <f t="shared" si="1"/>
        <v>80</v>
      </c>
      <c r="B83" s="231">
        <v>47908</v>
      </c>
      <c r="C83" s="221" t="s">
        <v>4061</v>
      </c>
      <c r="D83" s="221" t="str">
        <f t="shared" si="0"/>
        <v>MUZEJ VUČEDOLSKE KULTURE (47908)</v>
      </c>
      <c r="E83" s="221" t="s">
        <v>4062</v>
      </c>
      <c r="F83" s="221" t="s">
        <v>324</v>
      </c>
      <c r="G83" s="232">
        <v>4016408</v>
      </c>
      <c r="H83" s="16" t="s">
        <v>4063</v>
      </c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</row>
    <row r="84" spans="1:26" ht="15" customHeight="1">
      <c r="A84" s="230">
        <f t="shared" si="1"/>
        <v>81</v>
      </c>
      <c r="B84" s="231">
        <v>949</v>
      </c>
      <c r="C84" s="221" t="s">
        <v>4064</v>
      </c>
      <c r="D84" s="221" t="str">
        <f t="shared" si="0"/>
        <v>MUZEJI IVANA MEŠTROVIĆA  (949)</v>
      </c>
      <c r="E84" s="221" t="s">
        <v>4065</v>
      </c>
      <c r="F84" s="221" t="s">
        <v>173</v>
      </c>
      <c r="G84" s="232">
        <v>3751783</v>
      </c>
      <c r="H84" s="16" t="s">
        <v>4066</v>
      </c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</row>
    <row r="85" spans="1:26" ht="15" customHeight="1">
      <c r="A85" s="230">
        <f t="shared" si="1"/>
        <v>82</v>
      </c>
      <c r="B85" s="231">
        <v>1020</v>
      </c>
      <c r="C85" s="221" t="s">
        <v>4067</v>
      </c>
      <c r="D85" s="221" t="str">
        <f t="shared" si="0"/>
        <v>MUZEJSKI DOKUMENTACIJSKI CENTAR (1020)</v>
      </c>
      <c r="E85" s="221" t="s">
        <v>4068</v>
      </c>
      <c r="F85" s="221" t="s">
        <v>23</v>
      </c>
      <c r="G85" s="232">
        <v>3205258</v>
      </c>
      <c r="H85" s="16" t="s">
        <v>4069</v>
      </c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</row>
    <row r="86" spans="1:26" ht="15" customHeight="1">
      <c r="A86" s="230">
        <f t="shared" si="1"/>
        <v>83</v>
      </c>
      <c r="B86" s="231">
        <v>1038</v>
      </c>
      <c r="C86" s="221" t="s">
        <v>4070</v>
      </c>
      <c r="D86" s="221" t="str">
        <f t="shared" si="0"/>
        <v>TIFLOLOŠKI MUZEJ (1038)</v>
      </c>
      <c r="E86" s="221" t="s">
        <v>4071</v>
      </c>
      <c r="F86" s="221" t="s">
        <v>23</v>
      </c>
      <c r="G86" s="232">
        <v>3270564</v>
      </c>
      <c r="H86" s="16" t="s">
        <v>4072</v>
      </c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</row>
    <row r="87" spans="1:26" ht="15" customHeight="1">
      <c r="A87" s="230">
        <f t="shared" si="1"/>
        <v>84</v>
      </c>
      <c r="B87" s="231">
        <v>49075</v>
      </c>
      <c r="C87" s="221" t="s">
        <v>4073</v>
      </c>
      <c r="D87" s="221" t="str">
        <f t="shared" si="0"/>
        <v>AGENCIJA ZA ELEKTRONIČKE MEDIJE (49075)</v>
      </c>
      <c r="E87" s="221" t="s">
        <v>4074</v>
      </c>
      <c r="F87" s="221" t="s">
        <v>23</v>
      </c>
      <c r="G87" s="233" t="s">
        <v>4075</v>
      </c>
      <c r="H87" s="16" t="s">
        <v>4076</v>
      </c>
      <c r="I87" s="209"/>
      <c r="J87" s="224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</row>
    <row r="88" spans="1:26" ht="15" customHeight="1">
      <c r="A88" s="230">
        <f t="shared" si="1"/>
        <v>85</v>
      </c>
      <c r="B88" s="231">
        <v>1046</v>
      </c>
      <c r="C88" s="221" t="s">
        <v>4077</v>
      </c>
      <c r="D88" s="221" t="str">
        <f t="shared" si="0"/>
        <v>ANSAMBL LADO (1046)</v>
      </c>
      <c r="E88" s="221" t="s">
        <v>4078</v>
      </c>
      <c r="F88" s="221" t="s">
        <v>23</v>
      </c>
      <c r="G88" s="232">
        <v>3213862</v>
      </c>
      <c r="H88" s="16" t="s">
        <v>4079</v>
      </c>
      <c r="I88" s="209"/>
      <c r="J88" s="224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</row>
    <row r="89" spans="1:26" ht="15" customHeight="1">
      <c r="A89" s="230">
        <f t="shared" si="1"/>
        <v>86</v>
      </c>
      <c r="B89" s="231">
        <v>23585</v>
      </c>
      <c r="C89" s="221" t="s">
        <v>4080</v>
      </c>
      <c r="D89" s="221" t="str">
        <f t="shared" si="0"/>
        <v>HRVATSKA KNJIŽNICA ZA SLIJEPE (23585)</v>
      </c>
      <c r="E89" s="221" t="s">
        <v>4081</v>
      </c>
      <c r="F89" s="221" t="s">
        <v>23</v>
      </c>
      <c r="G89" s="232">
        <v>1494449</v>
      </c>
      <c r="H89" s="16" t="s">
        <v>4082</v>
      </c>
      <c r="I89" s="209"/>
      <c r="J89" s="224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</row>
    <row r="90" spans="1:26" ht="15" customHeight="1">
      <c r="A90" s="230">
        <f t="shared" si="1"/>
        <v>87</v>
      </c>
      <c r="B90" s="231">
        <v>44926</v>
      </c>
      <c r="C90" s="221" t="s">
        <v>4083</v>
      </c>
      <c r="D90" s="221" t="str">
        <f t="shared" si="0"/>
        <v>HRVATSKI AUDIOVIZUALNI CENTAR (44926)</v>
      </c>
      <c r="E90" s="221" t="s">
        <v>4084</v>
      </c>
      <c r="F90" s="221" t="s">
        <v>23</v>
      </c>
      <c r="G90" s="232">
        <v>2275341</v>
      </c>
      <c r="H90" s="16" t="s">
        <v>4085</v>
      </c>
      <c r="I90" s="209"/>
      <c r="J90" s="224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</row>
    <row r="91" spans="1:26" ht="15" customHeight="1">
      <c r="A91" s="230">
        <f t="shared" si="1"/>
        <v>88</v>
      </c>
      <c r="B91" s="231">
        <v>22339</v>
      </c>
      <c r="C91" s="221" t="s">
        <v>4086</v>
      </c>
      <c r="D91" s="221" t="str">
        <f t="shared" si="0"/>
        <v>HRVATSKI RESTAURATORSKI ZAVOD (22339)</v>
      </c>
      <c r="E91" s="221" t="s">
        <v>4087</v>
      </c>
      <c r="F91" s="221" t="s">
        <v>23</v>
      </c>
      <c r="G91" s="232">
        <v>1250795</v>
      </c>
      <c r="H91" s="16" t="s">
        <v>4088</v>
      </c>
      <c r="I91" s="209"/>
      <c r="J91" s="224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</row>
    <row r="92" spans="1:26" ht="15" customHeight="1">
      <c r="A92" s="230">
        <f t="shared" si="1"/>
        <v>89</v>
      </c>
      <c r="B92" s="231">
        <v>25878</v>
      </c>
      <c r="C92" s="221" t="s">
        <v>4089</v>
      </c>
      <c r="D92" s="221" t="str">
        <f t="shared" si="0"/>
        <v>HRVATSKO NARODNO KAZALIŠTE (25878)</v>
      </c>
      <c r="E92" s="221" t="s">
        <v>4090</v>
      </c>
      <c r="F92" s="221" t="s">
        <v>23</v>
      </c>
      <c r="G92" s="232">
        <v>3205479</v>
      </c>
      <c r="H92" s="16" t="s">
        <v>4091</v>
      </c>
      <c r="I92" s="209"/>
      <c r="J92" s="224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</row>
    <row r="93" spans="1:26" ht="15" customHeight="1">
      <c r="A93" s="230">
        <f t="shared" si="1"/>
        <v>90</v>
      </c>
      <c r="B93" s="231">
        <v>45189</v>
      </c>
      <c r="C93" s="221" t="s">
        <v>4092</v>
      </c>
      <c r="D93" s="221" t="str">
        <f t="shared" si="0"/>
        <v>MEĐUNARODNI CENTAR ZA PODVODNU ARHEOLOGIJU (45189)</v>
      </c>
      <c r="E93" s="221" t="s">
        <v>4093</v>
      </c>
      <c r="F93" s="221" t="s">
        <v>214</v>
      </c>
      <c r="G93" s="232">
        <v>2479184</v>
      </c>
      <c r="H93" s="16" t="s">
        <v>4094</v>
      </c>
      <c r="I93" s="209"/>
      <c r="J93" s="224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</row>
    <row r="94" spans="1:26" ht="15" customHeight="1">
      <c r="A94" s="219">
        <f t="shared" si="1"/>
        <v>91</v>
      </c>
      <c r="B94" s="226">
        <v>1079</v>
      </c>
      <c r="C94" s="227" t="s">
        <v>4095</v>
      </c>
      <c r="D94" s="221" t="str">
        <f t="shared" si="0"/>
        <v>MINISTARSTVO POLJOPRIVREDE (1079)</v>
      </c>
      <c r="E94" s="227" t="s">
        <v>434</v>
      </c>
      <c r="F94" s="227" t="s">
        <v>23</v>
      </c>
      <c r="G94" s="228">
        <v>3271005</v>
      </c>
      <c r="H94" s="229" t="s">
        <v>4096</v>
      </c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</row>
    <row r="95" spans="1:26" ht="15" customHeight="1">
      <c r="A95" s="230">
        <f t="shared" si="1"/>
        <v>92</v>
      </c>
      <c r="B95" s="231">
        <v>45927</v>
      </c>
      <c r="C95" s="221" t="s">
        <v>4097</v>
      </c>
      <c r="D95" s="221" t="str">
        <f t="shared" si="0"/>
        <v>AGENCIJA ZA PLAĆANJA U POLJOPRIVREDI, RIBARSTVU I RURALNOM RAZVOJU (45927)</v>
      </c>
      <c r="E95" s="221" t="s">
        <v>4098</v>
      </c>
      <c r="F95" s="12" t="s">
        <v>23</v>
      </c>
      <c r="G95" s="232">
        <v>2593262</v>
      </c>
      <c r="H95" s="16" t="s">
        <v>4099</v>
      </c>
      <c r="I95" s="209"/>
      <c r="J95" s="224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</row>
    <row r="96" spans="1:26" ht="15" customHeight="1">
      <c r="A96" s="230">
        <f t="shared" si="1"/>
        <v>93</v>
      </c>
      <c r="B96" s="231">
        <v>44565</v>
      </c>
      <c r="C96" s="221" t="s">
        <v>4100</v>
      </c>
      <c r="D96" s="221" t="str">
        <f t="shared" si="0"/>
        <v>HRVATSKA AGENCIJA ZA POLJOPRIVREDU I HRANU (44565)</v>
      </c>
      <c r="E96" s="12" t="s">
        <v>4101</v>
      </c>
      <c r="F96" s="12" t="s">
        <v>43</v>
      </c>
      <c r="G96" s="232">
        <v>2528614</v>
      </c>
      <c r="H96" s="16" t="s">
        <v>4102</v>
      </c>
      <c r="I96" s="209"/>
      <c r="J96" s="224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</row>
    <row r="97" spans="1:26" ht="15" customHeight="1">
      <c r="A97" s="230">
        <f t="shared" si="1"/>
        <v>94</v>
      </c>
      <c r="B97" s="231">
        <v>48103</v>
      </c>
      <c r="C97" s="221" t="s">
        <v>4103</v>
      </c>
      <c r="D97" s="221" t="str">
        <f t="shared" si="0"/>
        <v>DRŽAVNA ERGELA ĐAKOVO I LIPIK (48103)</v>
      </c>
      <c r="E97" s="12" t="s">
        <v>4104</v>
      </c>
      <c r="F97" s="12" t="s">
        <v>85</v>
      </c>
      <c r="G97" s="232">
        <v>2725029</v>
      </c>
      <c r="H97" s="16" t="s">
        <v>4105</v>
      </c>
      <c r="I97" s="209"/>
      <c r="J97" s="224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</row>
    <row r="98" spans="1:26" ht="15" customHeight="1">
      <c r="A98" s="219">
        <f t="shared" si="1"/>
        <v>95</v>
      </c>
      <c r="B98" s="226">
        <v>47123</v>
      </c>
      <c r="C98" s="227" t="s">
        <v>4106</v>
      </c>
      <c r="D98" s="221" t="str">
        <f t="shared" si="0"/>
        <v>MINISTARSTVO REGIONALNOG RAZVOJA I FONDOVA EUROPSKE UNIJE  (47123)</v>
      </c>
      <c r="E98" s="227" t="s">
        <v>4107</v>
      </c>
      <c r="F98" s="227" t="s">
        <v>23</v>
      </c>
      <c r="G98" s="228">
        <v>2830442</v>
      </c>
      <c r="H98" s="229" t="s">
        <v>4108</v>
      </c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</row>
    <row r="99" spans="1:26" ht="15" customHeight="1">
      <c r="A99" s="230">
        <f t="shared" si="1"/>
        <v>96</v>
      </c>
      <c r="B99" s="231">
        <v>46366</v>
      </c>
      <c r="C99" s="221" t="s">
        <v>4109</v>
      </c>
      <c r="D99" s="221" t="str">
        <f t="shared" si="0"/>
        <v>FOND ZA OBNOVU I RAZVOJ GRADA VUKOVARA (46366)</v>
      </c>
      <c r="E99" s="221" t="s">
        <v>4110</v>
      </c>
      <c r="F99" s="221" t="s">
        <v>324</v>
      </c>
      <c r="G99" s="232">
        <v>1606492</v>
      </c>
      <c r="H99" s="16" t="s">
        <v>4111</v>
      </c>
      <c r="I99" s="209"/>
      <c r="J99" s="224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</row>
    <row r="100" spans="1:26" ht="15" customHeight="1">
      <c r="A100" s="230">
        <f t="shared" si="1"/>
        <v>97</v>
      </c>
      <c r="B100" s="231">
        <v>43255</v>
      </c>
      <c r="C100" s="221" t="s">
        <v>4112</v>
      </c>
      <c r="D100" s="221" t="str">
        <f t="shared" si="0"/>
        <v>SREDIŠNJA AGENCIJA ZA FINANCIRANJE I UGOVARANJE PROGRAMA I PROJEKATA EU (43255)</v>
      </c>
      <c r="E100" s="221" t="s">
        <v>4113</v>
      </c>
      <c r="F100" s="221" t="s">
        <v>23</v>
      </c>
      <c r="G100" s="232">
        <v>2288028</v>
      </c>
      <c r="H100" s="16" t="s">
        <v>4114</v>
      </c>
      <c r="I100" s="209"/>
      <c r="J100" s="224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</row>
    <row r="101" spans="1:26" ht="15" customHeight="1">
      <c r="A101" s="219">
        <f t="shared" si="1"/>
        <v>98</v>
      </c>
      <c r="B101" s="226">
        <v>1087</v>
      </c>
      <c r="C101" s="227" t="s">
        <v>4115</v>
      </c>
      <c r="D101" s="221" t="str">
        <f t="shared" si="0"/>
        <v>MINISTARSTVO MORA, PROMETA I INFRASTRUKTURE (1087)</v>
      </c>
      <c r="E101" s="227" t="s">
        <v>4116</v>
      </c>
      <c r="F101" s="227" t="s">
        <v>23</v>
      </c>
      <c r="G101" s="228">
        <v>3277097</v>
      </c>
      <c r="H101" s="229" t="s">
        <v>4117</v>
      </c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</row>
    <row r="102" spans="1:26" ht="15" customHeight="1">
      <c r="A102" s="230">
        <f t="shared" si="1"/>
        <v>99</v>
      </c>
      <c r="B102" s="231">
        <v>41546</v>
      </c>
      <c r="C102" s="221" t="s">
        <v>4118</v>
      </c>
      <c r="D102" s="221" t="str">
        <f t="shared" si="0"/>
        <v>AGENCIJA ZA OBALNI LINIJSKI POMORSKI PROMET (41546)</v>
      </c>
      <c r="E102" s="221" t="s">
        <v>4119</v>
      </c>
      <c r="F102" s="221" t="s">
        <v>173</v>
      </c>
      <c r="G102" s="232">
        <v>2097958</v>
      </c>
      <c r="H102" s="16" t="s">
        <v>4120</v>
      </c>
      <c r="I102" s="209"/>
      <c r="J102" s="224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</row>
    <row r="103" spans="1:26" ht="15" customHeight="1">
      <c r="A103" s="230">
        <f t="shared" si="1"/>
        <v>100</v>
      </c>
      <c r="B103" s="231">
        <v>48031</v>
      </c>
      <c r="C103" s="221" t="s">
        <v>4121</v>
      </c>
      <c r="D103" s="221" t="str">
        <f t="shared" si="0"/>
        <v>AGENCIJA ZA ISTRAŽIVANJE NESREĆA U ZRAČNOM, POMORSKOM I ŽELJEZNIČKOM PROMETU (48031)</v>
      </c>
      <c r="E103" s="221" t="s">
        <v>4122</v>
      </c>
      <c r="F103" s="221" t="s">
        <v>23</v>
      </c>
      <c r="G103" s="233" t="s">
        <v>4123</v>
      </c>
      <c r="H103" s="16" t="s">
        <v>4124</v>
      </c>
      <c r="I103" s="209"/>
      <c r="J103" s="224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</row>
    <row r="104" spans="1:26" ht="15" customHeight="1">
      <c r="A104" s="230">
        <f t="shared" si="1"/>
        <v>101</v>
      </c>
      <c r="B104" s="231">
        <v>45228</v>
      </c>
      <c r="C104" s="221" t="s">
        <v>4125</v>
      </c>
      <c r="D104" s="221" t="str">
        <f t="shared" si="0"/>
        <v>AGENCIJA ZA SIGURNOST ŽELJEZNIČKOG PROMETA (45228)</v>
      </c>
      <c r="E104" s="221" t="s">
        <v>4126</v>
      </c>
      <c r="F104" s="221" t="s">
        <v>23</v>
      </c>
      <c r="G104" s="232">
        <v>2559633</v>
      </c>
      <c r="H104" s="16" t="s">
        <v>4127</v>
      </c>
      <c r="I104" s="209"/>
      <c r="J104" s="224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</row>
    <row r="105" spans="1:26" ht="15" customHeight="1">
      <c r="A105" s="230">
        <f t="shared" si="1"/>
        <v>102</v>
      </c>
      <c r="B105" s="231">
        <v>49083</v>
      </c>
      <c r="C105" s="221" t="s">
        <v>4128</v>
      </c>
      <c r="D105" s="221" t="str">
        <f t="shared" si="0"/>
        <v>HRVATSKA AGENCIJA ZA CIVILNO ZRAKOPLOVSTVO (49083)</v>
      </c>
      <c r="E105" s="221" t="s">
        <v>4113</v>
      </c>
      <c r="F105" s="221" t="s">
        <v>23</v>
      </c>
      <c r="G105" s="233" t="s">
        <v>4129</v>
      </c>
      <c r="H105" s="16" t="s">
        <v>4130</v>
      </c>
      <c r="I105" s="209"/>
      <c r="J105" s="224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</row>
    <row r="106" spans="1:26" ht="15" customHeight="1">
      <c r="A106" s="230">
        <f t="shared" si="1"/>
        <v>103</v>
      </c>
      <c r="B106" s="231">
        <v>6066</v>
      </c>
      <c r="C106" s="221" t="s">
        <v>4131</v>
      </c>
      <c r="D106" s="221" t="str">
        <f t="shared" si="0"/>
        <v>HRVATSKI HIDROGRAFSKI INSTITUT (6066)</v>
      </c>
      <c r="E106" s="221" t="s">
        <v>4132</v>
      </c>
      <c r="F106" s="221" t="s">
        <v>173</v>
      </c>
      <c r="G106" s="232">
        <v>3878724</v>
      </c>
      <c r="H106" s="16" t="s">
        <v>4133</v>
      </c>
      <c r="I106" s="209"/>
      <c r="J106" s="224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</row>
    <row r="107" spans="1:26" ht="15" customHeight="1">
      <c r="A107" s="230">
        <f t="shared" si="1"/>
        <v>104</v>
      </c>
      <c r="B107" s="231">
        <v>45902</v>
      </c>
      <c r="C107" s="221" t="s">
        <v>4134</v>
      </c>
      <c r="D107" s="221" t="str">
        <f t="shared" si="0"/>
        <v>HRVATSKA REGULATORNA AGENCIJA ZA MREŽNE DJELATNOSTI (45902)</v>
      </c>
      <c r="E107" s="221" t="s">
        <v>4135</v>
      </c>
      <c r="F107" s="221" t="s">
        <v>4136</v>
      </c>
      <c r="G107" s="232">
        <v>1865862</v>
      </c>
      <c r="H107" s="16" t="s">
        <v>4137</v>
      </c>
      <c r="I107" s="209"/>
      <c r="J107" s="224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</row>
    <row r="108" spans="1:26" ht="15" customHeight="1">
      <c r="A108" s="230">
        <f t="shared" si="1"/>
        <v>105</v>
      </c>
      <c r="B108" s="231">
        <v>51255</v>
      </c>
      <c r="C108" s="221" t="s">
        <v>4138</v>
      </c>
      <c r="D108" s="221" t="str">
        <f t="shared" si="0"/>
        <v>JAVNA USTANOVA LUČKA UPRAVA SISAK (51255)</v>
      </c>
      <c r="E108" s="238" t="s">
        <v>4139</v>
      </c>
      <c r="F108" s="238" t="s">
        <v>286</v>
      </c>
      <c r="G108" s="239" t="s">
        <v>4140</v>
      </c>
      <c r="H108" s="16" t="s">
        <v>4141</v>
      </c>
      <c r="I108" s="209"/>
      <c r="J108" s="224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</row>
    <row r="109" spans="1:26" ht="15" customHeight="1">
      <c r="A109" s="230">
        <f t="shared" si="1"/>
        <v>106</v>
      </c>
      <c r="B109" s="231">
        <v>51263</v>
      </c>
      <c r="C109" s="221" t="s">
        <v>4142</v>
      </c>
      <c r="D109" s="221" t="str">
        <f t="shared" si="0"/>
        <v>JAVNA USTANOVA LUČKA UPRAVA SLAVONSKI BROD (51263)</v>
      </c>
      <c r="E109" s="238" t="s">
        <v>4143</v>
      </c>
      <c r="F109" s="238" t="s">
        <v>169</v>
      </c>
      <c r="G109" s="239" t="s">
        <v>4144</v>
      </c>
      <c r="H109" s="16" t="s">
        <v>4145</v>
      </c>
      <c r="I109" s="209"/>
      <c r="J109" s="224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</row>
    <row r="110" spans="1:26" ht="15" customHeight="1">
      <c r="A110" s="230">
        <f t="shared" si="1"/>
        <v>107</v>
      </c>
      <c r="B110" s="231">
        <v>51343</v>
      </c>
      <c r="C110" s="221" t="s">
        <v>4146</v>
      </c>
      <c r="D110" s="221" t="str">
        <f t="shared" si="0"/>
        <v>LUČKA UPRAVA DUBROVNIK (51343)</v>
      </c>
      <c r="E110" s="221" t="s">
        <v>4147</v>
      </c>
      <c r="F110" s="221" t="s">
        <v>118</v>
      </c>
      <c r="G110" s="233" t="s">
        <v>4148</v>
      </c>
      <c r="H110" s="16" t="s">
        <v>4149</v>
      </c>
      <c r="I110" s="209"/>
      <c r="J110" s="224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</row>
    <row r="111" spans="1:26" ht="15" customHeight="1">
      <c r="A111" s="230">
        <f t="shared" si="1"/>
        <v>108</v>
      </c>
      <c r="B111" s="231">
        <v>51319</v>
      </c>
      <c r="C111" s="221" t="s">
        <v>4150</v>
      </c>
      <c r="D111" s="221" t="str">
        <f t="shared" si="0"/>
        <v>LUČKA UPRAVA OSIJEK (51319)</v>
      </c>
      <c r="E111" s="221" t="s">
        <v>4151</v>
      </c>
      <c r="F111" s="221" t="s">
        <v>43</v>
      </c>
      <c r="G111" s="233" t="s">
        <v>4152</v>
      </c>
      <c r="H111" s="16" t="s">
        <v>4153</v>
      </c>
      <c r="I111" s="209"/>
      <c r="J111" s="224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</row>
    <row r="112" spans="1:26" ht="15" customHeight="1">
      <c r="A112" s="230">
        <f t="shared" si="1"/>
        <v>109</v>
      </c>
      <c r="B112" s="231">
        <v>51298</v>
      </c>
      <c r="C112" s="221" t="s">
        <v>4154</v>
      </c>
      <c r="D112" s="221" t="str">
        <f t="shared" si="0"/>
        <v>LUČKA UPRAVA PLOČE (51298)</v>
      </c>
      <c r="E112" s="221" t="s">
        <v>4155</v>
      </c>
      <c r="F112" s="221" t="s">
        <v>4156</v>
      </c>
      <c r="G112" s="233" t="s">
        <v>4157</v>
      </c>
      <c r="H112" s="16" t="s">
        <v>4158</v>
      </c>
      <c r="I112" s="209"/>
      <c r="J112" s="224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</row>
    <row r="113" spans="1:26" ht="15" customHeight="1">
      <c r="A113" s="230">
        <f t="shared" si="1"/>
        <v>110</v>
      </c>
      <c r="B113" s="231">
        <v>51302</v>
      </c>
      <c r="C113" s="221" t="s">
        <v>4159</v>
      </c>
      <c r="D113" s="221" t="str">
        <f t="shared" si="0"/>
        <v>LUČKA UPRAVA RIJEKA (51302)</v>
      </c>
      <c r="E113" s="221" t="s">
        <v>4160</v>
      </c>
      <c r="F113" s="221" t="s">
        <v>124</v>
      </c>
      <c r="G113" s="233" t="s">
        <v>4161</v>
      </c>
      <c r="H113" s="16" t="s">
        <v>4162</v>
      </c>
      <c r="I113" s="209"/>
      <c r="J113" s="224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</row>
    <row r="114" spans="1:26" ht="15" customHeight="1">
      <c r="A114" s="230">
        <f t="shared" si="1"/>
        <v>111</v>
      </c>
      <c r="B114" s="231">
        <v>51327</v>
      </c>
      <c r="C114" s="238" t="s">
        <v>4163</v>
      </c>
      <c r="D114" s="221" t="str">
        <f t="shared" si="0"/>
        <v>LUČKA UPRAVA SPLIT (51327)</v>
      </c>
      <c r="E114" s="238" t="s">
        <v>4164</v>
      </c>
      <c r="F114" s="238" t="s">
        <v>173</v>
      </c>
      <c r="G114" s="240" t="s">
        <v>4165</v>
      </c>
      <c r="H114" s="16" t="s">
        <v>4166</v>
      </c>
      <c r="I114" s="209"/>
      <c r="J114" s="224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</row>
    <row r="115" spans="1:26" ht="15" customHeight="1">
      <c r="A115" s="230">
        <f t="shared" si="1"/>
        <v>112</v>
      </c>
      <c r="B115" s="231">
        <v>51335</v>
      </c>
      <c r="C115" s="238" t="s">
        <v>4167</v>
      </c>
      <c r="D115" s="221" t="str">
        <f t="shared" si="0"/>
        <v>LUČKA UPRAVA ŠIBENIK (51335)</v>
      </c>
      <c r="E115" s="238" t="s">
        <v>4168</v>
      </c>
      <c r="F115" s="238" t="s">
        <v>343</v>
      </c>
      <c r="G115" s="240" t="s">
        <v>4169</v>
      </c>
      <c r="H115" s="16" t="s">
        <v>4170</v>
      </c>
      <c r="I115" s="209"/>
      <c r="J115" s="224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</row>
    <row r="116" spans="1:26" ht="15" customHeight="1">
      <c r="A116" s="230">
        <f t="shared" si="1"/>
        <v>113</v>
      </c>
      <c r="B116" s="231">
        <v>51280</v>
      </c>
      <c r="C116" s="221" t="s">
        <v>4171</v>
      </c>
      <c r="D116" s="221" t="str">
        <f t="shared" si="0"/>
        <v>LUČKA UPRAVA VUKOVAR (51280)</v>
      </c>
      <c r="E116" s="221" t="s">
        <v>4172</v>
      </c>
      <c r="F116" s="221" t="s">
        <v>324</v>
      </c>
      <c r="G116" s="233" t="s">
        <v>4173</v>
      </c>
      <c r="H116" s="16" t="s">
        <v>4174</v>
      </c>
      <c r="I116" s="209"/>
      <c r="J116" s="224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</row>
    <row r="117" spans="1:26" ht="15" customHeight="1">
      <c r="A117" s="230">
        <f t="shared" si="1"/>
        <v>114</v>
      </c>
      <c r="B117" s="231">
        <v>51271</v>
      </c>
      <c r="C117" s="221" t="s">
        <v>4175</v>
      </c>
      <c r="D117" s="221" t="str">
        <f t="shared" si="0"/>
        <v>LUČKA UPRAVA ZADAR (51271)</v>
      </c>
      <c r="E117" s="221" t="s">
        <v>4176</v>
      </c>
      <c r="F117" s="221" t="s">
        <v>214</v>
      </c>
      <c r="G117" s="233" t="s">
        <v>4177</v>
      </c>
      <c r="H117" s="16" t="s">
        <v>4178</v>
      </c>
      <c r="I117" s="209"/>
      <c r="J117" s="224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</row>
    <row r="118" spans="1:26" ht="15" customHeight="1">
      <c r="A118" s="219">
        <f t="shared" si="1"/>
        <v>115</v>
      </c>
      <c r="B118" s="226">
        <v>47061</v>
      </c>
      <c r="C118" s="227" t="s">
        <v>4179</v>
      </c>
      <c r="D118" s="221" t="str">
        <f t="shared" si="0"/>
        <v>MINISTARSTVO PROSTORNOGA UREĐENJA, GRADITELJSTVA I DRŽAVNE IMOVINE (47061)</v>
      </c>
      <c r="E118" s="227" t="s">
        <v>4180</v>
      </c>
      <c r="F118" s="227" t="s">
        <v>23</v>
      </c>
      <c r="G118" s="228">
        <v>2831317</v>
      </c>
      <c r="H118" s="229" t="s">
        <v>4181</v>
      </c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</row>
    <row r="119" spans="1:26" ht="15" customHeight="1">
      <c r="A119" s="230">
        <f t="shared" si="1"/>
        <v>116</v>
      </c>
      <c r="B119" s="231">
        <v>22058</v>
      </c>
      <c r="C119" s="221" t="s">
        <v>4182</v>
      </c>
      <c r="D119" s="221" t="str">
        <f t="shared" si="0"/>
        <v>AGENCIJA ZA PRAVNI PROMET I POSREDOVANJE NEKRETNINAMA (22058)</v>
      </c>
      <c r="E119" s="221" t="s">
        <v>4183</v>
      </c>
      <c r="F119" s="221" t="s">
        <v>23</v>
      </c>
      <c r="G119" s="232">
        <v>1294164</v>
      </c>
      <c r="H119" s="16" t="s">
        <v>4184</v>
      </c>
      <c r="I119" s="209"/>
      <c r="J119" s="224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</row>
    <row r="120" spans="1:26" ht="15" customHeight="1">
      <c r="A120" s="230">
        <f t="shared" si="1"/>
        <v>117</v>
      </c>
      <c r="B120" s="231">
        <v>6120</v>
      </c>
      <c r="C120" s="221" t="s">
        <v>4185</v>
      </c>
      <c r="D120" s="221" t="str">
        <f t="shared" si="0"/>
        <v>DRŽAVNA GEODETSKA UPRAVA (6120)</v>
      </c>
      <c r="E120" s="221" t="s">
        <v>4186</v>
      </c>
      <c r="F120" s="221" t="s">
        <v>23</v>
      </c>
      <c r="G120" s="232">
        <v>936693</v>
      </c>
      <c r="H120" s="16" t="s">
        <v>4187</v>
      </c>
      <c r="I120" s="209"/>
      <c r="J120" s="224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</row>
    <row r="121" spans="1:26" ht="15.75" customHeight="1">
      <c r="A121" s="230">
        <f t="shared" si="1"/>
        <v>118</v>
      </c>
      <c r="B121" s="231">
        <v>51724</v>
      </c>
      <c r="C121" s="221" t="s">
        <v>4188</v>
      </c>
      <c r="D121" s="221" t="str">
        <f t="shared" si="0"/>
        <v>FOND ZA OBNOVU GRADA ZAGREBA, KRAPINSKO-ZAGORSKE ŽUPANIJE I ZAGREBAČKE ŽUPANIJE (51724)</v>
      </c>
      <c r="E121" s="221" t="s">
        <v>4189</v>
      </c>
      <c r="F121" s="221" t="s">
        <v>23</v>
      </c>
      <c r="G121" s="232">
        <v>5332494</v>
      </c>
      <c r="H121" s="16" t="s">
        <v>4190</v>
      </c>
      <c r="I121" s="209"/>
      <c r="J121" s="224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</row>
    <row r="122" spans="1:26" ht="15" customHeight="1">
      <c r="A122" s="219">
        <f t="shared" si="1"/>
        <v>119</v>
      </c>
      <c r="B122" s="226">
        <v>47053</v>
      </c>
      <c r="C122" s="227" t="s">
        <v>4191</v>
      </c>
      <c r="D122" s="221" t="str">
        <f t="shared" si="0"/>
        <v>MINISTARSTVO GOSPODARSTVA I ODRŽIVOG RAZVOJA (47053)</v>
      </c>
      <c r="E122" s="227" t="s">
        <v>4192</v>
      </c>
      <c r="F122" s="227" t="s">
        <v>23</v>
      </c>
      <c r="G122" s="228">
        <v>2831309</v>
      </c>
      <c r="H122" s="229" t="s">
        <v>4193</v>
      </c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</row>
    <row r="123" spans="1:26" ht="15" customHeight="1">
      <c r="A123" s="230">
        <f t="shared" si="1"/>
        <v>120</v>
      </c>
      <c r="B123" s="231">
        <v>22162</v>
      </c>
      <c r="C123" s="221" t="s">
        <v>4194</v>
      </c>
      <c r="D123" s="221" t="str">
        <f t="shared" si="0"/>
        <v>JAVNA USTANOVA NACIONALNI PARK BRIJUNI - PUBLIC INSTITUTION BRIJUNI NATIONAL PARK (22162)</v>
      </c>
      <c r="E123" s="221" t="s">
        <v>4195</v>
      </c>
      <c r="F123" s="221" t="s">
        <v>4196</v>
      </c>
      <c r="G123" s="232">
        <v>3286436</v>
      </c>
      <c r="H123" s="16" t="s">
        <v>4197</v>
      </c>
      <c r="I123" s="209"/>
      <c r="J123" s="224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</row>
    <row r="124" spans="1:26" ht="15" customHeight="1">
      <c r="A124" s="230">
        <f t="shared" si="1"/>
        <v>121</v>
      </c>
      <c r="B124" s="231">
        <v>22138</v>
      </c>
      <c r="C124" s="221" t="s">
        <v>4198</v>
      </c>
      <c r="D124" s="221" t="str">
        <f t="shared" si="0"/>
        <v>J. U. NACIONALNI PARK KORNATI  (22138)</v>
      </c>
      <c r="E124" s="221" t="s">
        <v>4199</v>
      </c>
      <c r="F124" s="221" t="s">
        <v>4200</v>
      </c>
      <c r="G124" s="232">
        <v>3957772</v>
      </c>
      <c r="H124" s="16" t="s">
        <v>4201</v>
      </c>
      <c r="I124" s="209"/>
      <c r="J124" s="224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</row>
    <row r="125" spans="1:26" ht="15" customHeight="1">
      <c r="A125" s="230">
        <f t="shared" si="1"/>
        <v>122</v>
      </c>
      <c r="B125" s="231">
        <v>22234</v>
      </c>
      <c r="C125" s="221" t="s">
        <v>4202</v>
      </c>
      <c r="D125" s="221" t="str">
        <f t="shared" si="0"/>
        <v>J. U. NACIONALNI PARK KRKA (22234)</v>
      </c>
      <c r="E125" s="221" t="s">
        <v>4203</v>
      </c>
      <c r="F125" s="221" t="s">
        <v>343</v>
      </c>
      <c r="G125" s="232">
        <v>3418103</v>
      </c>
      <c r="H125" s="16" t="s">
        <v>4204</v>
      </c>
      <c r="I125" s="209"/>
      <c r="J125" s="224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</row>
    <row r="126" spans="1:26" ht="15" customHeight="1">
      <c r="A126" s="230">
        <f t="shared" si="1"/>
        <v>123</v>
      </c>
      <c r="B126" s="231">
        <v>22179</v>
      </c>
      <c r="C126" s="221" t="s">
        <v>4205</v>
      </c>
      <c r="D126" s="221" t="str">
        <f t="shared" si="0"/>
        <v>J. U. NACIONALNI PARK MLJET (22179)</v>
      </c>
      <c r="E126" s="221" t="s">
        <v>4206</v>
      </c>
      <c r="F126" s="221" t="s">
        <v>4207</v>
      </c>
      <c r="G126" s="232">
        <v>3324974</v>
      </c>
      <c r="H126" s="16" t="s">
        <v>4208</v>
      </c>
      <c r="I126" s="209"/>
      <c r="J126" s="224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</row>
    <row r="127" spans="1:26" ht="15" customHeight="1">
      <c r="A127" s="230">
        <f t="shared" si="1"/>
        <v>124</v>
      </c>
      <c r="B127" s="231">
        <v>22200</v>
      </c>
      <c r="C127" s="221" t="s">
        <v>4209</v>
      </c>
      <c r="D127" s="221" t="str">
        <f t="shared" si="0"/>
        <v>J. U. NACIONALNI PARK PAKLENICA (22200)</v>
      </c>
      <c r="E127" s="221" t="s">
        <v>4210</v>
      </c>
      <c r="F127" s="221" t="s">
        <v>4211</v>
      </c>
      <c r="G127" s="232">
        <v>3142027</v>
      </c>
      <c r="H127" s="16" t="s">
        <v>4212</v>
      </c>
      <c r="I127" s="209"/>
      <c r="J127" s="224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</row>
    <row r="128" spans="1:26" ht="15" customHeight="1">
      <c r="A128" s="230">
        <f t="shared" si="1"/>
        <v>125</v>
      </c>
      <c r="B128" s="231">
        <v>22218</v>
      </c>
      <c r="C128" s="221" t="s">
        <v>4213</v>
      </c>
      <c r="D128" s="221" t="str">
        <f t="shared" si="0"/>
        <v>J. U. NACIONALNI PARK PLITVIČKA JEZERA (22218)</v>
      </c>
      <c r="E128" s="221" t="s">
        <v>4214</v>
      </c>
      <c r="F128" s="221" t="s">
        <v>4215</v>
      </c>
      <c r="G128" s="232">
        <v>3310850</v>
      </c>
      <c r="H128" s="16" t="s">
        <v>4216</v>
      </c>
      <c r="I128" s="209"/>
      <c r="J128" s="224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</row>
    <row r="129" spans="1:26" ht="15" customHeight="1">
      <c r="A129" s="230">
        <f t="shared" si="1"/>
        <v>126</v>
      </c>
      <c r="B129" s="231">
        <v>22187</v>
      </c>
      <c r="C129" s="221" t="s">
        <v>4217</v>
      </c>
      <c r="D129" s="221" t="str">
        <f t="shared" si="0"/>
        <v>J. U. NACIONALNI PARK RISNJAK (22187)</v>
      </c>
      <c r="E129" s="221" t="s">
        <v>4218</v>
      </c>
      <c r="F129" s="221" t="s">
        <v>4219</v>
      </c>
      <c r="G129" s="232">
        <v>3033619</v>
      </c>
      <c r="H129" s="16" t="s">
        <v>4220</v>
      </c>
      <c r="I129" s="209"/>
      <c r="J129" s="224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</row>
    <row r="130" spans="1:26" ht="15" customHeight="1">
      <c r="A130" s="230">
        <f t="shared" si="1"/>
        <v>127</v>
      </c>
      <c r="B130" s="231">
        <v>26506</v>
      </c>
      <c r="C130" s="221" t="s">
        <v>4221</v>
      </c>
      <c r="D130" s="221" t="str">
        <f t="shared" si="0"/>
        <v>J. U. NACIONALNI PARK SJEVERNI VELEBIT (26506)</v>
      </c>
      <c r="E130" s="221" t="s">
        <v>4222</v>
      </c>
      <c r="F130" s="221" t="s">
        <v>4223</v>
      </c>
      <c r="G130" s="232">
        <v>1486993</v>
      </c>
      <c r="H130" s="16" t="s">
        <v>4224</v>
      </c>
      <c r="I130" s="209"/>
      <c r="J130" s="224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</row>
    <row r="131" spans="1:26" ht="15" customHeight="1">
      <c r="A131" s="230">
        <f t="shared" si="1"/>
        <v>128</v>
      </c>
      <c r="B131" s="231">
        <v>23243</v>
      </c>
      <c r="C131" s="221" t="s">
        <v>4225</v>
      </c>
      <c r="D131" s="221" t="str">
        <f t="shared" si="0"/>
        <v>J. U. PARK PRIRODE BIOKOVO (23243)</v>
      </c>
      <c r="E131" s="221" t="s">
        <v>4226</v>
      </c>
      <c r="F131" s="221" t="s">
        <v>4227</v>
      </c>
      <c r="G131" s="232">
        <v>1408232</v>
      </c>
      <c r="H131" s="16" t="s">
        <v>4228</v>
      </c>
      <c r="I131" s="209"/>
      <c r="J131" s="224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</row>
    <row r="132" spans="1:26" ht="15" customHeight="1">
      <c r="A132" s="230">
        <f t="shared" si="1"/>
        <v>129</v>
      </c>
      <c r="B132" s="231">
        <v>22154</v>
      </c>
      <c r="C132" s="221" t="s">
        <v>4229</v>
      </c>
      <c r="D132" s="221" t="str">
        <f t="shared" si="0"/>
        <v>J. U. PARK PRIRODE KOPAČKI RIT (22154)</v>
      </c>
      <c r="E132" s="221" t="s">
        <v>4230</v>
      </c>
      <c r="F132" s="221" t="s">
        <v>4231</v>
      </c>
      <c r="G132" s="232">
        <v>1334239</v>
      </c>
      <c r="H132" s="16" t="s">
        <v>4232</v>
      </c>
      <c r="I132" s="209"/>
      <c r="J132" s="224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</row>
    <row r="133" spans="1:26" ht="15" customHeight="1">
      <c r="A133" s="230">
        <f t="shared" si="1"/>
        <v>130</v>
      </c>
      <c r="B133" s="231">
        <v>42598</v>
      </c>
      <c r="C133" s="221" t="s">
        <v>4233</v>
      </c>
      <c r="D133" s="221" t="str">
        <f t="shared" si="0"/>
        <v>J. U. PARK PRIRODE LASTOVSKO OTOČJE (42598)</v>
      </c>
      <c r="E133" s="237" t="s">
        <v>4234</v>
      </c>
      <c r="F133" s="237" t="s">
        <v>4235</v>
      </c>
      <c r="G133" s="15">
        <v>2175843</v>
      </c>
      <c r="H133" s="16" t="s">
        <v>4236</v>
      </c>
      <c r="I133" s="209"/>
      <c r="J133" s="224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</row>
    <row r="134" spans="1:26" ht="15" customHeight="1">
      <c r="A134" s="230">
        <f t="shared" si="1"/>
        <v>131</v>
      </c>
      <c r="B134" s="231">
        <v>22226</v>
      </c>
      <c r="C134" s="221" t="s">
        <v>4237</v>
      </c>
      <c r="D134" s="221" t="str">
        <f t="shared" si="0"/>
        <v>J. U. PARK PRIRODE LONJSKO POLJE (22226)</v>
      </c>
      <c r="E134" s="221" t="s">
        <v>4238</v>
      </c>
      <c r="F134" s="221" t="s">
        <v>4239</v>
      </c>
      <c r="G134" s="232">
        <v>1300997</v>
      </c>
      <c r="H134" s="16" t="s">
        <v>4240</v>
      </c>
      <c r="I134" s="209"/>
      <c r="J134" s="224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</row>
    <row r="135" spans="1:26" ht="15" customHeight="1">
      <c r="A135" s="230">
        <f t="shared" si="1"/>
        <v>132</v>
      </c>
      <c r="B135" s="231">
        <v>23497</v>
      </c>
      <c r="C135" s="221" t="s">
        <v>4241</v>
      </c>
      <c r="D135" s="221" t="str">
        <f t="shared" si="0"/>
        <v>J. U. PARK PRIRODE MEDVEDNICA (23497)</v>
      </c>
      <c r="E135" s="221" t="s">
        <v>4242</v>
      </c>
      <c r="F135" s="221" t="s">
        <v>23</v>
      </c>
      <c r="G135" s="232">
        <v>1463080</v>
      </c>
      <c r="H135" s="16" t="s">
        <v>4243</v>
      </c>
      <c r="I135" s="209"/>
      <c r="J135" s="224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</row>
    <row r="136" spans="1:26" ht="15" customHeight="1">
      <c r="A136" s="230">
        <f t="shared" si="1"/>
        <v>133</v>
      </c>
      <c r="B136" s="231">
        <v>26514</v>
      </c>
      <c r="C136" s="221" t="s">
        <v>4244</v>
      </c>
      <c r="D136" s="221" t="str">
        <f t="shared" si="0"/>
        <v>J. U. PARK PRIRODE PAPUK  (26514)</v>
      </c>
      <c r="E136" s="221" t="s">
        <v>4245</v>
      </c>
      <c r="F136" s="221" t="s">
        <v>4246</v>
      </c>
      <c r="G136" s="232">
        <v>1503847</v>
      </c>
      <c r="H136" s="16" t="s">
        <v>4247</v>
      </c>
      <c r="I136" s="209"/>
      <c r="J136" s="224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</row>
    <row r="137" spans="1:26" ht="15" customHeight="1">
      <c r="A137" s="230">
        <f t="shared" si="1"/>
        <v>134</v>
      </c>
      <c r="B137" s="231">
        <v>22195</v>
      </c>
      <c r="C137" s="221" t="s">
        <v>4248</v>
      </c>
      <c r="D137" s="221" t="str">
        <f t="shared" si="0"/>
        <v>J. U. PARK PRIRODE TELAŠĆICA (22195)</v>
      </c>
      <c r="E137" s="221" t="s">
        <v>4249</v>
      </c>
      <c r="F137" s="221" t="s">
        <v>4250</v>
      </c>
      <c r="G137" s="232">
        <v>3439780</v>
      </c>
      <c r="H137" s="16" t="s">
        <v>4251</v>
      </c>
      <c r="I137" s="209"/>
      <c r="J137" s="224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</row>
    <row r="138" spans="1:26" ht="15" customHeight="1">
      <c r="A138" s="230">
        <f t="shared" si="1"/>
        <v>135</v>
      </c>
      <c r="B138" s="231">
        <v>25925</v>
      </c>
      <c r="C138" s="221" t="s">
        <v>4252</v>
      </c>
      <c r="D138" s="221" t="str">
        <f t="shared" si="0"/>
        <v>J. U. PARK PRIRODE UČKA (25925)</v>
      </c>
      <c r="E138" s="221" t="s">
        <v>4253</v>
      </c>
      <c r="F138" s="221" t="s">
        <v>4254</v>
      </c>
      <c r="G138" s="232">
        <v>1508342</v>
      </c>
      <c r="H138" s="16" t="s">
        <v>4255</v>
      </c>
      <c r="I138" s="209"/>
      <c r="J138" s="224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</row>
    <row r="139" spans="1:26" ht="15" customHeight="1">
      <c r="A139" s="230">
        <f t="shared" si="1"/>
        <v>136</v>
      </c>
      <c r="B139" s="231">
        <v>25933</v>
      </c>
      <c r="C139" s="221" t="s">
        <v>4256</v>
      </c>
      <c r="D139" s="221" t="str">
        <f t="shared" si="0"/>
        <v>JAVNA USTANOVA PARK PRIRODE VELEBIT (25933)</v>
      </c>
      <c r="E139" s="221" t="s">
        <v>4257</v>
      </c>
      <c r="F139" s="221" t="s">
        <v>332</v>
      </c>
      <c r="G139" s="232">
        <v>1439863</v>
      </c>
      <c r="H139" s="16" t="s">
        <v>4258</v>
      </c>
      <c r="I139" s="209"/>
      <c r="J139" s="224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</row>
    <row r="140" spans="1:26" ht="15" customHeight="1">
      <c r="A140" s="230">
        <f t="shared" si="1"/>
        <v>137</v>
      </c>
      <c r="B140" s="231">
        <v>26522</v>
      </c>
      <c r="C140" s="221" t="s">
        <v>4259</v>
      </c>
      <c r="D140" s="221" t="str">
        <f t="shared" si="0"/>
        <v>JAVNA USTANOVA PARK PRIRODE VRANSKO JEZERO (26522)</v>
      </c>
      <c r="E140" s="221" t="s">
        <v>4260</v>
      </c>
      <c r="F140" s="221" t="s">
        <v>4261</v>
      </c>
      <c r="G140" s="232">
        <v>1504495</v>
      </c>
      <c r="H140" s="16" t="s">
        <v>4262</v>
      </c>
      <c r="I140" s="209"/>
      <c r="J140" s="224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</row>
    <row r="141" spans="1:26" ht="15" customHeight="1">
      <c r="A141" s="230">
        <f t="shared" si="1"/>
        <v>138</v>
      </c>
      <c r="B141" s="231">
        <v>26539</v>
      </c>
      <c r="C141" s="221" t="s">
        <v>4263</v>
      </c>
      <c r="D141" s="221" t="str">
        <f t="shared" si="0"/>
        <v>J. U. PARK PRIRODE ŽUMBERAK-SAMOBORSKO GORJE (26539)</v>
      </c>
      <c r="E141" s="221" t="s">
        <v>4264</v>
      </c>
      <c r="F141" s="221" t="s">
        <v>4265</v>
      </c>
      <c r="G141" s="232">
        <v>1481517</v>
      </c>
      <c r="H141" s="16" t="s">
        <v>4266</v>
      </c>
      <c r="I141" s="209"/>
      <c r="J141" s="224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</row>
    <row r="142" spans="1:26" ht="15" customHeight="1">
      <c r="A142" s="230">
        <f t="shared" si="1"/>
        <v>139</v>
      </c>
      <c r="B142" s="231">
        <v>21609</v>
      </c>
      <c r="C142" s="221" t="s">
        <v>4267</v>
      </c>
      <c r="D142" s="221" t="str">
        <f t="shared" si="0"/>
        <v>DRŽAVNI HIDROMETEOROLOŠKI ZAVOD (21609)</v>
      </c>
      <c r="E142" s="221" t="s">
        <v>4268</v>
      </c>
      <c r="F142" s="221" t="s">
        <v>23</v>
      </c>
      <c r="G142" s="232">
        <v>3206017</v>
      </c>
      <c r="H142" s="16" t="s">
        <v>4269</v>
      </c>
      <c r="I142" s="209"/>
      <c r="J142" s="224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</row>
    <row r="143" spans="1:26" ht="15" customHeight="1">
      <c r="A143" s="230">
        <f t="shared" si="1"/>
        <v>140</v>
      </c>
      <c r="B143" s="231">
        <v>49649</v>
      </c>
      <c r="C143" s="221" t="s">
        <v>4270</v>
      </c>
      <c r="D143" s="221" t="str">
        <f t="shared" si="0"/>
        <v>AGENCIJA ZA UGLJIKOVODIKE (49649)</v>
      </c>
      <c r="E143" s="12" t="s">
        <v>4271</v>
      </c>
      <c r="F143" s="221" t="s">
        <v>23</v>
      </c>
      <c r="G143" s="233" t="s">
        <v>4272</v>
      </c>
      <c r="H143" s="16" t="s">
        <v>4273</v>
      </c>
      <c r="I143" s="224"/>
      <c r="J143" s="224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</row>
    <row r="144" spans="1:26" ht="15" customHeight="1">
      <c r="A144" s="230">
        <f t="shared" si="1"/>
        <v>141</v>
      </c>
      <c r="B144" s="231">
        <v>49091</v>
      </c>
      <c r="C144" s="221" t="s">
        <v>4274</v>
      </c>
      <c r="D144" s="221" t="str">
        <f t="shared" si="0"/>
        <v>HRVATSKA ENERGETSKA REGULATORNA AGENCIJA (49091)</v>
      </c>
      <c r="E144" s="221" t="s">
        <v>4275</v>
      </c>
      <c r="F144" s="221" t="s">
        <v>23</v>
      </c>
      <c r="G144" s="232" t="s">
        <v>4276</v>
      </c>
      <c r="H144" s="16" t="s">
        <v>4277</v>
      </c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</row>
    <row r="145" spans="1:26" ht="15" customHeight="1">
      <c r="A145" s="230">
        <f t="shared" si="1"/>
        <v>142</v>
      </c>
      <c r="B145" s="231">
        <v>47131</v>
      </c>
      <c r="C145" s="221" t="s">
        <v>4278</v>
      </c>
      <c r="D145" s="221" t="str">
        <f t="shared" si="0"/>
        <v>MINISTARSTVO GOSPODARSTVA I ODRŽIVOG RAZVOJA – RAVNATELJSTVO ZA ROBNE ZALIHE (47131)</v>
      </c>
      <c r="E145" s="221" t="s">
        <v>434</v>
      </c>
      <c r="F145" s="221" t="s">
        <v>23</v>
      </c>
      <c r="G145" s="232">
        <v>2831309</v>
      </c>
      <c r="H145" s="16" t="s">
        <v>4193</v>
      </c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</row>
    <row r="146" spans="1:26" ht="15" customHeight="1">
      <c r="A146" s="230">
        <f t="shared" si="1"/>
        <v>143</v>
      </c>
      <c r="B146" s="231">
        <v>6082</v>
      </c>
      <c r="C146" s="221" t="s">
        <v>4279</v>
      </c>
      <c r="D146" s="221" t="str">
        <f t="shared" si="0"/>
        <v>DRŽAVNI ZAVOD ZA MJERITELJSTVO (6082)</v>
      </c>
      <c r="E146" s="221" t="s">
        <v>4280</v>
      </c>
      <c r="F146" s="221" t="s">
        <v>23</v>
      </c>
      <c r="G146" s="232">
        <v>3799166</v>
      </c>
      <c r="H146" s="16" t="s">
        <v>4281</v>
      </c>
      <c r="I146" s="209"/>
      <c r="J146" s="224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</row>
    <row r="147" spans="1:26" ht="15" customHeight="1">
      <c r="A147" s="230">
        <f t="shared" si="1"/>
        <v>144</v>
      </c>
      <c r="B147" s="231">
        <v>38495</v>
      </c>
      <c r="C147" s="221" t="s">
        <v>4282</v>
      </c>
      <c r="D147" s="221" t="str">
        <f t="shared" si="0"/>
        <v>HRVATSKI ZAVOD ZA NORME (38495)</v>
      </c>
      <c r="E147" s="221" t="s">
        <v>434</v>
      </c>
      <c r="F147" s="221" t="s">
        <v>23</v>
      </c>
      <c r="G147" s="232">
        <v>1957406</v>
      </c>
      <c r="H147" s="16" t="s">
        <v>4283</v>
      </c>
      <c r="I147" s="209"/>
      <c r="J147" s="224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</row>
    <row r="148" spans="1:26" ht="15" customHeight="1">
      <c r="A148" s="230">
        <f t="shared" si="1"/>
        <v>145</v>
      </c>
      <c r="B148" s="231">
        <v>38500</v>
      </c>
      <c r="C148" s="221" t="s">
        <v>4284</v>
      </c>
      <c r="D148" s="221" t="str">
        <f t="shared" si="0"/>
        <v>HRVATSKA AKREDITACIJSKA AGENCIJA (38500)</v>
      </c>
      <c r="E148" s="221" t="s">
        <v>434</v>
      </c>
      <c r="F148" s="221" t="s">
        <v>23</v>
      </c>
      <c r="G148" s="232">
        <v>1956868</v>
      </c>
      <c r="H148" s="16" t="s">
        <v>4285</v>
      </c>
      <c r="I148" s="209"/>
      <c r="J148" s="224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</row>
    <row r="149" spans="1:26" ht="15" customHeight="1">
      <c r="A149" s="230">
        <f t="shared" si="1"/>
        <v>146</v>
      </c>
      <c r="B149" s="231">
        <v>46237</v>
      </c>
      <c r="C149" s="221" t="s">
        <v>4286</v>
      </c>
      <c r="D149" s="221" t="str">
        <f t="shared" si="0"/>
        <v>HRVATSKA AGENCIJA ZA MALO GOSPODARSTVO, INOVACIJE I INVESTICIJE (46237)</v>
      </c>
      <c r="E149" s="221" t="s">
        <v>4287</v>
      </c>
      <c r="F149" s="221" t="s">
        <v>23</v>
      </c>
      <c r="G149" s="232">
        <v>767875</v>
      </c>
      <c r="H149" s="16" t="s">
        <v>4288</v>
      </c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</row>
    <row r="150" spans="1:26" ht="15" customHeight="1">
      <c r="A150" s="219">
        <f t="shared" si="1"/>
        <v>147</v>
      </c>
      <c r="B150" s="226">
        <v>1222</v>
      </c>
      <c r="C150" s="227" t="s">
        <v>21</v>
      </c>
      <c r="D150" s="221" t="str">
        <f t="shared" si="0"/>
        <v>MINISTARSTVO ZNANOSTI I OBRAZOVANJA  (1222)</v>
      </c>
      <c r="E150" s="227" t="s">
        <v>22</v>
      </c>
      <c r="F150" s="227" t="s">
        <v>23</v>
      </c>
      <c r="G150" s="228">
        <v>3271030</v>
      </c>
      <c r="H150" s="229" t="s">
        <v>24</v>
      </c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</row>
    <row r="151" spans="1:26" ht="15" customHeight="1">
      <c r="A151" s="230">
        <f t="shared" si="1"/>
        <v>148</v>
      </c>
      <c r="B151" s="231">
        <v>2063</v>
      </c>
      <c r="C151" s="221" t="s">
        <v>27</v>
      </c>
      <c r="D151" s="221" t="str">
        <f t="shared" si="0"/>
        <v>FAKULTET ORGANIZACIJE I INFORMATIKE U VARAŽDINU (2063)</v>
      </c>
      <c r="E151" s="221" t="s">
        <v>29</v>
      </c>
      <c r="F151" s="221" t="s">
        <v>30</v>
      </c>
      <c r="G151" s="232">
        <v>3006107</v>
      </c>
      <c r="H151" s="16" t="s">
        <v>31</v>
      </c>
      <c r="I151" s="209"/>
      <c r="J151" s="224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</row>
    <row r="152" spans="1:26" ht="15" customHeight="1">
      <c r="A152" s="230">
        <f t="shared" si="1"/>
        <v>149</v>
      </c>
      <c r="B152" s="231">
        <v>43749</v>
      </c>
      <c r="C152" s="221" t="s">
        <v>35</v>
      </c>
      <c r="D152" s="221" t="str">
        <f t="shared" si="0"/>
        <v>MEĐIMURSKO VELEUČILIŠTE U ČAKOVCU (43749)</v>
      </c>
      <c r="E152" s="221" t="s">
        <v>37</v>
      </c>
      <c r="F152" s="221" t="s">
        <v>38</v>
      </c>
      <c r="G152" s="232">
        <v>2382512</v>
      </c>
      <c r="H152" s="16" t="s">
        <v>39</v>
      </c>
      <c r="I152" s="209"/>
      <c r="J152" s="224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</row>
    <row r="153" spans="1:26" ht="15" customHeight="1">
      <c r="A153" s="230">
        <f t="shared" si="1"/>
        <v>150</v>
      </c>
      <c r="B153" s="231">
        <v>2452</v>
      </c>
      <c r="C153" s="221" t="s">
        <v>40</v>
      </c>
      <c r="D153" s="221" t="str">
        <f t="shared" si="0"/>
        <v>SVEUČILIŠTE J. J. STROSSMAYERA U OSIJEKU (2452)</v>
      </c>
      <c r="E153" s="221" t="s">
        <v>42</v>
      </c>
      <c r="F153" s="221" t="s">
        <v>43</v>
      </c>
      <c r="G153" s="232">
        <v>3049779</v>
      </c>
      <c r="H153" s="16" t="s">
        <v>44</v>
      </c>
      <c r="I153" s="209"/>
      <c r="J153" s="224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</row>
    <row r="154" spans="1:26" ht="24" customHeight="1">
      <c r="A154" s="230">
        <f t="shared" si="1"/>
        <v>151</v>
      </c>
      <c r="B154" s="231">
        <v>50215</v>
      </c>
      <c r="C154" s="221" t="s">
        <v>46</v>
      </c>
      <c r="D154" s="221" t="str">
        <f t="shared" si="0"/>
        <v>SVEUČILIŠTE J. J. STROSSMAYERA U OSIJEKU - AKADEMIJA ZA UMJETNOST I KULTURU U OSIJEKU (50215)</v>
      </c>
      <c r="E154" s="221" t="s">
        <v>47</v>
      </c>
      <c r="F154" s="221" t="s">
        <v>43</v>
      </c>
      <c r="G154" s="232">
        <v>4907361</v>
      </c>
      <c r="H154" s="16" t="s">
        <v>48</v>
      </c>
      <c r="I154" s="209"/>
      <c r="J154" s="224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</row>
    <row r="155" spans="1:26" ht="15" customHeight="1">
      <c r="A155" s="230">
        <f t="shared" si="1"/>
        <v>152</v>
      </c>
      <c r="B155" s="231">
        <v>2284</v>
      </c>
      <c r="C155" s="221" t="s">
        <v>49</v>
      </c>
      <c r="D155" s="221" t="str">
        <f t="shared" si="0"/>
        <v>SVEUČILIŠTE J. J. STROSSMAYERA U OSIJEKU - EKONOMSKI FAKULTET (2284)</v>
      </c>
      <c r="E155" s="221" t="s">
        <v>50</v>
      </c>
      <c r="F155" s="221" t="s">
        <v>43</v>
      </c>
      <c r="G155" s="232">
        <v>3021645</v>
      </c>
      <c r="H155" s="16" t="s">
        <v>51</v>
      </c>
      <c r="I155" s="209"/>
      <c r="J155" s="224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</row>
    <row r="156" spans="1:26" ht="15.75" customHeight="1">
      <c r="A156" s="230">
        <f t="shared" si="1"/>
        <v>153</v>
      </c>
      <c r="B156" s="231">
        <v>2268</v>
      </c>
      <c r="C156" s="221" t="s">
        <v>53</v>
      </c>
      <c r="D156" s="221" t="str">
        <f t="shared" si="0"/>
        <v>SVEUČILIŠTE J. J. STROSSMAYERA U OSIJEKU - FAKULTET AGROBIOTEHNIČKIH ZNANOSTI OSIJEK (2268)</v>
      </c>
      <c r="E156" s="221" t="s">
        <v>54</v>
      </c>
      <c r="F156" s="221" t="s">
        <v>43</v>
      </c>
      <c r="G156" s="232">
        <v>3058212</v>
      </c>
      <c r="H156" s="16" t="s">
        <v>55</v>
      </c>
      <c r="I156" s="209"/>
      <c r="J156" s="224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</row>
    <row r="157" spans="1:26" ht="15.75" customHeight="1">
      <c r="A157" s="230">
        <f t="shared" si="1"/>
        <v>154</v>
      </c>
      <c r="B157" s="231">
        <v>2313</v>
      </c>
      <c r="C157" s="221" t="s">
        <v>57</v>
      </c>
      <c r="D157" s="221" t="str">
        <f t="shared" si="0"/>
        <v>SVEUČILIŠTE J. J. STROSSMAYERA U OSIJEKU - FAKULTET ELEKTROTEHNIKE, RAČUNARSTVA I INFORMACIJSKIH TEHNOLOGIJA OSIJEK (2313)</v>
      </c>
      <c r="E157" s="221" t="s">
        <v>4289</v>
      </c>
      <c r="F157" s="221" t="s">
        <v>43</v>
      </c>
      <c r="G157" s="232">
        <v>3392589</v>
      </c>
      <c r="H157" s="16" t="s">
        <v>59</v>
      </c>
      <c r="I157" s="209"/>
      <c r="J157" s="224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</row>
    <row r="158" spans="1:26" ht="15.75" customHeight="1">
      <c r="A158" s="230">
        <f t="shared" si="1"/>
        <v>155</v>
      </c>
      <c r="B158" s="231">
        <v>49796</v>
      </c>
      <c r="C158" s="221" t="s">
        <v>63</v>
      </c>
      <c r="D158" s="221" t="str">
        <f t="shared" si="0"/>
        <v>SVEUČILIŠTE J. J. STROSSMAYERA U OSIJEKU - FAKULTET ZA DENTALNU MEDICINU I ZDRAVSTVO (49796)</v>
      </c>
      <c r="E158" s="12" t="s">
        <v>64</v>
      </c>
      <c r="F158" s="221" t="s">
        <v>43</v>
      </c>
      <c r="G158" s="232">
        <v>4748875</v>
      </c>
      <c r="H158" s="16" t="s">
        <v>65</v>
      </c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</row>
    <row r="159" spans="1:26" ht="15.75" customHeight="1">
      <c r="A159" s="230">
        <f t="shared" si="1"/>
        <v>156</v>
      </c>
      <c r="B159" s="231">
        <v>22486</v>
      </c>
      <c r="C159" s="221" t="s">
        <v>67</v>
      </c>
      <c r="D159" s="221" t="str">
        <f t="shared" si="0"/>
        <v>SVEUČILIŠTE J. J. STROSSMAYERA U OSIJEKU - FAKULTET ZA ODGOJNE I OBRAZOVNE ZNANOSTI (22486)</v>
      </c>
      <c r="E159" s="221" t="s">
        <v>68</v>
      </c>
      <c r="F159" s="221" t="s">
        <v>43</v>
      </c>
      <c r="G159" s="232">
        <v>1404881</v>
      </c>
      <c r="H159" s="16" t="s">
        <v>69</v>
      </c>
      <c r="I159" s="209"/>
      <c r="J159" s="224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</row>
    <row r="160" spans="1:26" ht="15" customHeight="1">
      <c r="A160" s="230">
        <f t="shared" si="1"/>
        <v>157</v>
      </c>
      <c r="B160" s="231">
        <v>2321</v>
      </c>
      <c r="C160" s="221" t="s">
        <v>71</v>
      </c>
      <c r="D160" s="221" t="str">
        <f t="shared" si="0"/>
        <v>SVEUČILIŠTE J. J. STROSSMAYERA U OSIJEKU - FILOZOFSKI FAKULTET (2321)</v>
      </c>
      <c r="E160" s="221" t="s">
        <v>72</v>
      </c>
      <c r="F160" s="221" t="s">
        <v>43</v>
      </c>
      <c r="G160" s="232">
        <v>3014185</v>
      </c>
      <c r="H160" s="16" t="s">
        <v>73</v>
      </c>
      <c r="I160" s="209"/>
      <c r="J160" s="224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</row>
    <row r="161" spans="1:26" ht="15" customHeight="1">
      <c r="A161" s="230">
        <f t="shared" si="1"/>
        <v>158</v>
      </c>
      <c r="B161" s="231">
        <v>2508</v>
      </c>
      <c r="C161" s="221" t="s">
        <v>75</v>
      </c>
      <c r="D161" s="221" t="str">
        <f t="shared" si="0"/>
        <v>SVEUČILIŠTE J. J. STROSSMAYERA U OSIJEKU - GRADSKA I SVEUČILIŠNA KNJIŽNICA (2508)</v>
      </c>
      <c r="E161" s="221" t="s">
        <v>76</v>
      </c>
      <c r="F161" s="221" t="s">
        <v>43</v>
      </c>
      <c r="G161" s="232">
        <v>3014347</v>
      </c>
      <c r="H161" s="16" t="s">
        <v>77</v>
      </c>
      <c r="I161" s="209"/>
      <c r="J161" s="224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</row>
    <row r="162" spans="1:26" ht="15.75" customHeight="1">
      <c r="A162" s="230">
        <f t="shared" si="1"/>
        <v>159</v>
      </c>
      <c r="B162" s="231">
        <v>2250</v>
      </c>
      <c r="C162" s="221" t="s">
        <v>79</v>
      </c>
      <c r="D162" s="221" t="str">
        <f t="shared" si="0"/>
        <v>SVEUČILIŠTE J. J. STROSSMAYERA U OSIJEKU - GRAĐEVINSKI I ARHITEKTONSKI FAKULTET OSIJEK (2250)</v>
      </c>
      <c r="E162" s="221" t="s">
        <v>80</v>
      </c>
      <c r="F162" s="221" t="s">
        <v>43</v>
      </c>
      <c r="G162" s="232">
        <v>3397335</v>
      </c>
      <c r="H162" s="16" t="s">
        <v>81</v>
      </c>
      <c r="I162" s="209"/>
      <c r="J162" s="224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</row>
    <row r="163" spans="1:26" ht="15" customHeight="1">
      <c r="A163" s="230">
        <f t="shared" si="1"/>
        <v>160</v>
      </c>
      <c r="B163" s="231">
        <v>38479</v>
      </c>
      <c r="C163" s="221" t="s">
        <v>4290</v>
      </c>
      <c r="D163" s="221" t="str">
        <f t="shared" si="0"/>
        <v>KATOLIČKI BOGOSLOVNI FAKULTET U ĐAKOVU (38479)</v>
      </c>
      <c r="E163" s="12" t="s">
        <v>84</v>
      </c>
      <c r="F163" s="221" t="s">
        <v>85</v>
      </c>
      <c r="G163" s="232">
        <v>1986490</v>
      </c>
      <c r="H163" s="16" t="s">
        <v>86</v>
      </c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</row>
    <row r="164" spans="1:26" ht="15" customHeight="1">
      <c r="A164" s="230">
        <f t="shared" si="1"/>
        <v>161</v>
      </c>
      <c r="B164" s="231">
        <v>51450</v>
      </c>
      <c r="C164" s="221" t="s">
        <v>88</v>
      </c>
      <c r="D164" s="221" t="str">
        <f t="shared" si="0"/>
        <v>SVEUČILIŠTE J. J. STROSSMAYERA U OSIJEKU - KINEZIOLOŠKI FAKULTET OSIJEK (51450)</v>
      </c>
      <c r="E164" s="221" t="s">
        <v>89</v>
      </c>
      <c r="F164" s="221" t="s">
        <v>43</v>
      </c>
      <c r="G164" s="232">
        <v>5302099</v>
      </c>
      <c r="H164" s="16" t="s">
        <v>90</v>
      </c>
      <c r="I164" s="209"/>
      <c r="J164" s="224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</row>
    <row r="165" spans="1:26" ht="15" customHeight="1">
      <c r="A165" s="230">
        <f t="shared" si="1"/>
        <v>162</v>
      </c>
      <c r="B165" s="231">
        <v>22849</v>
      </c>
      <c r="C165" s="221" t="s">
        <v>92</v>
      </c>
      <c r="D165" s="221" t="str">
        <f t="shared" si="0"/>
        <v>SVEUČILIŠTE J. J. STROSSMAYERA U OSIJEKU - MEDICINSKI FAKULTET (22849)</v>
      </c>
      <c r="E165" s="221" t="s">
        <v>93</v>
      </c>
      <c r="F165" s="221" t="s">
        <v>43</v>
      </c>
      <c r="G165" s="232">
        <v>1388142</v>
      </c>
      <c r="H165" s="16" t="s">
        <v>94</v>
      </c>
      <c r="I165" s="209"/>
      <c r="J165" s="224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</row>
    <row r="166" spans="1:26" ht="15" customHeight="1">
      <c r="A166" s="230">
        <f t="shared" si="1"/>
        <v>163</v>
      </c>
      <c r="B166" s="231">
        <v>2292</v>
      </c>
      <c r="C166" s="221" t="s">
        <v>95</v>
      </c>
      <c r="D166" s="221" t="str">
        <f t="shared" si="0"/>
        <v>SVEUČILIŠTE J. J. STROSSMAYERA U OSIJEKU - PRAVNI FAKULTET (2292)</v>
      </c>
      <c r="E166" s="221" t="s">
        <v>96</v>
      </c>
      <c r="F166" s="221" t="s">
        <v>43</v>
      </c>
      <c r="G166" s="232">
        <v>3014193</v>
      </c>
      <c r="H166" s="16" t="s">
        <v>97</v>
      </c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</row>
    <row r="167" spans="1:26" ht="15" customHeight="1">
      <c r="A167" s="230">
        <f t="shared" si="1"/>
        <v>164</v>
      </c>
      <c r="B167" s="231">
        <v>2276</v>
      </c>
      <c r="C167" s="221" t="s">
        <v>99</v>
      </c>
      <c r="D167" s="221" t="str">
        <f t="shared" si="0"/>
        <v>SVEUČILIŠTE J. J. STROSSMAYERA U OSIJEKU - PREHRAMBENO TEHNOLOŠKI FAKULTET (2276)</v>
      </c>
      <c r="E167" s="221" t="s">
        <v>100</v>
      </c>
      <c r="F167" s="221" t="s">
        <v>43</v>
      </c>
      <c r="G167" s="232">
        <v>3058204</v>
      </c>
      <c r="H167" s="16" t="s">
        <v>101</v>
      </c>
      <c r="I167" s="209"/>
      <c r="J167" s="224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</row>
    <row r="168" spans="1:26" ht="15" customHeight="1">
      <c r="A168" s="230">
        <f t="shared" si="1"/>
        <v>165</v>
      </c>
      <c r="B168" s="231">
        <v>42024</v>
      </c>
      <c r="C168" s="221" t="s">
        <v>105</v>
      </c>
      <c r="D168" s="221" t="str">
        <f t="shared" si="0"/>
        <v>SVEUČILIŠTE JURJA DOBRILE U PULI (42024)</v>
      </c>
      <c r="E168" s="221" t="s">
        <v>107</v>
      </c>
      <c r="F168" s="221" t="s">
        <v>108</v>
      </c>
      <c r="G168" s="232">
        <v>2161753</v>
      </c>
      <c r="H168" s="16" t="s">
        <v>109</v>
      </c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</row>
    <row r="169" spans="1:26" ht="15" customHeight="1">
      <c r="A169" s="230">
        <f t="shared" si="1"/>
        <v>166</v>
      </c>
      <c r="B169" s="231">
        <v>48267</v>
      </c>
      <c r="C169" s="221" t="s">
        <v>111</v>
      </c>
      <c r="D169" s="221" t="str">
        <f t="shared" si="0"/>
        <v>SVEUČILIŠTE SJEVER (48267)</v>
      </c>
      <c r="E169" s="221" t="s">
        <v>112</v>
      </c>
      <c r="F169" s="221" t="s">
        <v>113</v>
      </c>
      <c r="G169" s="232">
        <v>2752298</v>
      </c>
      <c r="H169" s="16" t="s">
        <v>114</v>
      </c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</row>
    <row r="170" spans="1:26" ht="15" customHeight="1">
      <c r="A170" s="230">
        <f t="shared" si="1"/>
        <v>167</v>
      </c>
      <c r="B170" s="231">
        <v>24141</v>
      </c>
      <c r="C170" s="221" t="s">
        <v>116</v>
      </c>
      <c r="D170" s="221" t="str">
        <f t="shared" si="0"/>
        <v>SVEUČILIŠTE U DUBROVNIKU (24141)</v>
      </c>
      <c r="E170" s="221" t="s">
        <v>117</v>
      </c>
      <c r="F170" s="221" t="s">
        <v>118</v>
      </c>
      <c r="G170" s="232">
        <v>1787578</v>
      </c>
      <c r="H170" s="16" t="s">
        <v>119</v>
      </c>
      <c r="I170" s="241"/>
      <c r="J170" s="224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</row>
    <row r="171" spans="1:26" ht="15" customHeight="1">
      <c r="A171" s="230">
        <f t="shared" si="1"/>
        <v>168</v>
      </c>
      <c r="B171" s="231">
        <v>2444</v>
      </c>
      <c r="C171" s="221" t="s">
        <v>122</v>
      </c>
      <c r="D171" s="221" t="str">
        <f t="shared" si="0"/>
        <v>SVEUČILIŠTE U RIJECI (2444)</v>
      </c>
      <c r="E171" s="221" t="s">
        <v>123</v>
      </c>
      <c r="F171" s="221" t="s">
        <v>124</v>
      </c>
      <c r="G171" s="232">
        <v>3337413</v>
      </c>
      <c r="H171" s="16" t="s">
        <v>125</v>
      </c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</row>
    <row r="172" spans="1:26" ht="15" customHeight="1">
      <c r="A172" s="230">
        <f t="shared" si="1"/>
        <v>169</v>
      </c>
      <c r="B172" s="231">
        <v>38454</v>
      </c>
      <c r="C172" s="221" t="s">
        <v>128</v>
      </c>
      <c r="D172" s="221" t="str">
        <f t="shared" si="0"/>
        <v>SVEUČILIŠTE U RIJECI - AKADEMIJA PRIMJENJENIH UMJETNOSTI (38454)</v>
      </c>
      <c r="E172" s="221" t="s">
        <v>129</v>
      </c>
      <c r="F172" s="221" t="s">
        <v>124</v>
      </c>
      <c r="G172" s="15">
        <v>1954253</v>
      </c>
      <c r="H172" s="16" t="s">
        <v>130</v>
      </c>
      <c r="I172" s="209"/>
      <c r="J172" s="224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</row>
    <row r="173" spans="1:26" ht="15" customHeight="1">
      <c r="A173" s="230">
        <f t="shared" si="1"/>
        <v>170</v>
      </c>
      <c r="B173" s="231">
        <v>2186</v>
      </c>
      <c r="C173" s="221" t="s">
        <v>132</v>
      </c>
      <c r="D173" s="221" t="str">
        <f t="shared" si="0"/>
        <v>SVEUČILIŠTE U RIJECI - EKONOMSKI FAKULTET (2186)</v>
      </c>
      <c r="E173" s="221" t="s">
        <v>133</v>
      </c>
      <c r="F173" s="221" t="s">
        <v>124</v>
      </c>
      <c r="G173" s="232">
        <v>3328627</v>
      </c>
      <c r="H173" s="16" t="s">
        <v>134</v>
      </c>
      <c r="I173" s="209"/>
      <c r="J173" s="224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</row>
    <row r="174" spans="1:26" ht="15" customHeight="1">
      <c r="A174" s="230">
        <f t="shared" si="1"/>
        <v>171</v>
      </c>
      <c r="B174" s="231">
        <v>2194</v>
      </c>
      <c r="C174" s="221" t="s">
        <v>135</v>
      </c>
      <c r="D174" s="221" t="str">
        <f t="shared" si="0"/>
        <v>SVEUČILIŠTE U RIJECI - FAKULTET ZA MENADŽMENT U TURIZMU I UGOSTITELJSTVU (2194)</v>
      </c>
      <c r="E174" s="221" t="s">
        <v>136</v>
      </c>
      <c r="F174" s="221" t="s">
        <v>137</v>
      </c>
      <c r="G174" s="232">
        <v>3091732</v>
      </c>
      <c r="H174" s="16" t="s">
        <v>138</v>
      </c>
      <c r="I174" s="209"/>
      <c r="J174" s="224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</row>
    <row r="175" spans="1:26" ht="15" customHeight="1">
      <c r="A175" s="230">
        <f t="shared" si="1"/>
        <v>172</v>
      </c>
      <c r="B175" s="231">
        <v>48023</v>
      </c>
      <c r="C175" s="221" t="s">
        <v>140</v>
      </c>
      <c r="D175" s="221" t="str">
        <f t="shared" si="0"/>
        <v>SVEUČILIŠTE U RIJECI - FAKULTET ZDRAVSTVENIH STUDIJA U RIJECI (48023)</v>
      </c>
      <c r="E175" s="221" t="s">
        <v>141</v>
      </c>
      <c r="F175" s="221" t="s">
        <v>124</v>
      </c>
      <c r="G175" s="233" t="s">
        <v>142</v>
      </c>
      <c r="H175" s="16" t="s">
        <v>143</v>
      </c>
      <c r="I175" s="209"/>
      <c r="J175" s="224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</row>
    <row r="176" spans="1:26" ht="15" customHeight="1">
      <c r="A176" s="230">
        <f t="shared" si="1"/>
        <v>173</v>
      </c>
      <c r="B176" s="231">
        <v>22857</v>
      </c>
      <c r="C176" s="221" t="s">
        <v>144</v>
      </c>
      <c r="D176" s="221" t="str">
        <f t="shared" si="0"/>
        <v>SVEUČILIŠTE U RIJECI - FILOZOFSKI FAKULTET (22857)</v>
      </c>
      <c r="E176" s="221" t="s">
        <v>145</v>
      </c>
      <c r="F176" s="221" t="s">
        <v>124</v>
      </c>
      <c r="G176" s="232">
        <v>3368491</v>
      </c>
      <c r="H176" s="16" t="s">
        <v>146</v>
      </c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</row>
    <row r="177" spans="1:26" ht="15" customHeight="1">
      <c r="A177" s="230">
        <f t="shared" si="1"/>
        <v>174</v>
      </c>
      <c r="B177" s="231">
        <v>2160</v>
      </c>
      <c r="C177" s="221" t="s">
        <v>147</v>
      </c>
      <c r="D177" s="221" t="str">
        <f t="shared" si="0"/>
        <v>SVEUČILIŠTE U RIJECI - GRAĐEVINSKI FAKULTET (2160)</v>
      </c>
      <c r="E177" s="221" t="s">
        <v>148</v>
      </c>
      <c r="F177" s="221" t="s">
        <v>124</v>
      </c>
      <c r="G177" s="232">
        <v>3395855</v>
      </c>
      <c r="H177" s="16" t="s">
        <v>149</v>
      </c>
      <c r="I177" s="209"/>
      <c r="J177" s="224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</row>
    <row r="178" spans="1:26" ht="15" customHeight="1">
      <c r="A178" s="230">
        <f t="shared" si="1"/>
        <v>175</v>
      </c>
      <c r="B178" s="231">
        <v>2225</v>
      </c>
      <c r="C178" s="221" t="s">
        <v>150</v>
      </c>
      <c r="D178" s="221" t="str">
        <f t="shared" si="0"/>
        <v>SVEUČILIŠTE U RIJECI - MEDICINSKI FAKULTET (2225)</v>
      </c>
      <c r="E178" s="221" t="s">
        <v>151</v>
      </c>
      <c r="F178" s="221" t="s">
        <v>124</v>
      </c>
      <c r="G178" s="232">
        <v>3328554</v>
      </c>
      <c r="H178" s="16" t="s">
        <v>152</v>
      </c>
      <c r="I178" s="209"/>
      <c r="J178" s="224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</row>
    <row r="179" spans="1:26" ht="15" customHeight="1">
      <c r="A179" s="230">
        <f t="shared" si="1"/>
        <v>176</v>
      </c>
      <c r="B179" s="231">
        <v>22568</v>
      </c>
      <c r="C179" s="221" t="s">
        <v>4291</v>
      </c>
      <c r="D179" s="221" t="str">
        <f t="shared" si="0"/>
        <v>SVEUČILIŠTE U RIJECI, POMORSKI FAKULTET (22568)</v>
      </c>
      <c r="E179" s="221" t="s">
        <v>153</v>
      </c>
      <c r="F179" s="221" t="s">
        <v>124</v>
      </c>
      <c r="G179" s="232">
        <v>1580485</v>
      </c>
      <c r="H179" s="16" t="s">
        <v>154</v>
      </c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</row>
    <row r="180" spans="1:26" ht="15" customHeight="1">
      <c r="A180" s="230">
        <f t="shared" si="1"/>
        <v>177</v>
      </c>
      <c r="B180" s="231">
        <v>2217</v>
      </c>
      <c r="C180" s="221" t="s">
        <v>155</v>
      </c>
      <c r="D180" s="221" t="str">
        <f t="shared" si="0"/>
        <v>SVEUČILIŠTE U RIJECI - PRAVNI FAKULTET (2217)</v>
      </c>
      <c r="E180" s="221" t="s">
        <v>156</v>
      </c>
      <c r="F180" s="221" t="s">
        <v>124</v>
      </c>
      <c r="G180" s="232">
        <v>3328562</v>
      </c>
      <c r="H180" s="16" t="s">
        <v>157</v>
      </c>
      <c r="I180" s="209"/>
      <c r="J180" s="224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</row>
    <row r="181" spans="1:26" ht="15" customHeight="1">
      <c r="A181" s="230">
        <f t="shared" si="1"/>
        <v>178</v>
      </c>
      <c r="B181" s="231">
        <v>2493</v>
      </c>
      <c r="C181" s="221" t="s">
        <v>158</v>
      </c>
      <c r="D181" s="221" t="str">
        <f t="shared" si="0"/>
        <v>SVEUČILIŠTE U RIJECI - SVEUČILIŠNA KNJIŽNICA (2493)</v>
      </c>
      <c r="E181" s="221" t="s">
        <v>159</v>
      </c>
      <c r="F181" s="221" t="s">
        <v>124</v>
      </c>
      <c r="G181" s="232">
        <v>3328686</v>
      </c>
      <c r="H181" s="16" t="s">
        <v>160</v>
      </c>
      <c r="I181" s="209"/>
      <c r="J181" s="224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</row>
    <row r="182" spans="1:26" ht="15" customHeight="1">
      <c r="A182" s="230">
        <f t="shared" si="1"/>
        <v>179</v>
      </c>
      <c r="B182" s="231">
        <v>2151</v>
      </c>
      <c r="C182" s="221" t="s">
        <v>161</v>
      </c>
      <c r="D182" s="221" t="str">
        <f t="shared" si="0"/>
        <v>SVEUČILIŠTE U RIJECI - TEHNIČKI FAKULTET (2151)</v>
      </c>
      <c r="E182" s="221" t="s">
        <v>162</v>
      </c>
      <c r="F182" s="221" t="s">
        <v>124</v>
      </c>
      <c r="G182" s="232">
        <v>3334317</v>
      </c>
      <c r="H182" s="16" t="s">
        <v>163</v>
      </c>
      <c r="I182" s="209"/>
      <c r="J182" s="224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</row>
    <row r="183" spans="1:26" ht="15" customHeight="1">
      <c r="A183" s="230">
        <f t="shared" si="1"/>
        <v>180</v>
      </c>
      <c r="B183" s="231">
        <v>40947</v>
      </c>
      <c r="C183" s="221" t="s">
        <v>164</v>
      </c>
      <c r="D183" s="221" t="str">
        <f t="shared" si="0"/>
        <v>SVEUČILIŠTE U RIJECI - UČITELJSKI FAKULTET (40947)</v>
      </c>
      <c r="E183" s="221" t="s">
        <v>165</v>
      </c>
      <c r="F183" s="221" t="s">
        <v>124</v>
      </c>
      <c r="G183" s="232">
        <v>2116073</v>
      </c>
      <c r="H183" s="16" t="s">
        <v>166</v>
      </c>
      <c r="I183" s="209"/>
      <c r="J183" s="224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</row>
    <row r="184" spans="1:26" ht="15" customHeight="1">
      <c r="A184" s="230">
        <f t="shared" si="1"/>
        <v>181</v>
      </c>
      <c r="B184" s="231">
        <v>51360</v>
      </c>
      <c r="C184" s="221" t="s">
        <v>167</v>
      </c>
      <c r="D184" s="221" t="str">
        <f t="shared" si="0"/>
        <v>SVEUČILIŠTE U SLAVONSKOM BRODU (51360)</v>
      </c>
      <c r="E184" s="12" t="s">
        <v>168</v>
      </c>
      <c r="F184" s="221" t="s">
        <v>169</v>
      </c>
      <c r="G184" s="232">
        <v>5290538</v>
      </c>
      <c r="H184" s="16" t="s">
        <v>170</v>
      </c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</row>
    <row r="185" spans="1:26" ht="15" customHeight="1">
      <c r="A185" s="230">
        <f t="shared" si="1"/>
        <v>182</v>
      </c>
      <c r="B185" s="231">
        <v>2469</v>
      </c>
      <c r="C185" s="221" t="s">
        <v>171</v>
      </c>
      <c r="D185" s="221" t="str">
        <f t="shared" si="0"/>
        <v>SVEUČILIŠTE U SPLITU (2469)</v>
      </c>
      <c r="E185" s="221" t="s">
        <v>172</v>
      </c>
      <c r="F185" s="221" t="s">
        <v>173</v>
      </c>
      <c r="G185" s="232">
        <v>3129306</v>
      </c>
      <c r="H185" s="16" t="s">
        <v>174</v>
      </c>
      <c r="I185" s="209"/>
      <c r="J185" s="224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</row>
    <row r="186" spans="1:26" ht="15" customHeight="1">
      <c r="A186" s="230">
        <f t="shared" si="1"/>
        <v>183</v>
      </c>
      <c r="B186" s="231">
        <v>2372</v>
      </c>
      <c r="C186" s="221" t="s">
        <v>175</v>
      </c>
      <c r="D186" s="221" t="str">
        <f t="shared" si="0"/>
        <v>SVEUČILIŠTE U SPLITU - EKONOMSKI FAKULTET (2372)</v>
      </c>
      <c r="E186" s="221" t="s">
        <v>176</v>
      </c>
      <c r="F186" s="221" t="s">
        <v>173</v>
      </c>
      <c r="G186" s="232">
        <v>3119076</v>
      </c>
      <c r="H186" s="16" t="s">
        <v>177</v>
      </c>
      <c r="I186" s="209"/>
      <c r="J186" s="224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</row>
    <row r="187" spans="1:26" ht="15" customHeight="1">
      <c r="A187" s="230">
        <f t="shared" si="1"/>
        <v>184</v>
      </c>
      <c r="B187" s="231">
        <v>2330</v>
      </c>
      <c r="C187" s="221" t="s">
        <v>178</v>
      </c>
      <c r="D187" s="221" t="str">
        <f t="shared" si="0"/>
        <v>SVEUČILIŠTE U SPLITU - FAKULTET ELEKTROTEHNIKE, STROJARSTVA I BRODOGRADNJE (2330)</v>
      </c>
      <c r="E187" s="221" t="s">
        <v>179</v>
      </c>
      <c r="F187" s="221" t="s">
        <v>173</v>
      </c>
      <c r="G187" s="232">
        <v>3118339</v>
      </c>
      <c r="H187" s="16" t="s">
        <v>180</v>
      </c>
      <c r="I187" s="209"/>
      <c r="J187" s="224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</row>
    <row r="188" spans="1:26" ht="15" customHeight="1">
      <c r="A188" s="230">
        <f t="shared" si="1"/>
        <v>185</v>
      </c>
      <c r="B188" s="231">
        <v>2348</v>
      </c>
      <c r="C188" s="221" t="s">
        <v>181</v>
      </c>
      <c r="D188" s="221" t="str">
        <f t="shared" si="0"/>
        <v>SVEUČILIŠTE U SPLITU - FAKULTET GRAĐEVINARSTVA, ARHITEKTURE I GEODEZIJE (2348)</v>
      </c>
      <c r="E188" s="221" t="s">
        <v>182</v>
      </c>
      <c r="F188" s="221" t="s">
        <v>173</v>
      </c>
      <c r="G188" s="232">
        <v>3149463</v>
      </c>
      <c r="H188" s="16" t="s">
        <v>183</v>
      </c>
      <c r="I188" s="209"/>
      <c r="J188" s="224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</row>
    <row r="189" spans="1:26" ht="15" customHeight="1">
      <c r="A189" s="230">
        <f t="shared" si="1"/>
        <v>186</v>
      </c>
      <c r="B189" s="231">
        <v>22435</v>
      </c>
      <c r="C189" s="221" t="s">
        <v>184</v>
      </c>
      <c r="D189" s="221" t="str">
        <f t="shared" si="0"/>
        <v>SVEUČILIŠTE U SPLITU - FILOZOFSKI FAKULTET (22435)</v>
      </c>
      <c r="E189" s="221" t="s">
        <v>172</v>
      </c>
      <c r="F189" s="221" t="s">
        <v>173</v>
      </c>
      <c r="G189" s="232">
        <v>1413236</v>
      </c>
      <c r="H189" s="16" t="s">
        <v>185</v>
      </c>
      <c r="I189" s="209"/>
      <c r="J189" s="224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</row>
    <row r="190" spans="1:26" ht="15" customHeight="1">
      <c r="A190" s="230">
        <f t="shared" si="1"/>
        <v>187</v>
      </c>
      <c r="B190" s="231">
        <v>23368</v>
      </c>
      <c r="C190" s="221" t="s">
        <v>186</v>
      </c>
      <c r="D190" s="221" t="str">
        <f t="shared" si="0"/>
        <v>SVEUČILIŠTE U SPLITU - KATOLIČKI BOGOSLOVNI FAKULTET (23368)</v>
      </c>
      <c r="E190" s="221" t="s">
        <v>187</v>
      </c>
      <c r="F190" s="221" t="s">
        <v>173</v>
      </c>
      <c r="G190" s="15">
        <v>1465643</v>
      </c>
      <c r="H190" s="16">
        <v>36149548625</v>
      </c>
      <c r="I190" s="209"/>
      <c r="J190" s="224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</row>
    <row r="191" spans="1:26" ht="15" customHeight="1">
      <c r="A191" s="230">
        <f t="shared" si="1"/>
        <v>188</v>
      </c>
      <c r="B191" s="231">
        <v>2356</v>
      </c>
      <c r="C191" s="221" t="s">
        <v>188</v>
      </c>
      <c r="D191" s="221" t="str">
        <f t="shared" si="0"/>
        <v>SVEUČILIŠTE U SPLITU - KEMIJSKO-TEHNOLOŠKI FAKULTET (2356)</v>
      </c>
      <c r="E191" s="221" t="s">
        <v>189</v>
      </c>
      <c r="F191" s="221" t="s">
        <v>173</v>
      </c>
      <c r="G191" s="232">
        <v>3119068</v>
      </c>
      <c r="H191" s="16" t="s">
        <v>190</v>
      </c>
      <c r="I191" s="209"/>
      <c r="J191" s="224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</row>
    <row r="192" spans="1:26" ht="15" customHeight="1">
      <c r="A192" s="230">
        <f t="shared" si="1"/>
        <v>189</v>
      </c>
      <c r="B192" s="231">
        <v>43773</v>
      </c>
      <c r="C192" s="221" t="s">
        <v>191</v>
      </c>
      <c r="D192" s="221" t="str">
        <f t="shared" si="0"/>
        <v>SVEUČILIŠTE U SPLITU - KINEZIOLOŠKI FAKULTET (43773)</v>
      </c>
      <c r="E192" s="221" t="s">
        <v>192</v>
      </c>
      <c r="F192" s="221" t="s">
        <v>173</v>
      </c>
      <c r="G192" s="15">
        <v>2393255</v>
      </c>
      <c r="H192" s="16" t="s">
        <v>193</v>
      </c>
      <c r="I192" s="209"/>
      <c r="J192" s="224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</row>
    <row r="193" spans="1:26" ht="15" customHeight="1">
      <c r="A193" s="230">
        <f t="shared" si="1"/>
        <v>190</v>
      </c>
      <c r="B193" s="231">
        <v>22451</v>
      </c>
      <c r="C193" s="221" t="s">
        <v>194</v>
      </c>
      <c r="D193" s="221" t="str">
        <f t="shared" si="0"/>
        <v>SVEUČILIŠTE U SPLITU - MEDICINSKI FAKULTET (22451)</v>
      </c>
      <c r="E193" s="221" t="s">
        <v>195</v>
      </c>
      <c r="F193" s="221" t="s">
        <v>173</v>
      </c>
      <c r="G193" s="232">
        <v>1315366</v>
      </c>
      <c r="H193" s="16" t="s">
        <v>196</v>
      </c>
      <c r="I193" s="209"/>
      <c r="J193" s="224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</row>
    <row r="194" spans="1:26" ht="15" customHeight="1">
      <c r="A194" s="230">
        <f t="shared" si="1"/>
        <v>191</v>
      </c>
      <c r="B194" s="231">
        <v>22460</v>
      </c>
      <c r="C194" s="221" t="s">
        <v>197</v>
      </c>
      <c r="D194" s="221" t="str">
        <f t="shared" si="0"/>
        <v>SVEUČILIŠTE U SPLITU - POMORSKI FAKULTET (22460)</v>
      </c>
      <c r="E194" s="221" t="s">
        <v>198</v>
      </c>
      <c r="F194" s="221" t="s">
        <v>173</v>
      </c>
      <c r="G194" s="232">
        <v>1406043</v>
      </c>
      <c r="H194" s="16" t="s">
        <v>199</v>
      </c>
      <c r="I194" s="209"/>
      <c r="J194" s="224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</row>
    <row r="195" spans="1:26" ht="15" customHeight="1">
      <c r="A195" s="230">
        <f t="shared" si="1"/>
        <v>192</v>
      </c>
      <c r="B195" s="231">
        <v>2397</v>
      </c>
      <c r="C195" s="221" t="s">
        <v>200</v>
      </c>
      <c r="D195" s="221" t="str">
        <f t="shared" si="0"/>
        <v>SVEUČILIŠTE U SPLITU - PRAVNI FAKULTET (2397)</v>
      </c>
      <c r="E195" s="221" t="s">
        <v>201</v>
      </c>
      <c r="F195" s="221" t="s">
        <v>173</v>
      </c>
      <c r="G195" s="232">
        <v>3118347</v>
      </c>
      <c r="H195" s="16" t="s">
        <v>202</v>
      </c>
      <c r="I195" s="209"/>
      <c r="J195" s="224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</row>
    <row r="196" spans="1:26" ht="15" customHeight="1">
      <c r="A196" s="230">
        <f t="shared" si="1"/>
        <v>193</v>
      </c>
      <c r="B196" s="231">
        <v>2410</v>
      </c>
      <c r="C196" s="221" t="s">
        <v>203</v>
      </c>
      <c r="D196" s="221" t="str">
        <f t="shared" si="0"/>
        <v>SVEUČILIŠTE U SPLITU - PRIRODOSLOVNO - MATEMATIČKI FAKULTET (2410)</v>
      </c>
      <c r="E196" s="221" t="s">
        <v>204</v>
      </c>
      <c r="F196" s="221" t="s">
        <v>173</v>
      </c>
      <c r="G196" s="232">
        <v>3199622</v>
      </c>
      <c r="H196" s="16" t="s">
        <v>205</v>
      </c>
      <c r="I196" s="209"/>
      <c r="J196" s="224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</row>
    <row r="197" spans="1:26" ht="15" customHeight="1">
      <c r="A197" s="230">
        <f t="shared" si="1"/>
        <v>194</v>
      </c>
      <c r="B197" s="231">
        <v>2524</v>
      </c>
      <c r="C197" s="221" t="s">
        <v>206</v>
      </c>
      <c r="D197" s="221" t="str">
        <f t="shared" si="0"/>
        <v>SVEUČILIŠTE U SPLITU - SVEUČILIŠNA KNJIŽNICA (2524)</v>
      </c>
      <c r="E197" s="221" t="s">
        <v>207</v>
      </c>
      <c r="F197" s="221" t="s">
        <v>173</v>
      </c>
      <c r="G197" s="232">
        <v>3118436</v>
      </c>
      <c r="H197" s="16" t="s">
        <v>208</v>
      </c>
      <c r="I197" s="209"/>
      <c r="J197" s="224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</row>
    <row r="198" spans="1:26" ht="15" customHeight="1">
      <c r="A198" s="230">
        <f t="shared" si="1"/>
        <v>195</v>
      </c>
      <c r="B198" s="231">
        <v>22478</v>
      </c>
      <c r="C198" s="221" t="s">
        <v>209</v>
      </c>
      <c r="D198" s="221" t="str">
        <f t="shared" si="0"/>
        <v>SVEUČILIŠTE U SPLITU - UMJETNIČKA AKADEMIJA (22478)</v>
      </c>
      <c r="E198" s="221" t="s">
        <v>210</v>
      </c>
      <c r="F198" s="221" t="s">
        <v>173</v>
      </c>
      <c r="G198" s="232">
        <v>1321358</v>
      </c>
      <c r="H198" s="16" t="s">
        <v>211</v>
      </c>
      <c r="I198" s="209"/>
      <c r="J198" s="224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</row>
    <row r="199" spans="1:26" ht="15" customHeight="1">
      <c r="A199" s="230">
        <f t="shared" si="1"/>
        <v>196</v>
      </c>
      <c r="B199" s="231">
        <v>23815</v>
      </c>
      <c r="C199" s="221" t="s">
        <v>212</v>
      </c>
      <c r="D199" s="221" t="str">
        <f t="shared" si="0"/>
        <v>SVEUČILIŠTE U ZADRU (23815)</v>
      </c>
      <c r="E199" s="221" t="s">
        <v>213</v>
      </c>
      <c r="F199" s="221" t="s">
        <v>214</v>
      </c>
      <c r="G199" s="232">
        <v>1695525</v>
      </c>
      <c r="H199" s="16" t="s">
        <v>215</v>
      </c>
      <c r="I199" s="209"/>
      <c r="J199" s="224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</row>
    <row r="200" spans="1:26" ht="15" customHeight="1">
      <c r="A200" s="230">
        <f t="shared" si="1"/>
        <v>197</v>
      </c>
      <c r="B200" s="231">
        <v>2436</v>
      </c>
      <c r="C200" s="221" t="s">
        <v>28</v>
      </c>
      <c r="D200" s="221" t="str">
        <f t="shared" si="0"/>
        <v>SVEUČILIŠTE U ZAGREBU (2436)</v>
      </c>
      <c r="E200" s="221" t="s">
        <v>216</v>
      </c>
      <c r="F200" s="221" t="s">
        <v>23</v>
      </c>
      <c r="G200" s="232">
        <v>3211592</v>
      </c>
      <c r="H200" s="16" t="s">
        <v>217</v>
      </c>
      <c r="I200" s="209"/>
      <c r="J200" s="224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</row>
    <row r="201" spans="1:26" ht="15" customHeight="1">
      <c r="A201" s="230">
        <f t="shared" si="1"/>
        <v>198</v>
      </c>
      <c r="B201" s="231">
        <v>1923</v>
      </c>
      <c r="C201" s="221" t="s">
        <v>218</v>
      </c>
      <c r="D201" s="221" t="str">
        <f t="shared" si="0"/>
        <v>SVEUČILIŠTE U ZAGREBU - AGRONOMSKI FAKULTET (1923)</v>
      </c>
      <c r="E201" s="221" t="s">
        <v>219</v>
      </c>
      <c r="F201" s="221" t="s">
        <v>23</v>
      </c>
      <c r="G201" s="232">
        <v>3283097</v>
      </c>
      <c r="H201" s="16" t="s">
        <v>220</v>
      </c>
      <c r="I201" s="209"/>
      <c r="J201" s="224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</row>
    <row r="202" spans="1:26" ht="15" customHeight="1">
      <c r="A202" s="230">
        <f t="shared" si="1"/>
        <v>199</v>
      </c>
      <c r="B202" s="231">
        <v>1974</v>
      </c>
      <c r="C202" s="221" t="s">
        <v>222</v>
      </c>
      <c r="D202" s="221" t="str">
        <f t="shared" si="0"/>
        <v>SVEUČILIŠTE U ZAGREBU - AKADEMIJA DRAMSKE UMJETNOSTI (1974)</v>
      </c>
      <c r="E202" s="221" t="s">
        <v>223</v>
      </c>
      <c r="F202" s="221" t="s">
        <v>23</v>
      </c>
      <c r="G202" s="232">
        <v>3205029</v>
      </c>
      <c r="H202" s="16" t="s">
        <v>224</v>
      </c>
      <c r="I202" s="209"/>
      <c r="J202" s="224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</row>
    <row r="203" spans="1:26" ht="15" customHeight="1">
      <c r="A203" s="230">
        <f t="shared" si="1"/>
        <v>200</v>
      </c>
      <c r="B203" s="231">
        <v>1982</v>
      </c>
      <c r="C203" s="221" t="s">
        <v>225</v>
      </c>
      <c r="D203" s="221" t="str">
        <f t="shared" si="0"/>
        <v>SVEUČILIŠTE U ZAGREBU - AKADEMIJA LIKOVNIH UMJETNOSTI (1982)</v>
      </c>
      <c r="E203" s="221" t="s">
        <v>226</v>
      </c>
      <c r="F203" s="221" t="s">
        <v>23</v>
      </c>
      <c r="G203" s="232">
        <v>3207919</v>
      </c>
      <c r="H203" s="16" t="s">
        <v>227</v>
      </c>
      <c r="I203" s="209"/>
      <c r="J203" s="224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</row>
    <row r="204" spans="1:26" ht="15" customHeight="1">
      <c r="A204" s="230">
        <f t="shared" si="1"/>
        <v>201</v>
      </c>
      <c r="B204" s="231">
        <v>1861</v>
      </c>
      <c r="C204" s="221" t="s">
        <v>228</v>
      </c>
      <c r="D204" s="221" t="str">
        <f t="shared" si="0"/>
        <v>SVEUČILIŠTE U ZAGREBU - ARHITEKTONSKI FAKULTET  (1861)</v>
      </c>
      <c r="E204" s="221" t="s">
        <v>229</v>
      </c>
      <c r="F204" s="221" t="s">
        <v>23</v>
      </c>
      <c r="G204" s="232">
        <v>3204952</v>
      </c>
      <c r="H204" s="16" t="s">
        <v>230</v>
      </c>
      <c r="I204" s="209"/>
      <c r="J204" s="224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</row>
    <row r="205" spans="1:26" ht="15" customHeight="1">
      <c r="A205" s="230">
        <f t="shared" si="1"/>
        <v>202</v>
      </c>
      <c r="B205" s="231">
        <v>1966</v>
      </c>
      <c r="C205" s="221" t="s">
        <v>231</v>
      </c>
      <c r="D205" s="221" t="str">
        <f t="shared" si="0"/>
        <v>SVEUČILIŠTE U ZAGREBU - EDUKACIJSKO-REHABILITACIJSKI FAKULTET  (1966)</v>
      </c>
      <c r="E205" s="221" t="s">
        <v>232</v>
      </c>
      <c r="F205" s="221" t="s">
        <v>23</v>
      </c>
      <c r="G205" s="232">
        <v>3219780</v>
      </c>
      <c r="H205" s="16" t="s">
        <v>233</v>
      </c>
      <c r="I205" s="209"/>
      <c r="J205" s="224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</row>
    <row r="206" spans="1:26" ht="15" customHeight="1">
      <c r="A206" s="230">
        <f t="shared" si="1"/>
        <v>203</v>
      </c>
      <c r="B206" s="231">
        <v>1931</v>
      </c>
      <c r="C206" s="221" t="s">
        <v>234</v>
      </c>
      <c r="D206" s="221" t="str">
        <f t="shared" si="0"/>
        <v>SVEUČILIŠTE U ZAGREBU - EKONOMSKI FAKULTET (1931)</v>
      </c>
      <c r="E206" s="221" t="s">
        <v>4292</v>
      </c>
      <c r="F206" s="221" t="s">
        <v>23</v>
      </c>
      <c r="G206" s="232">
        <v>3272079</v>
      </c>
      <c r="H206" s="16" t="s">
        <v>236</v>
      </c>
      <c r="I206" s="209"/>
      <c r="J206" s="224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</row>
    <row r="207" spans="1:26" ht="15" customHeight="1">
      <c r="A207" s="230">
        <f t="shared" si="1"/>
        <v>204</v>
      </c>
      <c r="B207" s="231">
        <v>1757</v>
      </c>
      <c r="C207" s="221" t="s">
        <v>237</v>
      </c>
      <c r="D207" s="221" t="str">
        <f t="shared" si="0"/>
        <v>SVEUČILIŠTE U ZAGREBU - FAKULTET ELEKTROTEHNIKE I RAČUNARSTVA (1757)</v>
      </c>
      <c r="E207" s="221" t="s">
        <v>238</v>
      </c>
      <c r="F207" s="221" t="s">
        <v>23</v>
      </c>
      <c r="G207" s="232">
        <v>3276643</v>
      </c>
      <c r="H207" s="16" t="s">
        <v>239</v>
      </c>
      <c r="I207" s="209"/>
      <c r="J207" s="224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</row>
    <row r="208" spans="1:26" ht="15" customHeight="1">
      <c r="A208" s="230">
        <f t="shared" si="1"/>
        <v>205</v>
      </c>
      <c r="B208" s="231">
        <v>6154</v>
      </c>
      <c r="C208" s="221" t="s">
        <v>240</v>
      </c>
      <c r="D208" s="221" t="str">
        <f t="shared" si="0"/>
        <v>SVEUČILIŠTE U ZAGREBU - FAKULTET FILOZOFIJE I RELIGIJSKIH ZNANOSTI (6154)</v>
      </c>
      <c r="E208" s="221" t="s">
        <v>241</v>
      </c>
      <c r="F208" s="221" t="s">
        <v>23</v>
      </c>
      <c r="G208" s="232">
        <v>1235664</v>
      </c>
      <c r="H208" s="16" t="s">
        <v>242</v>
      </c>
      <c r="I208" s="209"/>
      <c r="J208" s="224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</row>
    <row r="209" spans="1:26" ht="15" customHeight="1">
      <c r="A209" s="230">
        <f t="shared" si="1"/>
        <v>206</v>
      </c>
      <c r="B209" s="231">
        <v>51191</v>
      </c>
      <c r="C209" s="221" t="s">
        <v>243</v>
      </c>
      <c r="D209" s="221" t="str">
        <f t="shared" si="0"/>
        <v>SVEUČILIŠTE U ZAGREBU - FAKULTET HRVATSKIH STUDIJA (51191)</v>
      </c>
      <c r="E209" s="221" t="s">
        <v>244</v>
      </c>
      <c r="F209" s="221" t="s">
        <v>23</v>
      </c>
      <c r="G209" s="232">
        <v>5214068</v>
      </c>
      <c r="H209" s="16" t="s">
        <v>245</v>
      </c>
      <c r="I209" s="209"/>
      <c r="J209" s="224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</row>
    <row r="210" spans="1:26" ht="15" customHeight="1">
      <c r="A210" s="230">
        <f t="shared" si="1"/>
        <v>207</v>
      </c>
      <c r="B210" s="231">
        <v>1790</v>
      </c>
      <c r="C210" s="221" t="s">
        <v>246</v>
      </c>
      <c r="D210" s="221" t="str">
        <f t="shared" si="0"/>
        <v>SVEUČILIŠTE U ZAGREBU - FAKULTET KEMIJSKOG INŽENJERSTVA I TEHNOLOGIJE (1790)</v>
      </c>
      <c r="E210" s="221" t="s">
        <v>247</v>
      </c>
      <c r="F210" s="221" t="s">
        <v>23</v>
      </c>
      <c r="G210" s="232">
        <v>3250270</v>
      </c>
      <c r="H210" s="16" t="s">
        <v>248</v>
      </c>
      <c r="I210" s="209"/>
      <c r="J210" s="224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</row>
    <row r="211" spans="1:26" ht="15" customHeight="1">
      <c r="A211" s="230">
        <f t="shared" si="1"/>
        <v>208</v>
      </c>
      <c r="B211" s="231">
        <v>1907</v>
      </c>
      <c r="C211" s="221" t="s">
        <v>249</v>
      </c>
      <c r="D211" s="221" t="str">
        <f t="shared" si="0"/>
        <v>SVEUČILIŠTE U ZAGREBU - FAKULTET POLITIČKIH ZNANOSTI (1907)</v>
      </c>
      <c r="E211" s="221" t="s">
        <v>250</v>
      </c>
      <c r="F211" s="221" t="s">
        <v>23</v>
      </c>
      <c r="G211" s="232">
        <v>3270262</v>
      </c>
      <c r="H211" s="16" t="s">
        <v>251</v>
      </c>
      <c r="I211" s="209"/>
      <c r="J211" s="224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</row>
    <row r="212" spans="1:26" ht="15" customHeight="1">
      <c r="A212" s="230">
        <f t="shared" si="1"/>
        <v>209</v>
      </c>
      <c r="B212" s="231">
        <v>1812</v>
      </c>
      <c r="C212" s="221" t="s">
        <v>252</v>
      </c>
      <c r="D212" s="221" t="str">
        <f t="shared" si="0"/>
        <v>SVEUČILIŠTE U ZAGREBU - FAKULTET PROMETNIH ZNANOSTI (1812)</v>
      </c>
      <c r="E212" s="221" t="s">
        <v>253</v>
      </c>
      <c r="F212" s="221" t="s">
        <v>23</v>
      </c>
      <c r="G212" s="232">
        <v>3260771</v>
      </c>
      <c r="H212" s="16" t="s">
        <v>254</v>
      </c>
      <c r="I212" s="209"/>
      <c r="J212" s="224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</row>
    <row r="213" spans="1:26" ht="15" customHeight="1">
      <c r="A213" s="230">
        <f t="shared" si="1"/>
        <v>210</v>
      </c>
      <c r="B213" s="231">
        <v>1829</v>
      </c>
      <c r="C213" s="221" t="s">
        <v>255</v>
      </c>
      <c r="D213" s="221" t="str">
        <f t="shared" si="0"/>
        <v>SVEUČILIŠTE U ZAGREBU - FAKULTET STROJARSTVA I BRODOGRADNJE (1829)</v>
      </c>
      <c r="E213" s="221" t="s">
        <v>256</v>
      </c>
      <c r="F213" s="221" t="s">
        <v>23</v>
      </c>
      <c r="G213" s="232">
        <v>3276546</v>
      </c>
      <c r="H213" s="16" t="s">
        <v>257</v>
      </c>
      <c r="I213" s="209"/>
      <c r="J213" s="224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</row>
    <row r="214" spans="1:26" ht="15" customHeight="1">
      <c r="A214" s="230">
        <f t="shared" si="1"/>
        <v>211</v>
      </c>
      <c r="B214" s="231">
        <v>2014</v>
      </c>
      <c r="C214" s="221" t="s">
        <v>258</v>
      </c>
      <c r="D214" s="221" t="str">
        <f t="shared" si="0"/>
        <v>SVEUČILIŠTE U ZAGREBU - FARMACEUTSKO-BIOKEMIJSKI FAKULTET  (2014)</v>
      </c>
      <c r="E214" s="221" t="s">
        <v>259</v>
      </c>
      <c r="F214" s="221" t="s">
        <v>23</v>
      </c>
      <c r="G214" s="232">
        <v>3205037</v>
      </c>
      <c r="H214" s="16" t="s">
        <v>260</v>
      </c>
      <c r="I214" s="209"/>
      <c r="J214" s="224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</row>
    <row r="215" spans="1:26" ht="15" customHeight="1">
      <c r="A215" s="230">
        <f t="shared" si="1"/>
        <v>212</v>
      </c>
      <c r="B215" s="231">
        <v>1958</v>
      </c>
      <c r="C215" s="221" t="s">
        <v>261</v>
      </c>
      <c r="D215" s="221" t="str">
        <f t="shared" si="0"/>
        <v>SVEUČILIŠTE U ZAGREBU - FILOZOFSKI FAKULTET (1958)</v>
      </c>
      <c r="E215" s="221" t="s">
        <v>262</v>
      </c>
      <c r="F215" s="221" t="s">
        <v>23</v>
      </c>
      <c r="G215" s="232">
        <v>3254852</v>
      </c>
      <c r="H215" s="16" t="s">
        <v>263</v>
      </c>
      <c r="I215" s="209"/>
      <c r="J215" s="224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</row>
    <row r="216" spans="1:26" ht="15" customHeight="1">
      <c r="A216" s="230">
        <f t="shared" si="1"/>
        <v>213</v>
      </c>
      <c r="B216" s="231">
        <v>1853</v>
      </c>
      <c r="C216" s="221" t="s">
        <v>264</v>
      </c>
      <c r="D216" s="221" t="str">
        <f t="shared" si="0"/>
        <v>SVEUČILIŠTE U ZAGREBU - GEODETSKI FAKULTET (1853)</v>
      </c>
      <c r="E216" s="221" t="s">
        <v>4293</v>
      </c>
      <c r="F216" s="221" t="s">
        <v>23</v>
      </c>
      <c r="G216" s="232">
        <v>3204987</v>
      </c>
      <c r="H216" s="16" t="s">
        <v>266</v>
      </c>
      <c r="I216" s="209"/>
      <c r="J216" s="224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</row>
    <row r="217" spans="1:26" ht="15" customHeight="1">
      <c r="A217" s="230">
        <f t="shared" si="1"/>
        <v>214</v>
      </c>
      <c r="B217" s="231">
        <v>2102</v>
      </c>
      <c r="C217" s="221" t="s">
        <v>267</v>
      </c>
      <c r="D217" s="221" t="str">
        <f t="shared" si="0"/>
        <v>SVEUČILIŠTE U ZAGREBU - GEOTEHNIČKI FAKULTET (2102)</v>
      </c>
      <c r="E217" s="221" t="s">
        <v>268</v>
      </c>
      <c r="F217" s="221" t="s">
        <v>30</v>
      </c>
      <c r="G217" s="232">
        <v>3042316</v>
      </c>
      <c r="H217" s="16" t="s">
        <v>269</v>
      </c>
      <c r="I217" s="209"/>
      <c r="J217" s="224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</row>
    <row r="218" spans="1:26" ht="15" customHeight="1">
      <c r="A218" s="230">
        <f t="shared" si="1"/>
        <v>215</v>
      </c>
      <c r="B218" s="231">
        <v>1837</v>
      </c>
      <c r="C218" s="221" t="s">
        <v>270</v>
      </c>
      <c r="D218" s="221" t="str">
        <f t="shared" si="0"/>
        <v>SVEUČILIŠTE U ZAGREBU - GRAĐEVINSKI FAKULTET (1837)</v>
      </c>
      <c r="E218" s="221" t="s">
        <v>271</v>
      </c>
      <c r="F218" s="221" t="s">
        <v>23</v>
      </c>
      <c r="G218" s="232">
        <v>3227120</v>
      </c>
      <c r="H218" s="16" t="s">
        <v>272</v>
      </c>
      <c r="I218" s="209"/>
      <c r="J218" s="224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</row>
    <row r="219" spans="1:26" ht="15" customHeight="1">
      <c r="A219" s="230">
        <f t="shared" si="1"/>
        <v>216</v>
      </c>
      <c r="B219" s="231">
        <v>2080</v>
      </c>
      <c r="C219" s="221" t="s">
        <v>273</v>
      </c>
      <c r="D219" s="221" t="str">
        <f t="shared" si="0"/>
        <v>SVEUČILIŠTE U ZAGREBU - GRAFIČKI FAKULTET (2080)</v>
      </c>
      <c r="E219" s="221" t="s">
        <v>274</v>
      </c>
      <c r="F219" s="221" t="s">
        <v>23</v>
      </c>
      <c r="G219" s="232">
        <v>3219763</v>
      </c>
      <c r="H219" s="16" t="s">
        <v>275</v>
      </c>
      <c r="I219" s="209"/>
      <c r="J219" s="224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</row>
    <row r="220" spans="1:26" ht="15" customHeight="1">
      <c r="A220" s="230">
        <f t="shared" si="1"/>
        <v>217</v>
      </c>
      <c r="B220" s="231">
        <v>2135</v>
      </c>
      <c r="C220" s="221" t="s">
        <v>276</v>
      </c>
      <c r="D220" s="221" t="str">
        <f t="shared" si="0"/>
        <v>SVEUČILIŠTE U ZAGREBU - KATOLIČKI BOGOSLOVNI FAKULTET  (2135)</v>
      </c>
      <c r="E220" s="221" t="s">
        <v>277</v>
      </c>
      <c r="F220" s="221" t="s">
        <v>23</v>
      </c>
      <c r="G220" s="232">
        <v>3703088</v>
      </c>
      <c r="H220" s="16">
        <v>48987767944</v>
      </c>
      <c r="I220" s="209"/>
      <c r="J220" s="224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</row>
    <row r="221" spans="1:26" ht="15" customHeight="1">
      <c r="A221" s="230">
        <f t="shared" si="1"/>
        <v>218</v>
      </c>
      <c r="B221" s="231">
        <v>2006</v>
      </c>
      <c r="C221" s="221" t="s">
        <v>278</v>
      </c>
      <c r="D221" s="221" t="str">
        <f t="shared" si="0"/>
        <v>SVEUČILIŠTE U ZAGREBU - KINEZIOLOŠKI FAKULTET (2006)</v>
      </c>
      <c r="E221" s="221" t="s">
        <v>279</v>
      </c>
      <c r="F221" s="221" t="s">
        <v>23</v>
      </c>
      <c r="G221" s="232">
        <v>3274080</v>
      </c>
      <c r="H221" s="16" t="s">
        <v>280</v>
      </c>
      <c r="I221" s="209"/>
      <c r="J221" s="224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</row>
    <row r="222" spans="1:26" ht="15" customHeight="1">
      <c r="A222" s="230">
        <f t="shared" si="1"/>
        <v>219</v>
      </c>
      <c r="B222" s="231">
        <v>1888</v>
      </c>
      <c r="C222" s="221" t="s">
        <v>281</v>
      </c>
      <c r="D222" s="221" t="str">
        <f t="shared" si="0"/>
        <v>SVEUČILIŠTE U ZAGREBU - MEDICINSKI FAKULTET (1888)</v>
      </c>
      <c r="E222" s="221" t="s">
        <v>282</v>
      </c>
      <c r="F222" s="221" t="s">
        <v>23</v>
      </c>
      <c r="G222" s="232">
        <v>3270211</v>
      </c>
      <c r="H222" s="16" t="s">
        <v>283</v>
      </c>
      <c r="I222" s="209"/>
      <c r="J222" s="224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</row>
    <row r="223" spans="1:26" ht="15" customHeight="1">
      <c r="A223" s="230">
        <f t="shared" si="1"/>
        <v>220</v>
      </c>
      <c r="B223" s="231">
        <v>2071</v>
      </c>
      <c r="C223" s="221" t="s">
        <v>284</v>
      </c>
      <c r="D223" s="221" t="str">
        <f t="shared" si="0"/>
        <v>SVEUČILIŠTE U ZAGREBU - METALURŠKI FAKULTET SISAK (2071)</v>
      </c>
      <c r="E223" s="221" t="s">
        <v>285</v>
      </c>
      <c r="F223" s="221" t="s">
        <v>286</v>
      </c>
      <c r="G223" s="232">
        <v>3313786</v>
      </c>
      <c r="H223" s="16" t="s">
        <v>287</v>
      </c>
      <c r="I223" s="209"/>
      <c r="J223" s="224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</row>
    <row r="224" spans="1:26" ht="15" customHeight="1">
      <c r="A224" s="230">
        <f t="shared" si="1"/>
        <v>221</v>
      </c>
      <c r="B224" s="231">
        <v>1999</v>
      </c>
      <c r="C224" s="221" t="s">
        <v>288</v>
      </c>
      <c r="D224" s="221" t="str">
        <f t="shared" si="0"/>
        <v>SVEUČILIŠTE U ZAGREBU - MUZIČKA AKADEMIJA (1999)</v>
      </c>
      <c r="E224" s="221" t="s">
        <v>289</v>
      </c>
      <c r="F224" s="221" t="s">
        <v>23</v>
      </c>
      <c r="G224" s="232">
        <v>3205002</v>
      </c>
      <c r="H224" s="16" t="s">
        <v>290</v>
      </c>
      <c r="I224" s="209"/>
      <c r="J224" s="224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</row>
    <row r="225" spans="1:26" ht="15" customHeight="1">
      <c r="A225" s="230">
        <f t="shared" si="1"/>
        <v>222</v>
      </c>
      <c r="B225" s="231">
        <v>1915</v>
      </c>
      <c r="C225" s="221" t="s">
        <v>291</v>
      </c>
      <c r="D225" s="221" t="str">
        <f t="shared" si="0"/>
        <v>SVEUČILIŠTE U ZAGREBU - PRAVNI FAKULTET (1915)</v>
      </c>
      <c r="E225" s="221" t="s">
        <v>216</v>
      </c>
      <c r="F225" s="221" t="s">
        <v>23</v>
      </c>
      <c r="G225" s="232">
        <v>3225909</v>
      </c>
      <c r="H225" s="16" t="s">
        <v>292</v>
      </c>
      <c r="I225" s="209"/>
      <c r="J225" s="224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</row>
    <row r="226" spans="1:26" ht="15" customHeight="1">
      <c r="A226" s="230">
        <f t="shared" si="1"/>
        <v>223</v>
      </c>
      <c r="B226" s="231">
        <v>1845</v>
      </c>
      <c r="C226" s="221" t="s">
        <v>293</v>
      </c>
      <c r="D226" s="221" t="str">
        <f t="shared" si="0"/>
        <v>SVEUČILIŠTE U ZAGREBU - PREHRAMBENO BIOTEHNOLOŠKI FAKULTET (1845)</v>
      </c>
      <c r="E226" s="221" t="s">
        <v>294</v>
      </c>
      <c r="F226" s="221" t="s">
        <v>23</v>
      </c>
      <c r="G226" s="232">
        <v>3207102</v>
      </c>
      <c r="H226" s="16" t="s">
        <v>295</v>
      </c>
      <c r="I226" s="209"/>
      <c r="J226" s="224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</row>
    <row r="227" spans="1:26" ht="15" customHeight="1">
      <c r="A227" s="230">
        <f t="shared" si="1"/>
        <v>224</v>
      </c>
      <c r="B227" s="231">
        <v>1781</v>
      </c>
      <c r="C227" s="221" t="s">
        <v>296</v>
      </c>
      <c r="D227" s="221" t="str">
        <f t="shared" si="0"/>
        <v>SVEUČILIŠTE U ZAGREBU - PRIRODOSLOVNO-MATEMATIČKI FAKULTET (1781)</v>
      </c>
      <c r="E227" s="221" t="s">
        <v>297</v>
      </c>
      <c r="F227" s="221" t="s">
        <v>23</v>
      </c>
      <c r="G227" s="232">
        <v>3270149</v>
      </c>
      <c r="H227" s="16" t="s">
        <v>298</v>
      </c>
      <c r="I227" s="209"/>
      <c r="J227" s="224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</row>
    <row r="228" spans="1:26" ht="15" customHeight="1">
      <c r="A228" s="230">
        <f t="shared" si="1"/>
        <v>225</v>
      </c>
      <c r="B228" s="231">
        <v>2047</v>
      </c>
      <c r="C228" s="221" t="s">
        <v>299</v>
      </c>
      <c r="D228" s="221" t="str">
        <f t="shared" si="0"/>
        <v>SVEUČILIŠTE U ZAGREBU - RUDARSKO-GEOLOŠKO-NAFTNI FAKULTET (2047)</v>
      </c>
      <c r="E228" s="221" t="s">
        <v>294</v>
      </c>
      <c r="F228" s="221" t="s">
        <v>23</v>
      </c>
      <c r="G228" s="232">
        <v>3207005</v>
      </c>
      <c r="H228" s="16" t="s">
        <v>300</v>
      </c>
      <c r="I228" s="209"/>
      <c r="J228" s="224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</row>
    <row r="229" spans="1:26" ht="15" customHeight="1">
      <c r="A229" s="230">
        <f t="shared" si="1"/>
        <v>226</v>
      </c>
      <c r="B229" s="231">
        <v>1870</v>
      </c>
      <c r="C229" s="221" t="s">
        <v>301</v>
      </c>
      <c r="D229" s="221" t="str">
        <f t="shared" si="0"/>
        <v>SVEUČILIŠTE U ZAGREBU - STOMATOLOŠKI FAKULTET (1870)</v>
      </c>
      <c r="E229" s="221" t="s">
        <v>302</v>
      </c>
      <c r="F229" s="221" t="s">
        <v>23</v>
      </c>
      <c r="G229" s="232">
        <v>3204995</v>
      </c>
      <c r="H229" s="16" t="s">
        <v>303</v>
      </c>
      <c r="I229" s="209"/>
      <c r="J229" s="224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</row>
    <row r="230" spans="1:26" ht="15" customHeight="1">
      <c r="A230" s="230">
        <f t="shared" si="1"/>
        <v>227</v>
      </c>
      <c r="B230" s="231">
        <v>1896</v>
      </c>
      <c r="C230" s="221" t="s">
        <v>304</v>
      </c>
      <c r="D230" s="221" t="str">
        <f t="shared" si="0"/>
        <v>SVEUČILIŠTE U ZAGREBU - FAKULTET ŠUMARSTVA I DRVNE TEHNOLOGIJE (1896)</v>
      </c>
      <c r="E230" s="221" t="s">
        <v>219</v>
      </c>
      <c r="F230" s="221" t="s">
        <v>23</v>
      </c>
      <c r="G230" s="232">
        <v>3281485</v>
      </c>
      <c r="H230" s="16" t="s">
        <v>305</v>
      </c>
      <c r="I230" s="209"/>
      <c r="J230" s="224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</row>
    <row r="231" spans="1:26" ht="15" customHeight="1">
      <c r="A231" s="230">
        <f t="shared" si="1"/>
        <v>228</v>
      </c>
      <c r="B231" s="231">
        <v>1804</v>
      </c>
      <c r="C231" s="221" t="s">
        <v>306</v>
      </c>
      <c r="D231" s="221" t="str">
        <f t="shared" si="0"/>
        <v>SVEUČILIŠTE U ZAGREBU - TEKSTILNO TEHNOLOŠKI FAKULTET (1804)</v>
      </c>
      <c r="E231" s="221" t="s">
        <v>307</v>
      </c>
      <c r="F231" s="221" t="s">
        <v>23</v>
      </c>
      <c r="G231" s="232">
        <v>3207064</v>
      </c>
      <c r="H231" s="16" t="s">
        <v>308</v>
      </c>
      <c r="I231" s="209"/>
      <c r="J231" s="224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</row>
    <row r="232" spans="1:26" ht="15" customHeight="1">
      <c r="A232" s="230">
        <f t="shared" si="1"/>
        <v>229</v>
      </c>
      <c r="B232" s="231">
        <v>1940</v>
      </c>
      <c r="C232" s="221" t="s">
        <v>309</v>
      </c>
      <c r="D232" s="221" t="str">
        <f t="shared" si="0"/>
        <v>SVEUČILIŠTE U ZAGREBU - UČITELJSKI FAKULTET (1940)</v>
      </c>
      <c r="E232" s="221" t="s">
        <v>310</v>
      </c>
      <c r="F232" s="221" t="s">
        <v>23</v>
      </c>
      <c r="G232" s="232">
        <v>1422545</v>
      </c>
      <c r="H232" s="16" t="s">
        <v>311</v>
      </c>
      <c r="I232" s="209"/>
      <c r="J232" s="224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</row>
    <row r="233" spans="1:26" ht="15" customHeight="1">
      <c r="A233" s="230">
        <f t="shared" si="1"/>
        <v>230</v>
      </c>
      <c r="B233" s="231">
        <v>2022</v>
      </c>
      <c r="C233" s="221" t="s">
        <v>312</v>
      </c>
      <c r="D233" s="221" t="str">
        <f t="shared" si="0"/>
        <v>SVEUČILIŠTE U ZAGREBU - VETERINARSKI FAKULTET (2022)</v>
      </c>
      <c r="E233" s="221" t="s">
        <v>313</v>
      </c>
      <c r="F233" s="221" t="s">
        <v>23</v>
      </c>
      <c r="G233" s="232">
        <v>3225755</v>
      </c>
      <c r="H233" s="16" t="s">
        <v>314</v>
      </c>
      <c r="I233" s="209"/>
      <c r="J233" s="224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</row>
    <row r="234" spans="1:26" ht="15" customHeight="1">
      <c r="A234" s="230">
        <f t="shared" si="1"/>
        <v>231</v>
      </c>
      <c r="B234" s="231">
        <v>22427</v>
      </c>
      <c r="C234" s="221" t="s">
        <v>315</v>
      </c>
      <c r="D234" s="221" t="str">
        <f t="shared" si="0"/>
        <v>TEHNIČKO VELEUČILIŠTE U ZAGREBU (22427)</v>
      </c>
      <c r="E234" s="221" t="s">
        <v>316</v>
      </c>
      <c r="F234" s="221" t="s">
        <v>23</v>
      </c>
      <c r="G234" s="232">
        <v>1398270</v>
      </c>
      <c r="H234" s="16" t="s">
        <v>317</v>
      </c>
      <c r="I234" s="209"/>
      <c r="J234" s="224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</row>
    <row r="235" spans="1:26" ht="15.75" customHeight="1">
      <c r="A235" s="230">
        <f t="shared" si="1"/>
        <v>232</v>
      </c>
      <c r="B235" s="231">
        <v>50848</v>
      </c>
      <c r="C235" s="221" t="s">
        <v>318</v>
      </c>
      <c r="D235" s="221" t="str">
        <f t="shared" si="0"/>
        <v>VELEUČILIŠTE HRVATSKO ZAGORJE KRAPINA (50848)</v>
      </c>
      <c r="E235" s="221" t="s">
        <v>319</v>
      </c>
      <c r="F235" s="221" t="s">
        <v>320</v>
      </c>
      <c r="G235" s="232">
        <v>2271354</v>
      </c>
      <c r="H235" s="16" t="s">
        <v>321</v>
      </c>
      <c r="I235" s="209"/>
      <c r="J235" s="224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</row>
    <row r="236" spans="1:26" ht="15" customHeight="1">
      <c r="A236" s="230">
        <f t="shared" si="1"/>
        <v>233</v>
      </c>
      <c r="B236" s="231">
        <v>38446</v>
      </c>
      <c r="C236" s="221" t="s">
        <v>322</v>
      </c>
      <c r="D236" s="221" t="str">
        <f t="shared" si="0"/>
        <v>VELEUČILIŠTE LAVOSLAV RUŽIČKA U VUKOVARU (38446)</v>
      </c>
      <c r="E236" s="12" t="s">
        <v>323</v>
      </c>
      <c r="F236" s="12" t="s">
        <v>324</v>
      </c>
      <c r="G236" s="232">
        <v>1970828</v>
      </c>
      <c r="H236" s="16" t="s">
        <v>325</v>
      </c>
      <c r="I236" s="209"/>
      <c r="J236" s="224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</row>
    <row r="237" spans="1:26" ht="15" customHeight="1">
      <c r="A237" s="230">
        <f t="shared" si="1"/>
        <v>234</v>
      </c>
      <c r="B237" s="231">
        <v>38438</v>
      </c>
      <c r="C237" s="221" t="s">
        <v>326</v>
      </c>
      <c r="D237" s="221" t="str">
        <f t="shared" si="0"/>
        <v>VELEUČILIŠTE MARKO MARULIĆ U KNINU (38438)</v>
      </c>
      <c r="E237" s="237" t="s">
        <v>4294</v>
      </c>
      <c r="F237" s="237" t="s">
        <v>328</v>
      </c>
      <c r="G237" s="15">
        <v>1963813</v>
      </c>
      <c r="H237" s="16" t="s">
        <v>329</v>
      </c>
      <c r="I237" s="209"/>
      <c r="J237" s="224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</row>
    <row r="238" spans="1:26" ht="15" customHeight="1">
      <c r="A238" s="230">
        <f t="shared" si="1"/>
        <v>235</v>
      </c>
      <c r="B238" s="231">
        <v>41185</v>
      </c>
      <c r="C238" s="221" t="s">
        <v>330</v>
      </c>
      <c r="D238" s="221" t="str">
        <f t="shared" si="0"/>
        <v>VELEUČILIŠTE NIKOLA TESLA U GOSPIĆU (41185)</v>
      </c>
      <c r="E238" s="221" t="s">
        <v>331</v>
      </c>
      <c r="F238" s="221" t="s">
        <v>332</v>
      </c>
      <c r="G238" s="232">
        <v>2103133</v>
      </c>
      <c r="H238" s="16" t="s">
        <v>333</v>
      </c>
      <c r="I238" s="209"/>
      <c r="J238" s="224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</row>
    <row r="239" spans="1:26" ht="15" customHeight="1">
      <c r="A239" s="230">
        <f t="shared" si="1"/>
        <v>236</v>
      </c>
      <c r="B239" s="231">
        <v>21053</v>
      </c>
      <c r="C239" s="221" t="s">
        <v>334</v>
      </c>
      <c r="D239" s="221" t="str">
        <f t="shared" si="0"/>
        <v>VELEUČILIŠTE U KARLOVCU (21053)</v>
      </c>
      <c r="E239" s="221" t="s">
        <v>335</v>
      </c>
      <c r="F239" s="221" t="s">
        <v>336</v>
      </c>
      <c r="G239" s="232">
        <v>1286030</v>
      </c>
      <c r="H239" s="16" t="s">
        <v>337</v>
      </c>
      <c r="I239" s="209"/>
      <c r="J239" s="224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</row>
    <row r="240" spans="1:26" ht="15" customHeight="1">
      <c r="A240" s="230">
        <f t="shared" si="1"/>
        <v>237</v>
      </c>
      <c r="B240" s="231">
        <v>22398</v>
      </c>
      <c r="C240" s="221" t="s">
        <v>4295</v>
      </c>
      <c r="D240" s="221" t="str">
        <f t="shared" si="0"/>
        <v>VELEUČILIŠTE U POŽEGI (22398)</v>
      </c>
      <c r="E240" s="221" t="s">
        <v>103</v>
      </c>
      <c r="F240" s="221" t="s">
        <v>4296</v>
      </c>
      <c r="G240" s="232">
        <v>1395521</v>
      </c>
      <c r="H240" s="16" t="s">
        <v>4297</v>
      </c>
      <c r="I240" s="209"/>
      <c r="J240" s="224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</row>
    <row r="241" spans="1:26" ht="15" customHeight="1">
      <c r="A241" s="230">
        <f t="shared" si="1"/>
        <v>238</v>
      </c>
      <c r="B241" s="231">
        <v>22494</v>
      </c>
      <c r="C241" s="221" t="s">
        <v>338</v>
      </c>
      <c r="D241" s="221" t="str">
        <f t="shared" si="0"/>
        <v>VELEUČILIŠTE U RIJECI (22494)</v>
      </c>
      <c r="E241" s="221" t="s">
        <v>339</v>
      </c>
      <c r="F241" s="221" t="s">
        <v>124</v>
      </c>
      <c r="G241" s="232">
        <v>1387332</v>
      </c>
      <c r="H241" s="16" t="s">
        <v>340</v>
      </c>
      <c r="I241" s="209"/>
      <c r="J241" s="224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</row>
    <row r="242" spans="1:26" ht="15" customHeight="1">
      <c r="A242" s="230">
        <f t="shared" si="1"/>
        <v>239</v>
      </c>
      <c r="B242" s="231">
        <v>22824</v>
      </c>
      <c r="C242" s="221" t="s">
        <v>341</v>
      </c>
      <c r="D242" s="221" t="str">
        <f t="shared" si="0"/>
        <v>VELEUČILIŠTE U ŠIBENIKU (22824)</v>
      </c>
      <c r="E242" s="221" t="s">
        <v>4298</v>
      </c>
      <c r="F242" s="221" t="s">
        <v>343</v>
      </c>
      <c r="G242" s="232">
        <v>2100673</v>
      </c>
      <c r="H242" s="16" t="s">
        <v>344</v>
      </c>
      <c r="I242" s="209"/>
      <c r="J242" s="224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</row>
    <row r="243" spans="1:26" ht="15" customHeight="1">
      <c r="A243" s="230">
        <f t="shared" si="1"/>
        <v>240</v>
      </c>
      <c r="B243" s="231">
        <v>42993</v>
      </c>
      <c r="C243" s="221" t="s">
        <v>345</v>
      </c>
      <c r="D243" s="221" t="str">
        <f t="shared" si="0"/>
        <v>VELEUČILIŠTE U VIROVITICI (42993)</v>
      </c>
      <c r="E243" s="221" t="s">
        <v>346</v>
      </c>
      <c r="F243" s="221" t="s">
        <v>347</v>
      </c>
      <c r="G243" s="232">
        <v>2282208</v>
      </c>
      <c r="H243" s="16" t="s">
        <v>348</v>
      </c>
      <c r="I243" s="209"/>
      <c r="J243" s="224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</row>
    <row r="244" spans="1:26" ht="15" customHeight="1">
      <c r="A244" s="230">
        <f t="shared" si="1"/>
        <v>241</v>
      </c>
      <c r="B244" s="231">
        <v>22371</v>
      </c>
      <c r="C244" s="221" t="s">
        <v>349</v>
      </c>
      <c r="D244" s="221" t="str">
        <f t="shared" si="0"/>
        <v>VISOKO GOSPODARSKO UČILIŠTE U KRIŽEVCIMA (22371)</v>
      </c>
      <c r="E244" s="221" t="s">
        <v>350</v>
      </c>
      <c r="F244" s="221" t="s">
        <v>351</v>
      </c>
      <c r="G244" s="232">
        <v>1411942</v>
      </c>
      <c r="H244" s="16" t="s">
        <v>352</v>
      </c>
      <c r="I244" s="209"/>
      <c r="J244" s="224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</row>
    <row r="245" spans="1:26" ht="15" customHeight="1">
      <c r="A245" s="230">
        <f t="shared" si="1"/>
        <v>242</v>
      </c>
      <c r="B245" s="231">
        <v>22832</v>
      </c>
      <c r="C245" s="221" t="s">
        <v>353</v>
      </c>
      <c r="D245" s="221" t="str">
        <f t="shared" si="0"/>
        <v>ZDRAVSTVENO VELEUČILIŠTE (22832)</v>
      </c>
      <c r="E245" s="221" t="s">
        <v>354</v>
      </c>
      <c r="F245" s="221" t="s">
        <v>23</v>
      </c>
      <c r="G245" s="232">
        <v>1274597</v>
      </c>
      <c r="H245" s="16" t="s">
        <v>355</v>
      </c>
      <c r="I245" s="209"/>
      <c r="J245" s="224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</row>
    <row r="246" spans="1:26" ht="15" customHeight="1">
      <c r="A246" s="230">
        <f t="shared" si="1"/>
        <v>243</v>
      </c>
      <c r="B246" s="231">
        <v>2918</v>
      </c>
      <c r="C246" s="221" t="s">
        <v>4299</v>
      </c>
      <c r="D246" s="221" t="str">
        <f t="shared" si="0"/>
        <v>EKONOMSKI INSTITUT, ZAGREB (2918)</v>
      </c>
      <c r="E246" s="221" t="s">
        <v>4300</v>
      </c>
      <c r="F246" s="221" t="s">
        <v>23</v>
      </c>
      <c r="G246" s="232">
        <v>3219925</v>
      </c>
      <c r="H246" s="16" t="s">
        <v>358</v>
      </c>
      <c r="I246" s="209"/>
      <c r="J246" s="224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</row>
    <row r="247" spans="1:26" ht="15" customHeight="1">
      <c r="A247" s="230">
        <f t="shared" si="1"/>
        <v>244</v>
      </c>
      <c r="B247" s="231">
        <v>22525</v>
      </c>
      <c r="C247" s="221" t="s">
        <v>361</v>
      </c>
      <c r="D247" s="221" t="str">
        <f t="shared" si="0"/>
        <v>HRVATSKI GEOLOŠKI INSTITUT  (22525)</v>
      </c>
      <c r="E247" s="221" t="s">
        <v>362</v>
      </c>
      <c r="F247" s="221" t="s">
        <v>23</v>
      </c>
      <c r="G247" s="232">
        <v>3219518</v>
      </c>
      <c r="H247" s="16" t="s">
        <v>363</v>
      </c>
      <c r="I247" s="209"/>
      <c r="J247" s="224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</row>
    <row r="248" spans="1:26" ht="15" customHeight="1">
      <c r="A248" s="230">
        <f t="shared" si="1"/>
        <v>245</v>
      </c>
      <c r="B248" s="231">
        <v>2934</v>
      </c>
      <c r="C248" s="221" t="s">
        <v>364</v>
      </c>
      <c r="D248" s="221" t="str">
        <f t="shared" si="0"/>
        <v>HRVATSKI INSTITUT ZA POVIJEST (2934)</v>
      </c>
      <c r="E248" s="221" t="s">
        <v>365</v>
      </c>
      <c r="F248" s="221" t="s">
        <v>23</v>
      </c>
      <c r="G248" s="232">
        <v>3207153</v>
      </c>
      <c r="H248" s="16" t="s">
        <v>366</v>
      </c>
      <c r="I248" s="209"/>
      <c r="J248" s="224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</row>
    <row r="249" spans="1:26" ht="15" customHeight="1">
      <c r="A249" s="230">
        <f t="shared" si="1"/>
        <v>246</v>
      </c>
      <c r="B249" s="231">
        <v>2967</v>
      </c>
      <c r="C249" s="221" t="s">
        <v>367</v>
      </c>
      <c r="D249" s="221" t="str">
        <f t="shared" si="0"/>
        <v>HRVATSKI ŠUMARSKI INSTITUT (2967)</v>
      </c>
      <c r="E249" s="221" t="s">
        <v>368</v>
      </c>
      <c r="F249" s="221" t="s">
        <v>369</v>
      </c>
      <c r="G249" s="232">
        <v>3115879</v>
      </c>
      <c r="H249" s="16" t="s">
        <v>370</v>
      </c>
      <c r="I249" s="209"/>
      <c r="J249" s="224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</row>
    <row r="250" spans="1:26" ht="15" customHeight="1">
      <c r="A250" s="230">
        <f t="shared" si="1"/>
        <v>247</v>
      </c>
      <c r="B250" s="231">
        <v>2983</v>
      </c>
      <c r="C250" s="221" t="s">
        <v>371</v>
      </c>
      <c r="D250" s="221" t="str">
        <f t="shared" si="0"/>
        <v>HRVATSKI VETERINARSKI INSTITUT (2983)</v>
      </c>
      <c r="E250" s="221" t="s">
        <v>372</v>
      </c>
      <c r="F250" s="221" t="s">
        <v>23</v>
      </c>
      <c r="G250" s="232">
        <v>3274098</v>
      </c>
      <c r="H250" s="16" t="s">
        <v>373</v>
      </c>
      <c r="I250" s="209"/>
      <c r="J250" s="224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</row>
    <row r="251" spans="1:26" ht="15" customHeight="1">
      <c r="A251" s="230">
        <f t="shared" si="1"/>
        <v>248</v>
      </c>
      <c r="B251" s="231">
        <v>3105</v>
      </c>
      <c r="C251" s="221" t="s">
        <v>374</v>
      </c>
      <c r="D251" s="221" t="str">
        <f t="shared" si="0"/>
        <v>INSTITUT DRUŠTVENIH ZNANOSTI IVO PILAR (3105)</v>
      </c>
      <c r="E251" s="221" t="s">
        <v>375</v>
      </c>
      <c r="F251" s="221" t="s">
        <v>23</v>
      </c>
      <c r="G251" s="232">
        <v>3793028</v>
      </c>
      <c r="H251" s="16" t="s">
        <v>376</v>
      </c>
      <c r="I251" s="209"/>
      <c r="J251" s="224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</row>
    <row r="252" spans="1:26" ht="15" customHeight="1">
      <c r="A252" s="230">
        <f t="shared" si="1"/>
        <v>249</v>
      </c>
      <c r="B252" s="231">
        <v>3041</v>
      </c>
      <c r="C252" s="221" t="s">
        <v>377</v>
      </c>
      <c r="D252" s="221" t="str">
        <f t="shared" si="0"/>
        <v>INSTITUT RUĐER BOŠKOVIĆ (3041)</v>
      </c>
      <c r="E252" s="221" t="s">
        <v>378</v>
      </c>
      <c r="F252" s="221" t="s">
        <v>23</v>
      </c>
      <c r="G252" s="232">
        <v>3270289</v>
      </c>
      <c r="H252" s="16" t="s">
        <v>379</v>
      </c>
      <c r="I252" s="209"/>
      <c r="J252" s="224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</row>
    <row r="253" spans="1:26" ht="15" customHeight="1">
      <c r="A253" s="230">
        <f t="shared" si="1"/>
        <v>250</v>
      </c>
      <c r="B253" s="231">
        <v>3113</v>
      </c>
      <c r="C253" s="221" t="s">
        <v>380</v>
      </c>
      <c r="D253" s="221" t="str">
        <f t="shared" si="0"/>
        <v>INSTITUT ZA ANTROPOLOGIJU (3113)</v>
      </c>
      <c r="E253" s="221" t="s">
        <v>381</v>
      </c>
      <c r="F253" s="221" t="s">
        <v>23</v>
      </c>
      <c r="G253" s="232">
        <v>3817121</v>
      </c>
      <c r="H253" s="16" t="s">
        <v>382</v>
      </c>
      <c r="I253" s="209"/>
      <c r="J253" s="224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</row>
    <row r="254" spans="1:26" ht="15" customHeight="1">
      <c r="A254" s="230">
        <f t="shared" si="1"/>
        <v>251</v>
      </c>
      <c r="B254" s="231">
        <v>3121</v>
      </c>
      <c r="C254" s="221" t="s">
        <v>383</v>
      </c>
      <c r="D254" s="221" t="str">
        <f t="shared" si="0"/>
        <v>INSTITUT ZA ARHEOLOGIJU (3121)</v>
      </c>
      <c r="E254" s="221" t="s">
        <v>381</v>
      </c>
      <c r="F254" s="221" t="s">
        <v>23</v>
      </c>
      <c r="G254" s="232">
        <v>3937658</v>
      </c>
      <c r="H254" s="16" t="s">
        <v>384</v>
      </c>
      <c r="I254" s="209"/>
      <c r="J254" s="224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</row>
    <row r="255" spans="1:26" ht="15" customHeight="1">
      <c r="A255" s="230">
        <f t="shared" si="1"/>
        <v>252</v>
      </c>
      <c r="B255" s="231">
        <v>3050</v>
      </c>
      <c r="C255" s="221" t="s">
        <v>4301</v>
      </c>
      <c r="D255" s="221" t="str">
        <f t="shared" si="0"/>
        <v>INSTITUT ZA DRUŠTVENA ISTRAŽIVANJA U ZAGREBU (3050)</v>
      </c>
      <c r="E255" s="221" t="s">
        <v>386</v>
      </c>
      <c r="F255" s="221" t="s">
        <v>23</v>
      </c>
      <c r="G255" s="232">
        <v>3205118</v>
      </c>
      <c r="H255" s="16" t="s">
        <v>387</v>
      </c>
      <c r="I255" s="209"/>
      <c r="J255" s="224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</row>
    <row r="256" spans="1:26" ht="15" customHeight="1">
      <c r="A256" s="230">
        <f t="shared" si="1"/>
        <v>253</v>
      </c>
      <c r="B256" s="231">
        <v>3084</v>
      </c>
      <c r="C256" s="221" t="s">
        <v>388</v>
      </c>
      <c r="D256" s="221" t="str">
        <f t="shared" si="0"/>
        <v>INSTITUT ZA ETNOLOGIJU I FOLKLORISTIKU (3084)</v>
      </c>
      <c r="E256" s="221" t="s">
        <v>389</v>
      </c>
      <c r="F256" s="221" t="s">
        <v>23</v>
      </c>
      <c r="G256" s="232">
        <v>3724042</v>
      </c>
      <c r="H256" s="16" t="s">
        <v>390</v>
      </c>
      <c r="I256" s="209"/>
      <c r="J256" s="224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</row>
    <row r="257" spans="1:26" ht="15" customHeight="1">
      <c r="A257" s="230">
        <f t="shared" si="1"/>
        <v>254</v>
      </c>
      <c r="B257" s="231">
        <v>3092</v>
      </c>
      <c r="C257" s="221" t="s">
        <v>391</v>
      </c>
      <c r="D257" s="221" t="str">
        <f t="shared" si="0"/>
        <v>INSTITUT ZA FILOZOFIJU (3092)</v>
      </c>
      <c r="E257" s="221" t="s">
        <v>392</v>
      </c>
      <c r="F257" s="221" t="s">
        <v>23</v>
      </c>
      <c r="G257" s="232">
        <v>3772047</v>
      </c>
      <c r="H257" s="16" t="s">
        <v>393</v>
      </c>
      <c r="I257" s="209"/>
      <c r="J257" s="224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</row>
    <row r="258" spans="1:26" ht="15" customHeight="1">
      <c r="A258" s="230">
        <f t="shared" si="1"/>
        <v>255</v>
      </c>
      <c r="B258" s="231">
        <v>2975</v>
      </c>
      <c r="C258" s="221" t="s">
        <v>394</v>
      </c>
      <c r="D258" s="221" t="str">
        <f t="shared" si="0"/>
        <v>INSTITUT ZA FIZIKU (2975)</v>
      </c>
      <c r="E258" s="221" t="s">
        <v>378</v>
      </c>
      <c r="F258" s="221" t="s">
        <v>23</v>
      </c>
      <c r="G258" s="232">
        <v>3270424</v>
      </c>
      <c r="H258" s="16" t="s">
        <v>395</v>
      </c>
      <c r="I258" s="209"/>
      <c r="J258" s="224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</row>
    <row r="259" spans="1:26" ht="15" customHeight="1">
      <c r="A259" s="230">
        <f t="shared" si="1"/>
        <v>256</v>
      </c>
      <c r="B259" s="231">
        <v>21061</v>
      </c>
      <c r="C259" s="221" t="s">
        <v>396</v>
      </c>
      <c r="D259" s="221" t="str">
        <f t="shared" si="0"/>
        <v>INSTITUT ZA HRVATSKI JEZIK I JEZIKOSLOVLJE (21061)</v>
      </c>
      <c r="E259" s="221" t="s">
        <v>397</v>
      </c>
      <c r="F259" s="221" t="s">
        <v>23</v>
      </c>
      <c r="G259" s="232">
        <v>1259571</v>
      </c>
      <c r="H259" s="16" t="s">
        <v>398</v>
      </c>
      <c r="I259" s="209"/>
      <c r="J259" s="224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</row>
    <row r="260" spans="1:26" ht="15" customHeight="1">
      <c r="A260" s="230">
        <f t="shared" si="1"/>
        <v>257</v>
      </c>
      <c r="B260" s="231">
        <v>3025</v>
      </c>
      <c r="C260" s="221" t="s">
        <v>399</v>
      </c>
      <c r="D260" s="221" t="str">
        <f t="shared" si="0"/>
        <v>INSTITUT ZA JADRANSKE KULTURE I MELIORACIJU KRŠA (3025)</v>
      </c>
      <c r="E260" s="221" t="s">
        <v>400</v>
      </c>
      <c r="F260" s="221" t="s">
        <v>173</v>
      </c>
      <c r="G260" s="232">
        <v>3140792</v>
      </c>
      <c r="H260" s="16" t="s">
        <v>401</v>
      </c>
      <c r="I260" s="209"/>
      <c r="J260" s="224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</row>
    <row r="261" spans="1:26" ht="15" customHeight="1">
      <c r="A261" s="230">
        <f t="shared" si="1"/>
        <v>258</v>
      </c>
      <c r="B261" s="231">
        <v>23286</v>
      </c>
      <c r="C261" s="221" t="s">
        <v>402</v>
      </c>
      <c r="D261" s="221" t="str">
        <f t="shared" si="0"/>
        <v>INSTITUT ZA JAVNE FINANCIJE (23286)</v>
      </c>
      <c r="E261" s="221" t="s">
        <v>403</v>
      </c>
      <c r="F261" s="221" t="s">
        <v>23</v>
      </c>
      <c r="G261" s="232">
        <v>3226344</v>
      </c>
      <c r="H261" s="16" t="s">
        <v>404</v>
      </c>
      <c r="I261" s="209"/>
      <c r="J261" s="224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</row>
    <row r="262" spans="1:26" ht="15" customHeight="1">
      <c r="A262" s="230">
        <f t="shared" si="1"/>
        <v>259</v>
      </c>
      <c r="B262" s="231">
        <v>2959</v>
      </c>
      <c r="C262" s="221" t="s">
        <v>405</v>
      </c>
      <c r="D262" s="221" t="str">
        <f t="shared" si="0"/>
        <v>INSTITUT ZA MEDICINSKA ISTRAŽIVANJA I MEDICINU RADA (2959)</v>
      </c>
      <c r="E262" s="221" t="s">
        <v>406</v>
      </c>
      <c r="F262" s="221" t="s">
        <v>23</v>
      </c>
      <c r="G262" s="232">
        <v>3270475</v>
      </c>
      <c r="H262" s="16" t="s">
        <v>407</v>
      </c>
      <c r="I262" s="209"/>
      <c r="J262" s="224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</row>
    <row r="263" spans="1:26" ht="15" customHeight="1">
      <c r="A263" s="230">
        <f t="shared" si="1"/>
        <v>260</v>
      </c>
      <c r="B263" s="231">
        <v>3009</v>
      </c>
      <c r="C263" s="221" t="s">
        <v>408</v>
      </c>
      <c r="D263" s="221" t="str">
        <f t="shared" si="0"/>
        <v>INSTITUT ZA MIGRACIJE I NARODNOSTI (3009)</v>
      </c>
      <c r="E263" s="221" t="s">
        <v>409</v>
      </c>
      <c r="F263" s="221" t="s">
        <v>23</v>
      </c>
      <c r="G263" s="232">
        <v>3287572</v>
      </c>
      <c r="H263" s="16" t="s">
        <v>410</v>
      </c>
      <c r="I263" s="209"/>
      <c r="J263" s="224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</row>
    <row r="264" spans="1:26" ht="15" customHeight="1">
      <c r="A264" s="230">
        <f t="shared" si="1"/>
        <v>261</v>
      </c>
      <c r="B264" s="231">
        <v>2900</v>
      </c>
      <c r="C264" s="221" t="s">
        <v>411</v>
      </c>
      <c r="D264" s="221" t="str">
        <f t="shared" si="0"/>
        <v>INSTITUT ZA OCEANOGRAFIJU I RIBARSTVO (2900)</v>
      </c>
      <c r="E264" s="221" t="s">
        <v>4302</v>
      </c>
      <c r="F264" s="221" t="s">
        <v>173</v>
      </c>
      <c r="G264" s="232">
        <v>3118355</v>
      </c>
      <c r="H264" s="16" t="s">
        <v>413</v>
      </c>
      <c r="I264" s="209"/>
      <c r="J264" s="224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</row>
    <row r="265" spans="1:26" ht="15" customHeight="1">
      <c r="A265" s="230">
        <f t="shared" si="1"/>
        <v>262</v>
      </c>
      <c r="B265" s="231">
        <v>3076</v>
      </c>
      <c r="C265" s="221" t="s">
        <v>414</v>
      </c>
      <c r="D265" s="221" t="str">
        <f t="shared" si="0"/>
        <v>INSTITUT ZA POLJOPRIVREDU I TURIZAM (3076)</v>
      </c>
      <c r="E265" s="221" t="s">
        <v>415</v>
      </c>
      <c r="F265" s="221" t="s">
        <v>416</v>
      </c>
      <c r="G265" s="232">
        <v>3421031</v>
      </c>
      <c r="H265" s="16" t="s">
        <v>417</v>
      </c>
      <c r="I265" s="209"/>
      <c r="J265" s="224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</row>
    <row r="266" spans="1:26" ht="15" customHeight="1">
      <c r="A266" s="230">
        <f t="shared" si="1"/>
        <v>263</v>
      </c>
      <c r="B266" s="231">
        <v>2942</v>
      </c>
      <c r="C266" s="221" t="s">
        <v>418</v>
      </c>
      <c r="D266" s="221" t="str">
        <f t="shared" si="0"/>
        <v>INSTITUT ZA POVIJEST UMJETNOSTI (2942)</v>
      </c>
      <c r="E266" s="221" t="s">
        <v>419</v>
      </c>
      <c r="F266" s="221" t="s">
        <v>23</v>
      </c>
      <c r="G266" s="232">
        <v>1339958</v>
      </c>
      <c r="H266" s="16" t="s">
        <v>420</v>
      </c>
      <c r="I266" s="209"/>
      <c r="J266" s="224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</row>
    <row r="267" spans="1:26" ht="15" customHeight="1">
      <c r="A267" s="230">
        <f t="shared" si="1"/>
        <v>264</v>
      </c>
      <c r="B267" s="231">
        <v>22621</v>
      </c>
      <c r="C267" s="221" t="s">
        <v>421</v>
      </c>
      <c r="D267" s="221" t="str">
        <f t="shared" si="0"/>
        <v>INSTITUT ZA RAZVOJ I MEĐUNARODNE ODNOSE (22621)</v>
      </c>
      <c r="E267" s="221" t="s">
        <v>422</v>
      </c>
      <c r="F267" s="221" t="s">
        <v>23</v>
      </c>
      <c r="G267" s="232">
        <v>3205177</v>
      </c>
      <c r="H267" s="16" t="s">
        <v>423</v>
      </c>
      <c r="I267" s="209"/>
      <c r="J267" s="224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</row>
    <row r="268" spans="1:26" ht="15" customHeight="1">
      <c r="A268" s="230">
        <f t="shared" si="1"/>
        <v>265</v>
      </c>
      <c r="B268" s="231">
        <v>3068</v>
      </c>
      <c r="C268" s="221" t="s">
        <v>424</v>
      </c>
      <c r="D268" s="221" t="str">
        <f t="shared" si="0"/>
        <v>INSTITUT ZA TURIZAM (3068)</v>
      </c>
      <c r="E268" s="221" t="s">
        <v>425</v>
      </c>
      <c r="F268" s="221" t="s">
        <v>23</v>
      </c>
      <c r="G268" s="232">
        <v>3208001</v>
      </c>
      <c r="H268" s="16" t="s">
        <v>426</v>
      </c>
      <c r="I268" s="209"/>
      <c r="J268" s="224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</row>
    <row r="269" spans="1:26" ht="15" customHeight="1">
      <c r="A269" s="230">
        <f t="shared" si="1"/>
        <v>266</v>
      </c>
      <c r="B269" s="231">
        <v>2991</v>
      </c>
      <c r="C269" s="221" t="s">
        <v>427</v>
      </c>
      <c r="D269" s="221" t="str">
        <f t="shared" si="0"/>
        <v>POLJOPRIVREDNI INSTITUT OSIJEK (2991)</v>
      </c>
      <c r="E269" s="221" t="s">
        <v>428</v>
      </c>
      <c r="F269" s="221" t="s">
        <v>43</v>
      </c>
      <c r="G269" s="232">
        <v>3058239</v>
      </c>
      <c r="H269" s="16" t="s">
        <v>429</v>
      </c>
      <c r="I269" s="209"/>
      <c r="J269" s="224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</row>
    <row r="270" spans="1:26" ht="15" customHeight="1">
      <c r="A270" s="230">
        <f t="shared" si="1"/>
        <v>267</v>
      </c>
      <c r="B270" s="231">
        <v>21070</v>
      </c>
      <c r="C270" s="221" t="s">
        <v>430</v>
      </c>
      <c r="D270" s="221" t="str">
        <f t="shared" si="0"/>
        <v>STAROSLAVENSKI INSTITUT (21070)</v>
      </c>
      <c r="E270" s="221" t="s">
        <v>431</v>
      </c>
      <c r="F270" s="221" t="s">
        <v>23</v>
      </c>
      <c r="G270" s="232">
        <v>1259563</v>
      </c>
      <c r="H270" s="16" t="s">
        <v>432</v>
      </c>
      <c r="I270" s="209"/>
      <c r="J270" s="224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</row>
    <row r="271" spans="1:26" ht="15" customHeight="1">
      <c r="A271" s="230">
        <f t="shared" si="1"/>
        <v>268</v>
      </c>
      <c r="B271" s="231">
        <v>6179</v>
      </c>
      <c r="C271" s="221" t="s">
        <v>433</v>
      </c>
      <c r="D271" s="221" t="str">
        <f t="shared" si="0"/>
        <v>DRŽAVNI ZAVOD ZA INTELEKTUALNO VLASNIŠTVO (6179)</v>
      </c>
      <c r="E271" s="221" t="s">
        <v>434</v>
      </c>
      <c r="F271" s="221" t="s">
        <v>23</v>
      </c>
      <c r="G271" s="232">
        <v>3899772</v>
      </c>
      <c r="H271" s="16" t="s">
        <v>435</v>
      </c>
      <c r="I271" s="209"/>
      <c r="J271" s="224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</row>
    <row r="272" spans="1:26" ht="15" customHeight="1">
      <c r="A272" s="230">
        <f t="shared" si="1"/>
        <v>269</v>
      </c>
      <c r="B272" s="231">
        <v>43335</v>
      </c>
      <c r="C272" s="221" t="s">
        <v>438</v>
      </c>
      <c r="D272" s="221" t="str">
        <f t="shared" si="0"/>
        <v>AGENCIJA ZA MOBILNOST I PROGRAME EUROPSKE UNIJE (43335)</v>
      </c>
      <c r="E272" s="237" t="s">
        <v>439</v>
      </c>
      <c r="F272" s="221" t="s">
        <v>23</v>
      </c>
      <c r="G272" s="15">
        <v>2298007</v>
      </c>
      <c r="H272" s="16" t="s">
        <v>440</v>
      </c>
      <c r="I272" s="209"/>
      <c r="J272" s="224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</row>
    <row r="273" spans="1:26" ht="15" customHeight="1">
      <c r="A273" s="230">
        <f t="shared" si="1"/>
        <v>270</v>
      </c>
      <c r="B273" s="231">
        <v>23962</v>
      </c>
      <c r="C273" s="221" t="s">
        <v>443</v>
      </c>
      <c r="D273" s="221" t="str">
        <f t="shared" si="0"/>
        <v>AGENCIJA ZA ODGOJ I OBRAZOVANJE (23962)</v>
      </c>
      <c r="E273" s="221" t="s">
        <v>449</v>
      </c>
      <c r="F273" s="221" t="s">
        <v>23</v>
      </c>
      <c r="G273" s="232">
        <v>1778129</v>
      </c>
      <c r="H273" s="16" t="s">
        <v>444</v>
      </c>
      <c r="I273" s="209"/>
      <c r="J273" s="224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</row>
    <row r="274" spans="1:26" ht="15" customHeight="1">
      <c r="A274" s="230">
        <f t="shared" si="1"/>
        <v>271</v>
      </c>
      <c r="B274" s="231">
        <v>46173</v>
      </c>
      <c r="C274" s="221" t="s">
        <v>445</v>
      </c>
      <c r="D274" s="221" t="str">
        <f t="shared" si="0"/>
        <v>AGENCIJA ZA STRUKOVNO OBRAZOVANJE I OBRAZOVANJE ODRASLIH (46173)</v>
      </c>
      <c r="E274" s="237" t="s">
        <v>446</v>
      </c>
      <c r="F274" s="221" t="s">
        <v>23</v>
      </c>
      <c r="G274" s="15">
        <v>2650029</v>
      </c>
      <c r="H274" s="16" t="s">
        <v>447</v>
      </c>
      <c r="I274" s="209"/>
      <c r="J274" s="224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</row>
    <row r="275" spans="1:26" ht="15" customHeight="1">
      <c r="A275" s="230">
        <f t="shared" si="1"/>
        <v>272</v>
      </c>
      <c r="B275" s="231">
        <v>38487</v>
      </c>
      <c r="C275" s="221" t="s">
        <v>448</v>
      </c>
      <c r="D275" s="221" t="str">
        <f t="shared" si="0"/>
        <v>AGENCIJA ZA ZNANOST I VISOKO OBRAZOVANJE (38487)</v>
      </c>
      <c r="E275" s="237" t="s">
        <v>449</v>
      </c>
      <c r="F275" s="221" t="s">
        <v>23</v>
      </c>
      <c r="G275" s="15">
        <v>1922548</v>
      </c>
      <c r="H275" s="16" t="s">
        <v>450</v>
      </c>
      <c r="I275" s="209"/>
      <c r="J275" s="224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</row>
    <row r="276" spans="1:26" ht="15" customHeight="1">
      <c r="A276" s="230">
        <f t="shared" si="1"/>
        <v>273</v>
      </c>
      <c r="B276" s="231">
        <v>21852</v>
      </c>
      <c r="C276" s="221" t="s">
        <v>451</v>
      </c>
      <c r="D276" s="221" t="str">
        <f t="shared" si="0"/>
        <v>HRVATSKA AKADEMSKA I ISTRAŽIVAČKA MREŽA - CARNET (21852)</v>
      </c>
      <c r="E276" s="237" t="s">
        <v>452</v>
      </c>
      <c r="F276" s="221" t="s">
        <v>23</v>
      </c>
      <c r="G276" s="15">
        <v>1147820</v>
      </c>
      <c r="H276" s="16" t="s">
        <v>453</v>
      </c>
      <c r="I276" s="209"/>
      <c r="J276" s="224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</row>
    <row r="277" spans="1:26" ht="15" customHeight="1">
      <c r="A277" s="230">
        <f t="shared" si="1"/>
        <v>274</v>
      </c>
      <c r="B277" s="231">
        <v>52209</v>
      </c>
      <c r="C277" s="221" t="s">
        <v>454</v>
      </c>
      <c r="D277" s="221" t="str">
        <f t="shared" si="0"/>
        <v>HRVATSKA ZAKLADA ZA ZNANOST (52209)</v>
      </c>
      <c r="E277" s="237" t="s">
        <v>455</v>
      </c>
      <c r="F277" s="221" t="s">
        <v>23</v>
      </c>
      <c r="G277" s="15">
        <v>1626841</v>
      </c>
      <c r="H277" s="16">
        <v>88776522763</v>
      </c>
      <c r="I277" s="209"/>
      <c r="J277" s="224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</row>
    <row r="278" spans="1:26" ht="15" customHeight="1">
      <c r="A278" s="230">
        <f t="shared" si="1"/>
        <v>275</v>
      </c>
      <c r="B278" s="231">
        <v>21869</v>
      </c>
      <c r="C278" s="221" t="s">
        <v>457</v>
      </c>
      <c r="D278" s="221" t="str">
        <f t="shared" si="0"/>
        <v>LEKSIKOGRAFSKI ZAVOD MIROSLAV KRLEŽA (21869)</v>
      </c>
      <c r="E278" s="237" t="s">
        <v>439</v>
      </c>
      <c r="F278" s="221" t="s">
        <v>23</v>
      </c>
      <c r="G278" s="15">
        <v>3211622</v>
      </c>
      <c r="H278" s="16" t="s">
        <v>458</v>
      </c>
      <c r="I278" s="209"/>
      <c r="J278" s="224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</row>
    <row r="279" spans="1:26" ht="15" customHeight="1">
      <c r="A279" s="230">
        <f t="shared" si="1"/>
        <v>276</v>
      </c>
      <c r="B279" s="231">
        <v>21836</v>
      </c>
      <c r="C279" s="221" t="s">
        <v>459</v>
      </c>
      <c r="D279" s="221" t="str">
        <f t="shared" si="0"/>
        <v>NACIONALNA I SVEUČILIŠNA KNJIŽNICA U ZAGREBU (21836)</v>
      </c>
      <c r="E279" s="237" t="s">
        <v>4303</v>
      </c>
      <c r="F279" s="221" t="s">
        <v>23</v>
      </c>
      <c r="G279" s="15">
        <v>3205363</v>
      </c>
      <c r="H279" s="16" t="s">
        <v>461</v>
      </c>
      <c r="I279" s="209"/>
      <c r="J279" s="224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</row>
    <row r="280" spans="1:26" ht="15" customHeight="1">
      <c r="A280" s="230">
        <f t="shared" si="1"/>
        <v>277</v>
      </c>
      <c r="B280" s="231">
        <v>40883</v>
      </c>
      <c r="C280" s="221" t="s">
        <v>462</v>
      </c>
      <c r="D280" s="221" t="str">
        <f t="shared" si="0"/>
        <v>NACIONALNI CENTAR ZA VANJSKO VREDNOVANJE OBRAZOVANJA (40883)</v>
      </c>
      <c r="E280" s="237" t="s">
        <v>463</v>
      </c>
      <c r="F280" s="221" t="s">
        <v>464</v>
      </c>
      <c r="G280" s="15">
        <v>1943430</v>
      </c>
      <c r="H280" s="16" t="s">
        <v>465</v>
      </c>
      <c r="I280" s="209"/>
      <c r="J280" s="224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</row>
    <row r="281" spans="1:26" ht="15" customHeight="1">
      <c r="A281" s="230">
        <f t="shared" si="1"/>
        <v>278</v>
      </c>
      <c r="B281" s="231">
        <v>23665</v>
      </c>
      <c r="C281" s="221" t="s">
        <v>466</v>
      </c>
      <c r="D281" s="221" t="str">
        <f t="shared" si="0"/>
        <v>SVEUČILIŠTE U ZAGREBU - SVEUČILIŠNI RAČUNSKI CENTAR - SRCE (23665)</v>
      </c>
      <c r="E281" s="237" t="s">
        <v>452</v>
      </c>
      <c r="F281" s="221" t="s">
        <v>23</v>
      </c>
      <c r="G281" s="232">
        <v>3283020</v>
      </c>
      <c r="H281" s="16" t="s">
        <v>467</v>
      </c>
      <c r="I281" s="209"/>
      <c r="J281" s="224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</row>
    <row r="282" spans="1:26" ht="15" customHeight="1">
      <c r="A282" s="219">
        <f t="shared" si="1"/>
        <v>279</v>
      </c>
      <c r="B282" s="226">
        <v>47096</v>
      </c>
      <c r="C282" s="227" t="s">
        <v>4304</v>
      </c>
      <c r="D282" s="221" t="str">
        <f t="shared" si="0"/>
        <v>MINISTARSTVO RADA, MIROVINSKOG SUSTAVA, OBITELJI I SOCIJALNE POLITIKE (47096)</v>
      </c>
      <c r="E282" s="227" t="s">
        <v>434</v>
      </c>
      <c r="F282" s="227" t="s">
        <v>23</v>
      </c>
      <c r="G282" s="228">
        <v>2830949</v>
      </c>
      <c r="H282" s="229" t="s">
        <v>4305</v>
      </c>
      <c r="I282" s="224"/>
      <c r="J282" s="224"/>
      <c r="K282" s="224"/>
      <c r="L282" s="224"/>
      <c r="M282" s="224"/>
      <c r="N282" s="224"/>
      <c r="O282" s="224"/>
      <c r="P282" s="224"/>
      <c r="Q282" s="224"/>
      <c r="R282" s="224"/>
      <c r="S282" s="224"/>
      <c r="T282" s="224"/>
      <c r="U282" s="224"/>
      <c r="V282" s="224"/>
      <c r="W282" s="224"/>
      <c r="X282" s="224"/>
      <c r="Y282" s="224"/>
      <c r="Z282" s="224"/>
    </row>
    <row r="283" spans="1:26" ht="15" customHeight="1">
      <c r="A283" s="230">
        <f t="shared" si="1"/>
        <v>280</v>
      </c>
      <c r="B283" s="231">
        <v>25843</v>
      </c>
      <c r="C283" s="221" t="s">
        <v>4306</v>
      </c>
      <c r="D283" s="221" t="str">
        <f t="shared" si="0"/>
        <v>HRVATSKI ZAVOD ZA ZAPOŠLJAVANJE* (25843)</v>
      </c>
      <c r="E283" s="221" t="s">
        <v>4307</v>
      </c>
      <c r="F283" s="221" t="s">
        <v>23</v>
      </c>
      <c r="G283" s="232">
        <v>1369741</v>
      </c>
      <c r="H283" s="16" t="s">
        <v>4308</v>
      </c>
      <c r="I283" s="224"/>
      <c r="J283" s="224"/>
      <c r="K283" s="224"/>
      <c r="L283" s="224"/>
      <c r="M283" s="224"/>
      <c r="N283" s="224"/>
      <c r="O283" s="224"/>
      <c r="P283" s="224"/>
      <c r="Q283" s="224"/>
      <c r="R283" s="224"/>
      <c r="S283" s="224"/>
      <c r="T283" s="224"/>
      <c r="U283" s="224"/>
      <c r="V283" s="224"/>
      <c r="W283" s="224"/>
      <c r="X283" s="224"/>
      <c r="Y283" s="224"/>
      <c r="Z283" s="224"/>
    </row>
    <row r="284" spans="1:26" ht="15.75" customHeight="1">
      <c r="A284" s="230">
        <f t="shared" si="1"/>
        <v>281</v>
      </c>
      <c r="B284" s="231">
        <v>48242</v>
      </c>
      <c r="C284" s="221" t="s">
        <v>4309</v>
      </c>
      <c r="D284" s="221" t="str">
        <f t="shared" si="0"/>
        <v>ZAVOD ZA VJEŠTAČENJE, PROFESIONALNU REHABILITACIJU I ZAPOŠLJAVANJE OSOBA S INVALIDITETOM (48242)</v>
      </c>
      <c r="E284" s="221" t="s">
        <v>4310</v>
      </c>
      <c r="F284" s="221" t="s">
        <v>23</v>
      </c>
      <c r="G284" s="232">
        <v>4166159</v>
      </c>
      <c r="H284" s="16" t="s">
        <v>4311</v>
      </c>
      <c r="I284" s="209"/>
      <c r="J284" s="224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</row>
    <row r="285" spans="1:26" ht="15" customHeight="1">
      <c r="A285" s="230">
        <f t="shared" si="1"/>
        <v>282</v>
      </c>
      <c r="B285" s="231">
        <v>24168</v>
      </c>
      <c r="C285" s="221" t="s">
        <v>4312</v>
      </c>
      <c r="D285" s="221" t="str">
        <f t="shared" si="0"/>
        <v>SREDIŠNJI REGISTAR OSIGURANIKA (24168)</v>
      </c>
      <c r="E285" s="221" t="s">
        <v>4313</v>
      </c>
      <c r="F285" s="221" t="s">
        <v>23</v>
      </c>
      <c r="G285" s="232">
        <v>1469819</v>
      </c>
      <c r="H285" s="229" t="s">
        <v>4314</v>
      </c>
      <c r="I285" s="209"/>
      <c r="J285" s="224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</row>
    <row r="286" spans="1:26" ht="15" customHeight="1">
      <c r="A286" s="230">
        <f t="shared" si="1"/>
        <v>283</v>
      </c>
      <c r="B286" s="231">
        <v>44508</v>
      </c>
      <c r="C286" s="221" t="s">
        <v>4315</v>
      </c>
      <c r="D286" s="221" t="str">
        <f t="shared" si="0"/>
        <v>AGENCIJA ZA OSIGURANJE RADNIČKIH TRAŽBINA (44508)</v>
      </c>
      <c r="E286" s="221" t="s">
        <v>4316</v>
      </c>
      <c r="F286" s="221" t="s">
        <v>23</v>
      </c>
      <c r="G286" s="232">
        <v>2456257</v>
      </c>
      <c r="H286" s="16" t="s">
        <v>4317</v>
      </c>
      <c r="I286" s="209"/>
      <c r="J286" s="224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</row>
    <row r="287" spans="1:26" ht="15" customHeight="1">
      <c r="A287" s="230">
        <f t="shared" si="1"/>
        <v>284</v>
      </c>
      <c r="B287" s="231">
        <v>33634</v>
      </c>
      <c r="C287" s="221" t="s">
        <v>4318</v>
      </c>
      <c r="D287" s="221" t="str">
        <f t="shared" si="0"/>
        <v>CENTAR ZA PROFESIONALNU REHABILITACIJU OSIJEK (33634)</v>
      </c>
      <c r="E287" s="221" t="s">
        <v>4319</v>
      </c>
      <c r="F287" s="221" t="s">
        <v>43</v>
      </c>
      <c r="G287" s="239" t="s">
        <v>4320</v>
      </c>
      <c r="H287" s="242">
        <v>57200304958</v>
      </c>
      <c r="I287" s="209"/>
      <c r="J287" s="224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</row>
    <row r="288" spans="1:26" ht="15" customHeight="1">
      <c r="A288" s="230">
        <f t="shared" si="1"/>
        <v>285</v>
      </c>
      <c r="B288" s="231">
        <v>49059</v>
      </c>
      <c r="C288" s="221" t="s">
        <v>4321</v>
      </c>
      <c r="D288" s="221" t="str">
        <f t="shared" si="0"/>
        <v>CENTAR ZA PROFESIONALNU REHABILITACIJU RIJEKA (49059)</v>
      </c>
      <c r="E288" s="221" t="s">
        <v>4322</v>
      </c>
      <c r="F288" s="221" t="s">
        <v>124</v>
      </c>
      <c r="G288" s="243" t="s">
        <v>4323</v>
      </c>
      <c r="H288" s="242">
        <v>99737296287</v>
      </c>
      <c r="I288" s="209"/>
      <c r="J288" s="224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</row>
    <row r="289" spans="1:26" ht="15" customHeight="1">
      <c r="A289" s="230">
        <f t="shared" si="1"/>
        <v>286</v>
      </c>
      <c r="B289" s="231">
        <v>49729</v>
      </c>
      <c r="C289" s="221" t="s">
        <v>4324</v>
      </c>
      <c r="D289" s="221" t="str">
        <f t="shared" si="0"/>
        <v>CENTAR ZA PROFESIONALNU REHABILITACIJU SPLIT (49729)</v>
      </c>
      <c r="E289" s="221" t="s">
        <v>4325</v>
      </c>
      <c r="F289" s="221" t="s">
        <v>173</v>
      </c>
      <c r="G289" s="239" t="s">
        <v>4326</v>
      </c>
      <c r="H289" s="242">
        <v>60142045282</v>
      </c>
      <c r="I289" s="209"/>
      <c r="J289" s="224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</row>
    <row r="290" spans="1:26" ht="15" customHeight="1">
      <c r="A290" s="230">
        <f t="shared" si="1"/>
        <v>287</v>
      </c>
      <c r="B290" s="231">
        <v>48865</v>
      </c>
      <c r="C290" s="221" t="s">
        <v>4327</v>
      </c>
      <c r="D290" s="221" t="str">
        <f t="shared" si="0"/>
        <v>CENTAR ZA PROFESIONALNU REHABILITACIJU ZAGREB (48865)</v>
      </c>
      <c r="E290" s="221" t="s">
        <v>4328</v>
      </c>
      <c r="F290" s="221" t="s">
        <v>23</v>
      </c>
      <c r="G290" s="239" t="s">
        <v>4329</v>
      </c>
      <c r="H290" s="242">
        <v>69410598395</v>
      </c>
      <c r="I290" s="209"/>
      <c r="J290" s="224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</row>
    <row r="291" spans="1:26" ht="15" customHeight="1">
      <c r="A291" s="230">
        <f t="shared" si="1"/>
        <v>288</v>
      </c>
      <c r="B291" s="231">
        <v>7333</v>
      </c>
      <c r="C291" s="221" t="s">
        <v>4330</v>
      </c>
      <c r="D291" s="221" t="str">
        <f t="shared" si="0"/>
        <v>CENTAR RUDOLF STEINER DARUVAR (7333)</v>
      </c>
      <c r="E291" s="221" t="s">
        <v>4331</v>
      </c>
      <c r="F291" s="221" t="s">
        <v>4332</v>
      </c>
      <c r="G291" s="232">
        <v>3099598</v>
      </c>
      <c r="H291" s="16" t="s">
        <v>4333</v>
      </c>
      <c r="I291" s="209"/>
      <c r="J291" s="224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</row>
    <row r="292" spans="1:26" ht="15" customHeight="1">
      <c r="A292" s="230">
        <f t="shared" si="1"/>
        <v>289</v>
      </c>
      <c r="B292" s="231">
        <v>7472</v>
      </c>
      <c r="C292" s="221" t="s">
        <v>4334</v>
      </c>
      <c r="D292" s="221" t="str">
        <f t="shared" si="0"/>
        <v>CENTAR ZA ODGOJ I OBRAZOVANJE DUBRAVA  (7472)</v>
      </c>
      <c r="E292" s="221" t="s">
        <v>4335</v>
      </c>
      <c r="F292" s="221" t="s">
        <v>23</v>
      </c>
      <c r="G292" s="232">
        <v>3217191</v>
      </c>
      <c r="H292" s="16" t="s">
        <v>4336</v>
      </c>
      <c r="I292" s="209"/>
      <c r="J292" s="224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</row>
    <row r="293" spans="1:26" ht="15" customHeight="1">
      <c r="A293" s="230">
        <f t="shared" si="1"/>
        <v>290</v>
      </c>
      <c r="B293" s="231">
        <v>7405</v>
      </c>
      <c r="C293" s="221" t="s">
        <v>4337</v>
      </c>
      <c r="D293" s="221" t="str">
        <f t="shared" si="0"/>
        <v>CENTAR ZA ODGOJ I OBRAZOVANJE JURAJ BONAČI (7405)</v>
      </c>
      <c r="E293" s="221" t="s">
        <v>4338</v>
      </c>
      <c r="F293" s="221" t="s">
        <v>173</v>
      </c>
      <c r="G293" s="232">
        <v>3133737</v>
      </c>
      <c r="H293" s="16" t="s">
        <v>4339</v>
      </c>
      <c r="I293" s="209"/>
      <c r="J293" s="224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</row>
    <row r="294" spans="1:26" ht="15" customHeight="1">
      <c r="A294" s="230">
        <f t="shared" si="1"/>
        <v>291</v>
      </c>
      <c r="B294" s="231">
        <v>7456</v>
      </c>
      <c r="C294" s="221" t="s">
        <v>4340</v>
      </c>
      <c r="D294" s="221" t="str">
        <f t="shared" si="0"/>
        <v>CENTAR ZA ODGOJ I OBRAZOVANJE LUG (7456)</v>
      </c>
      <c r="E294" s="221" t="s">
        <v>4341</v>
      </c>
      <c r="F294" s="221" t="s">
        <v>4342</v>
      </c>
      <c r="G294" s="232">
        <v>3102947</v>
      </c>
      <c r="H294" s="16" t="s">
        <v>4343</v>
      </c>
      <c r="I294" s="209"/>
      <c r="J294" s="224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</row>
    <row r="295" spans="1:26" ht="15" customHeight="1">
      <c r="A295" s="230">
        <f t="shared" si="1"/>
        <v>292</v>
      </c>
      <c r="B295" s="231">
        <v>7392</v>
      </c>
      <c r="C295" s="221" t="s">
        <v>4344</v>
      </c>
      <c r="D295" s="221" t="str">
        <f t="shared" si="0"/>
        <v>CENTAR ZA ODGOJ I OBRAZOVANJE SLAVA RAŠKAJ SPLIT  (7392)</v>
      </c>
      <c r="E295" s="221" t="s">
        <v>4345</v>
      </c>
      <c r="F295" s="221" t="s">
        <v>173</v>
      </c>
      <c r="G295" s="232">
        <v>3120104</v>
      </c>
      <c r="H295" s="16" t="s">
        <v>4346</v>
      </c>
      <c r="I295" s="209"/>
      <c r="J295" s="224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</row>
    <row r="296" spans="1:26" ht="15" customHeight="1">
      <c r="A296" s="230">
        <f t="shared" si="1"/>
        <v>293</v>
      </c>
      <c r="B296" s="231">
        <v>7489</v>
      </c>
      <c r="C296" s="221" t="s">
        <v>4347</v>
      </c>
      <c r="D296" s="221" t="str">
        <f t="shared" si="0"/>
        <v>CENTAR ZA ODGOJ I OBRAZOVANJE SLAVA RAŠKAJ ZAGREB (7489)</v>
      </c>
      <c r="E296" s="221" t="s">
        <v>4348</v>
      </c>
      <c r="F296" s="221" t="s">
        <v>23</v>
      </c>
      <c r="G296" s="232">
        <v>3205835</v>
      </c>
      <c r="H296" s="16" t="s">
        <v>4349</v>
      </c>
      <c r="I296" s="209"/>
      <c r="J296" s="224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</row>
    <row r="297" spans="1:26" ht="15" customHeight="1">
      <c r="A297" s="230">
        <f t="shared" si="1"/>
        <v>294</v>
      </c>
      <c r="B297" s="231">
        <v>7421</v>
      </c>
      <c r="C297" s="221" t="s">
        <v>4350</v>
      </c>
      <c r="D297" s="221" t="str">
        <f t="shared" si="0"/>
        <v>CENTAR ZA ODGOJ I OBRAZOVANJE ŠUBIĆEVAC (7421)</v>
      </c>
      <c r="E297" s="221" t="s">
        <v>4351</v>
      </c>
      <c r="F297" s="221" t="s">
        <v>343</v>
      </c>
      <c r="G297" s="232">
        <v>3019683</v>
      </c>
      <c r="H297" s="16" t="s">
        <v>4352</v>
      </c>
      <c r="I297" s="209"/>
      <c r="J297" s="224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</row>
    <row r="298" spans="1:26" ht="15" customHeight="1">
      <c r="A298" s="230">
        <f t="shared" si="1"/>
        <v>295</v>
      </c>
      <c r="B298" s="231">
        <v>7528</v>
      </c>
      <c r="C298" s="221" t="s">
        <v>4353</v>
      </c>
      <c r="D298" s="221" t="str">
        <f t="shared" si="0"/>
        <v>CENTAR ZA ODGOJ I OBRAZOVANJE TUŠKANAC (7528)</v>
      </c>
      <c r="E298" s="221" t="s">
        <v>4354</v>
      </c>
      <c r="F298" s="221" t="s">
        <v>23</v>
      </c>
      <c r="G298" s="232">
        <v>3205827</v>
      </c>
      <c r="H298" s="16" t="s">
        <v>4355</v>
      </c>
      <c r="I298" s="209"/>
      <c r="J298" s="224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</row>
    <row r="299" spans="1:26" ht="15" customHeight="1">
      <c r="A299" s="230">
        <f t="shared" si="1"/>
        <v>296</v>
      </c>
      <c r="B299" s="231">
        <v>7501</v>
      </c>
      <c r="C299" s="221" t="s">
        <v>4356</v>
      </c>
      <c r="D299" s="221" t="str">
        <f t="shared" si="0"/>
        <v>CENTAR ZA ODGOJ I OBRAZOVANJE VELIKA GORICA  (7501)</v>
      </c>
      <c r="E299" s="221" t="s">
        <v>4357</v>
      </c>
      <c r="F299" s="221" t="s">
        <v>3874</v>
      </c>
      <c r="G299" s="232">
        <v>3216284</v>
      </c>
      <c r="H299" s="16" t="s">
        <v>4358</v>
      </c>
      <c r="I299" s="209"/>
      <c r="J299" s="224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</row>
    <row r="300" spans="1:26" ht="15" customHeight="1">
      <c r="A300" s="230">
        <f t="shared" si="1"/>
        <v>297</v>
      </c>
      <c r="B300" s="231">
        <v>7497</v>
      </c>
      <c r="C300" s="221" t="s">
        <v>4359</v>
      </c>
      <c r="D300" s="221" t="str">
        <f t="shared" si="0"/>
        <v>CENTAR ZA ODGOJ I OBRAZOVANJE VINKO BEK (7497)</v>
      </c>
      <c r="E300" s="221" t="s">
        <v>4360</v>
      </c>
      <c r="F300" s="221" t="s">
        <v>23</v>
      </c>
      <c r="G300" s="232">
        <v>3205819</v>
      </c>
      <c r="H300" s="16" t="s">
        <v>4361</v>
      </c>
      <c r="I300" s="209"/>
      <c r="J300" s="224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</row>
    <row r="301" spans="1:26" ht="15" customHeight="1">
      <c r="A301" s="230">
        <f t="shared" si="1"/>
        <v>298</v>
      </c>
      <c r="B301" s="231">
        <v>7536</v>
      </c>
      <c r="C301" s="221" t="s">
        <v>4362</v>
      </c>
      <c r="D301" s="221" t="str">
        <f t="shared" si="0"/>
        <v>CENTAR ZA ODGOJ I OBRAZOVANJE ZAJEZDA (7536)</v>
      </c>
      <c r="E301" s="221" t="s">
        <v>4363</v>
      </c>
      <c r="F301" s="221" t="s">
        <v>4364</v>
      </c>
      <c r="G301" s="232">
        <v>3126862</v>
      </c>
      <c r="H301" s="16" t="s">
        <v>4365</v>
      </c>
      <c r="I301" s="209"/>
      <c r="J301" s="224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</row>
    <row r="302" spans="1:26" ht="15" customHeight="1">
      <c r="A302" s="230">
        <f t="shared" si="1"/>
        <v>299</v>
      </c>
      <c r="B302" s="231">
        <v>48402</v>
      </c>
      <c r="C302" s="221" t="s">
        <v>4366</v>
      </c>
      <c r="D302" s="221" t="str">
        <f t="shared" si="0"/>
        <v>CENTAR ZA POSEBNO SKRBNIŠTVO (48402)</v>
      </c>
      <c r="E302" s="221" t="s">
        <v>4367</v>
      </c>
      <c r="F302" s="221" t="s">
        <v>23</v>
      </c>
      <c r="G302" s="232">
        <v>4250257</v>
      </c>
      <c r="H302" s="16" t="s">
        <v>4368</v>
      </c>
      <c r="I302" s="209"/>
      <c r="J302" s="224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</row>
    <row r="303" spans="1:26" ht="15" customHeight="1">
      <c r="A303" s="230">
        <f t="shared" si="1"/>
        <v>300</v>
      </c>
      <c r="B303" s="231">
        <v>7163</v>
      </c>
      <c r="C303" s="221" t="s">
        <v>4369</v>
      </c>
      <c r="D303" s="221" t="str">
        <f t="shared" si="0"/>
        <v>CENTAR ZA PRUŽANJE USLUGA U ZAJEDNICI IZVOR, SELCE (7163)</v>
      </c>
      <c r="E303" s="221" t="s">
        <v>4370</v>
      </c>
      <c r="F303" s="221" t="s">
        <v>4371</v>
      </c>
      <c r="G303" s="232">
        <v>3148637</v>
      </c>
      <c r="H303" s="16" t="s">
        <v>4372</v>
      </c>
      <c r="I303" s="209"/>
      <c r="J303" s="224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</row>
    <row r="304" spans="1:26" ht="15" customHeight="1">
      <c r="A304" s="230">
        <f t="shared" si="1"/>
        <v>301</v>
      </c>
      <c r="B304" s="231">
        <v>7147</v>
      </c>
      <c r="C304" s="221" t="s">
        <v>4373</v>
      </c>
      <c r="D304" s="221" t="str">
        <f t="shared" si="0"/>
        <v>CENTAR ZA PRUŽANJE USLUGA U ZAJEDNICI KLASJE OSIJEK (7147)</v>
      </c>
      <c r="E304" s="221" t="s">
        <v>4374</v>
      </c>
      <c r="F304" s="221" t="s">
        <v>43</v>
      </c>
      <c r="G304" s="232">
        <v>3014410</v>
      </c>
      <c r="H304" s="16" t="s">
        <v>4375</v>
      </c>
      <c r="I304" s="209"/>
      <c r="J304" s="224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</row>
    <row r="305" spans="1:26" ht="15" customHeight="1">
      <c r="A305" s="230">
        <f t="shared" si="1"/>
        <v>302</v>
      </c>
      <c r="B305" s="231">
        <v>7180</v>
      </c>
      <c r="C305" s="221" t="s">
        <v>4376</v>
      </c>
      <c r="D305" s="221" t="str">
        <f t="shared" si="0"/>
        <v>CENTAR ZA PRUŽANJE USLUGA U ZAJEDNICI KUĆA SRETNIH CIGLICA, SLAVONSKI BROD (7180)</v>
      </c>
      <c r="E305" s="12" t="s">
        <v>4377</v>
      </c>
      <c r="F305" s="12" t="s">
        <v>169</v>
      </c>
      <c r="G305" s="232">
        <v>3071332</v>
      </c>
      <c r="H305" s="16" t="s">
        <v>4378</v>
      </c>
      <c r="I305" s="209"/>
      <c r="J305" s="224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</row>
    <row r="306" spans="1:26" ht="15" customHeight="1">
      <c r="A306" s="230">
        <f t="shared" si="1"/>
        <v>303</v>
      </c>
      <c r="B306" s="231">
        <v>7114</v>
      </c>
      <c r="C306" s="221" t="s">
        <v>4379</v>
      </c>
      <c r="D306" s="221" t="str">
        <f t="shared" si="0"/>
        <v>CENTAR ZA PRUŽANJE USLUGA U ZAJEDNICI LIPIK (7114)</v>
      </c>
      <c r="E306" s="221" t="s">
        <v>4380</v>
      </c>
      <c r="F306" s="221" t="s">
        <v>4381</v>
      </c>
      <c r="G306" s="232">
        <v>3084981</v>
      </c>
      <c r="H306" s="16" t="s">
        <v>4382</v>
      </c>
      <c r="I306" s="209"/>
      <c r="J306" s="224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</row>
    <row r="307" spans="1:26" ht="15" customHeight="1">
      <c r="A307" s="230">
        <f t="shared" si="1"/>
        <v>304</v>
      </c>
      <c r="B307" s="231">
        <v>52305</v>
      </c>
      <c r="C307" s="221" t="s">
        <v>4383</v>
      </c>
      <c r="D307" s="221" t="str">
        <f t="shared" si="0"/>
        <v>CENTAR ZA PRUŽANJE USLUGA U ZAJEDNICI MOCIRE (52305)</v>
      </c>
      <c r="E307" s="221" t="s">
        <v>4384</v>
      </c>
      <c r="F307" s="221" t="s">
        <v>214</v>
      </c>
      <c r="G307" s="232">
        <v>5343020</v>
      </c>
      <c r="H307" s="16" t="s">
        <v>4385</v>
      </c>
      <c r="I307" s="209"/>
      <c r="J307" s="224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</row>
    <row r="308" spans="1:26" ht="15" customHeight="1">
      <c r="A308" s="230">
        <f t="shared" si="1"/>
        <v>305</v>
      </c>
      <c r="B308" s="231">
        <v>7761</v>
      </c>
      <c r="C308" s="221" t="s">
        <v>4386</v>
      </c>
      <c r="D308" s="221" t="str">
        <f t="shared" si="0"/>
        <v>CENTAR ZA PRUŽANJE USLUGA U ZAJEDNICI OSIJEK - JA KAO I TI (7761)</v>
      </c>
      <c r="E308" s="221" t="s">
        <v>4387</v>
      </c>
      <c r="F308" s="221" t="s">
        <v>43</v>
      </c>
      <c r="G308" s="232">
        <v>3014452</v>
      </c>
      <c r="H308" s="16" t="s">
        <v>4388</v>
      </c>
      <c r="I308" s="209"/>
      <c r="J308" s="224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</row>
    <row r="309" spans="1:26" ht="15" customHeight="1">
      <c r="A309" s="230">
        <f t="shared" si="1"/>
        <v>306</v>
      </c>
      <c r="B309" s="231">
        <v>7350</v>
      </c>
      <c r="C309" s="221" t="s">
        <v>4389</v>
      </c>
      <c r="D309" s="221" t="str">
        <f t="shared" si="0"/>
        <v>CENTAR ZA PRUŽANJE USLUGA U ZAJEDNICI OZALJ (7350)</v>
      </c>
      <c r="E309" s="221" t="s">
        <v>4390</v>
      </c>
      <c r="F309" s="221" t="s">
        <v>4391</v>
      </c>
      <c r="G309" s="232">
        <v>3187381</v>
      </c>
      <c r="H309" s="16" t="s">
        <v>4392</v>
      </c>
      <c r="I309" s="209"/>
      <c r="J309" s="224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</row>
    <row r="310" spans="1:26" ht="15" customHeight="1">
      <c r="A310" s="230">
        <f t="shared" si="1"/>
        <v>307</v>
      </c>
      <c r="B310" s="231">
        <v>7309</v>
      </c>
      <c r="C310" s="221" t="s">
        <v>4393</v>
      </c>
      <c r="D310" s="221" t="str">
        <f t="shared" si="0"/>
        <v>CENTAR ZA PRUŽANJE USLUGA U ZAJEDNICI SPLIT (7309)</v>
      </c>
      <c r="E310" s="221" t="s">
        <v>4394</v>
      </c>
      <c r="F310" s="221" t="s">
        <v>173</v>
      </c>
      <c r="G310" s="232">
        <v>3133745</v>
      </c>
      <c r="H310" s="16" t="s">
        <v>4395</v>
      </c>
      <c r="I310" s="209"/>
      <c r="J310" s="224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</row>
    <row r="311" spans="1:26" ht="15" customHeight="1">
      <c r="A311" s="230">
        <f t="shared" si="1"/>
        <v>308</v>
      </c>
      <c r="B311" s="231">
        <v>7106</v>
      </c>
      <c r="C311" s="221" t="s">
        <v>4396</v>
      </c>
      <c r="D311" s="221" t="str">
        <f t="shared" si="0"/>
        <v>CENTAR ZA PRUŽANJE USLUGA U ZAJEDNICI SVITANJE (7106)</v>
      </c>
      <c r="E311" s="221" t="s">
        <v>4397</v>
      </c>
      <c r="F311" s="221" t="s">
        <v>113</v>
      </c>
      <c r="G311" s="232">
        <v>3009971</v>
      </c>
      <c r="H311" s="16" t="s">
        <v>4398</v>
      </c>
      <c r="I311" s="209"/>
      <c r="J311" s="224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</row>
    <row r="312" spans="1:26" ht="15" customHeight="1">
      <c r="A312" s="230">
        <f t="shared" si="1"/>
        <v>309</v>
      </c>
      <c r="B312" s="231">
        <v>7091</v>
      </c>
      <c r="C312" s="221" t="s">
        <v>4399</v>
      </c>
      <c r="D312" s="221" t="str">
        <f t="shared" si="0"/>
        <v>CENTAR ZA PRUŽANJE USLUGA U ZAJEDNICI VLADIMIR NAZOR (7091)</v>
      </c>
      <c r="E312" s="221" t="s">
        <v>4400</v>
      </c>
      <c r="F312" s="221" t="s">
        <v>336</v>
      </c>
      <c r="G312" s="232">
        <v>3123464</v>
      </c>
      <c r="H312" s="16" t="s">
        <v>4401</v>
      </c>
      <c r="I312" s="209"/>
      <c r="J312" s="224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</row>
    <row r="313" spans="1:26" ht="15" customHeight="1">
      <c r="A313" s="230">
        <f t="shared" si="1"/>
        <v>310</v>
      </c>
      <c r="B313" s="231">
        <v>21801</v>
      </c>
      <c r="C313" s="221" t="s">
        <v>4402</v>
      </c>
      <c r="D313" s="221" t="str">
        <f t="shared" si="0"/>
        <v>CENTAR ZA REHABILITACIJU FRA ANTE SEKELEZ (21801)</v>
      </c>
      <c r="E313" s="221" t="s">
        <v>4403</v>
      </c>
      <c r="F313" s="221" t="s">
        <v>4404</v>
      </c>
      <c r="G313" s="232">
        <v>1284797</v>
      </c>
      <c r="H313" s="16" t="s">
        <v>4405</v>
      </c>
      <c r="I313" s="209"/>
      <c r="J313" s="224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</row>
    <row r="314" spans="1:26" ht="15" customHeight="1">
      <c r="A314" s="230">
        <f t="shared" si="1"/>
        <v>311</v>
      </c>
      <c r="B314" s="231">
        <v>21797</v>
      </c>
      <c r="C314" s="221" t="s">
        <v>4406</v>
      </c>
      <c r="D314" s="221" t="str">
        <f t="shared" si="0"/>
        <v>CENTAR ZA REHABILITACIJU JOSIPOVAC (21797)</v>
      </c>
      <c r="E314" s="221" t="s">
        <v>4407</v>
      </c>
      <c r="F314" s="221" t="s">
        <v>4408</v>
      </c>
      <c r="G314" s="232">
        <v>1151703</v>
      </c>
      <c r="H314" s="16" t="s">
        <v>4409</v>
      </c>
      <c r="I314" s="209"/>
      <c r="J314" s="224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</row>
    <row r="315" spans="1:26" ht="15.75" customHeight="1">
      <c r="A315" s="230">
        <f t="shared" si="1"/>
        <v>312</v>
      </c>
      <c r="B315" s="231">
        <v>45986</v>
      </c>
      <c r="C315" s="221" t="s">
        <v>4410</v>
      </c>
      <c r="D315" s="221" t="str">
        <f t="shared" si="0"/>
        <v>CENTAR ZA REHABILITACIJU KOMAREVO (45986)</v>
      </c>
      <c r="E315" s="221" t="s">
        <v>4411</v>
      </c>
      <c r="F315" s="221" t="s">
        <v>4412</v>
      </c>
      <c r="G315" s="232">
        <v>2506327</v>
      </c>
      <c r="H315" s="16" t="s">
        <v>4413</v>
      </c>
      <c r="I315" s="209"/>
      <c r="J315" s="224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</row>
    <row r="316" spans="1:26" ht="15" customHeight="1">
      <c r="A316" s="230">
        <f t="shared" si="1"/>
        <v>313</v>
      </c>
      <c r="B316" s="231">
        <v>26555</v>
      </c>
      <c r="C316" s="221" t="s">
        <v>4414</v>
      </c>
      <c r="D316" s="221" t="str">
        <f t="shared" si="0"/>
        <v>CENTAR ZA REHABILITACIJU MALA TEREZIJA (26555)</v>
      </c>
      <c r="E316" s="221" t="s">
        <v>4415</v>
      </c>
      <c r="F316" s="221" t="s">
        <v>4416</v>
      </c>
      <c r="G316" s="232">
        <v>1738925</v>
      </c>
      <c r="H316" s="16" t="s">
        <v>4417</v>
      </c>
      <c r="I316" s="209"/>
      <c r="J316" s="224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</row>
    <row r="317" spans="1:26" ht="15" customHeight="1">
      <c r="A317" s="230">
        <f t="shared" si="1"/>
        <v>314</v>
      </c>
      <c r="B317" s="231">
        <v>21810</v>
      </c>
      <c r="C317" s="221" t="s">
        <v>4418</v>
      </c>
      <c r="D317" s="221" t="str">
        <f t="shared" si="0"/>
        <v>CENTAR ZA REHABILITACIJU MIR (21810)</v>
      </c>
      <c r="E317" s="221" t="s">
        <v>4419</v>
      </c>
      <c r="F317" s="221" t="s">
        <v>4420</v>
      </c>
      <c r="G317" s="232">
        <v>1284789</v>
      </c>
      <c r="H317" s="16" t="s">
        <v>4421</v>
      </c>
      <c r="I317" s="209"/>
      <c r="J317" s="224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</row>
    <row r="318" spans="1:26" ht="15" customHeight="1">
      <c r="A318" s="230">
        <f t="shared" si="1"/>
        <v>315</v>
      </c>
      <c r="B318" s="231">
        <v>7430</v>
      </c>
      <c r="C318" s="221" t="s">
        <v>4422</v>
      </c>
      <c r="D318" s="221" t="str">
        <f t="shared" si="0"/>
        <v>CENTAR ZA REHABILITACIJU PULA  (7430)</v>
      </c>
      <c r="E318" s="221" t="s">
        <v>4423</v>
      </c>
      <c r="F318" s="221" t="s">
        <v>108</v>
      </c>
      <c r="G318" s="232">
        <v>3549496</v>
      </c>
      <c r="H318" s="16" t="s">
        <v>4424</v>
      </c>
      <c r="I318" s="209"/>
      <c r="J318" s="224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</row>
    <row r="319" spans="1:26" ht="15" customHeight="1">
      <c r="A319" s="230">
        <f t="shared" si="1"/>
        <v>316</v>
      </c>
      <c r="B319" s="231">
        <v>7384</v>
      </c>
      <c r="C319" s="221" t="s">
        <v>4425</v>
      </c>
      <c r="D319" s="221" t="str">
        <f t="shared" si="0"/>
        <v>CENTAR ZA REHABILITACIJU RIJEKA (7384)</v>
      </c>
      <c r="E319" s="221" t="s">
        <v>4426</v>
      </c>
      <c r="F319" s="221" t="s">
        <v>124</v>
      </c>
      <c r="G319" s="232">
        <v>3417778</v>
      </c>
      <c r="H319" s="16" t="s">
        <v>4427</v>
      </c>
      <c r="I319" s="209"/>
      <c r="J319" s="224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</row>
    <row r="320" spans="1:26" ht="15" customHeight="1">
      <c r="A320" s="230">
        <f t="shared" si="1"/>
        <v>317</v>
      </c>
      <c r="B320" s="231">
        <v>21789</v>
      </c>
      <c r="C320" s="221" t="s">
        <v>4428</v>
      </c>
      <c r="D320" s="221" t="str">
        <f t="shared" si="0"/>
        <v>CENTAR ZA REHABILITACIJU SAMARITANAC SPLIT (21789)</v>
      </c>
      <c r="E320" s="221" t="s">
        <v>4429</v>
      </c>
      <c r="F320" s="221" t="s">
        <v>173</v>
      </c>
      <c r="G320" s="232">
        <v>1140370</v>
      </c>
      <c r="H320" s="16" t="s">
        <v>4430</v>
      </c>
      <c r="I320" s="209"/>
      <c r="J320" s="224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</row>
    <row r="321" spans="1:26" ht="15" customHeight="1">
      <c r="A321" s="230">
        <f t="shared" si="1"/>
        <v>318</v>
      </c>
      <c r="B321" s="231">
        <v>7413</v>
      </c>
      <c r="C321" s="221" t="s">
        <v>4431</v>
      </c>
      <c r="D321" s="221" t="str">
        <f t="shared" si="0"/>
        <v>CENTAR ZA REHABILITACIJU STANČIĆ (7413)</v>
      </c>
      <c r="E321" s="221" t="s">
        <v>4432</v>
      </c>
      <c r="F321" s="221" t="s">
        <v>4433</v>
      </c>
      <c r="G321" s="232">
        <v>3348431</v>
      </c>
      <c r="H321" s="16" t="s">
        <v>4434</v>
      </c>
      <c r="I321" s="209"/>
      <c r="J321" s="224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</row>
    <row r="322" spans="1:26" ht="15" customHeight="1">
      <c r="A322" s="230">
        <f t="shared" si="1"/>
        <v>319</v>
      </c>
      <c r="B322" s="231">
        <v>7341</v>
      </c>
      <c r="C322" s="221" t="s">
        <v>4435</v>
      </c>
      <c r="D322" s="221" t="str">
        <f t="shared" si="0"/>
        <v>CENTAR ZA REHABILITACIJU SVETI FILIP I JAKOV (7341)</v>
      </c>
      <c r="E322" s="221" t="s">
        <v>4436</v>
      </c>
      <c r="F322" s="221" t="s">
        <v>4437</v>
      </c>
      <c r="G322" s="232">
        <v>3334392</v>
      </c>
      <c r="H322" s="16" t="s">
        <v>4438</v>
      </c>
      <c r="I322" s="209"/>
      <c r="J322" s="224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</row>
    <row r="323" spans="1:26" ht="15" customHeight="1">
      <c r="A323" s="230">
        <f t="shared" si="1"/>
        <v>320</v>
      </c>
      <c r="B323" s="231">
        <v>7464</v>
      </c>
      <c r="C323" s="221" t="s">
        <v>4439</v>
      </c>
      <c r="D323" s="221" t="str">
        <f t="shared" si="0"/>
        <v>CENTAR ZA REHABILITACIJU ZAGREB (7464)</v>
      </c>
      <c r="E323" s="221" t="s">
        <v>4440</v>
      </c>
      <c r="F323" s="221" t="s">
        <v>23</v>
      </c>
      <c r="G323" s="232">
        <v>3256251</v>
      </c>
      <c r="H323" s="16" t="s">
        <v>4441</v>
      </c>
      <c r="I323" s="209"/>
      <c r="J323" s="224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</row>
    <row r="324" spans="1:26" ht="15" customHeight="1">
      <c r="A324" s="230">
        <f t="shared" si="1"/>
        <v>321</v>
      </c>
      <c r="B324" s="231">
        <v>6187</v>
      </c>
      <c r="C324" s="221" t="s">
        <v>4442</v>
      </c>
      <c r="D324" s="221" t="str">
        <f t="shared" si="0"/>
        <v>CENTAR ZA SOCIJALNU SKRB BELI MANASTIR (6187)</v>
      </c>
      <c r="E324" s="221" t="s">
        <v>4443</v>
      </c>
      <c r="F324" s="221" t="s">
        <v>4444</v>
      </c>
      <c r="G324" s="232">
        <v>2872692</v>
      </c>
      <c r="H324" s="16" t="s">
        <v>4445</v>
      </c>
      <c r="I324" s="209"/>
      <c r="J324" s="224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</row>
    <row r="325" spans="1:26" ht="15" customHeight="1">
      <c r="A325" s="230">
        <f t="shared" si="1"/>
        <v>322</v>
      </c>
      <c r="B325" s="231">
        <v>6195</v>
      </c>
      <c r="C325" s="221" t="s">
        <v>4446</v>
      </c>
      <c r="D325" s="221" t="str">
        <f t="shared" si="0"/>
        <v>CENTAR ZA SOCIJALNU SKRB BENKOVAC (6195)</v>
      </c>
      <c r="E325" s="221" t="s">
        <v>4447</v>
      </c>
      <c r="F325" s="221" t="s">
        <v>4448</v>
      </c>
      <c r="G325" s="232">
        <v>2884321</v>
      </c>
      <c r="H325" s="16" t="s">
        <v>4449</v>
      </c>
      <c r="I325" s="209"/>
      <c r="J325" s="224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</row>
    <row r="326" spans="1:26" ht="15" customHeight="1">
      <c r="A326" s="230">
        <f t="shared" si="1"/>
        <v>323</v>
      </c>
      <c r="B326" s="231">
        <v>6200</v>
      </c>
      <c r="C326" s="221" t="s">
        <v>4450</v>
      </c>
      <c r="D326" s="221" t="str">
        <f t="shared" si="0"/>
        <v>CENTAR ZA SOCIJALNU SKRB BIOGRAD NA MORU  (6200)</v>
      </c>
      <c r="E326" s="221" t="s">
        <v>4451</v>
      </c>
      <c r="F326" s="221" t="s">
        <v>4452</v>
      </c>
      <c r="G326" s="232">
        <v>2884330</v>
      </c>
      <c r="H326" s="16" t="s">
        <v>4453</v>
      </c>
      <c r="I326" s="209"/>
      <c r="J326" s="224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</row>
    <row r="327" spans="1:26" ht="15" customHeight="1">
      <c r="A327" s="230">
        <f t="shared" si="1"/>
        <v>324</v>
      </c>
      <c r="B327" s="231">
        <v>6218</v>
      </c>
      <c r="C327" s="221" t="s">
        <v>4454</v>
      </c>
      <c r="D327" s="221" t="str">
        <f t="shared" si="0"/>
        <v>CENTAR ZA SOCIJALNU SKRB BJELOVAR (6218)</v>
      </c>
      <c r="E327" s="221" t="s">
        <v>4455</v>
      </c>
      <c r="F327" s="221" t="s">
        <v>3944</v>
      </c>
      <c r="G327" s="232">
        <v>2873761</v>
      </c>
      <c r="H327" s="16" t="s">
        <v>4456</v>
      </c>
      <c r="I327" s="209"/>
      <c r="J327" s="224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</row>
    <row r="328" spans="1:26" ht="15" customHeight="1">
      <c r="A328" s="230">
        <f t="shared" si="1"/>
        <v>325</v>
      </c>
      <c r="B328" s="231">
        <v>6226</v>
      </c>
      <c r="C328" s="221" t="s">
        <v>4457</v>
      </c>
      <c r="D328" s="221" t="str">
        <f t="shared" si="0"/>
        <v>CENTAR ZA SOCIJALNU SKRB BRAČ - SUPETAR (6226)</v>
      </c>
      <c r="E328" s="221" t="s">
        <v>4458</v>
      </c>
      <c r="F328" s="221" t="s">
        <v>4459</v>
      </c>
      <c r="G328" s="232">
        <v>2882736</v>
      </c>
      <c r="H328" s="16" t="s">
        <v>4460</v>
      </c>
      <c r="I328" s="209"/>
      <c r="J328" s="224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</row>
    <row r="329" spans="1:26" ht="15" customHeight="1">
      <c r="A329" s="230">
        <f t="shared" si="1"/>
        <v>326</v>
      </c>
      <c r="B329" s="231">
        <v>6234</v>
      </c>
      <c r="C329" s="221" t="s">
        <v>4461</v>
      </c>
      <c r="D329" s="221" t="str">
        <f t="shared" si="0"/>
        <v>CENTAR ZA SOCIJALNU SKRB BUJE, CENTRO DI ASSISTENZA SOCIALE DI BUIE (6234)</v>
      </c>
      <c r="E329" s="221" t="s">
        <v>4462</v>
      </c>
      <c r="F329" s="221" t="s">
        <v>4463</v>
      </c>
      <c r="G329" s="232">
        <v>2883341</v>
      </c>
      <c r="H329" s="16" t="s">
        <v>4464</v>
      </c>
      <c r="I329" s="209"/>
      <c r="J329" s="224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</row>
    <row r="330" spans="1:26" ht="15" customHeight="1">
      <c r="A330" s="230">
        <f t="shared" si="1"/>
        <v>327</v>
      </c>
      <c r="B330" s="231">
        <v>6541</v>
      </c>
      <c r="C330" s="221" t="s">
        <v>4465</v>
      </c>
      <c r="D330" s="221" t="str">
        <f t="shared" si="0"/>
        <v>CENTAR ZA SOCIJALNU SKRB CRES-LOŠINJ (6541)</v>
      </c>
      <c r="E330" s="221" t="s">
        <v>4466</v>
      </c>
      <c r="F330" s="221" t="s">
        <v>4467</v>
      </c>
      <c r="G330" s="232">
        <v>2883708</v>
      </c>
      <c r="H330" s="16" t="s">
        <v>4468</v>
      </c>
      <c r="I330" s="209"/>
      <c r="J330" s="224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</row>
    <row r="331" spans="1:26" ht="15" customHeight="1">
      <c r="A331" s="230">
        <f t="shared" si="1"/>
        <v>328</v>
      </c>
      <c r="B331" s="231">
        <v>6242</v>
      </c>
      <c r="C331" s="221" t="s">
        <v>4469</v>
      </c>
      <c r="D331" s="221" t="str">
        <f t="shared" si="0"/>
        <v>CENTAR ZA SOCIJALNU SKRB CRIKVENICA (6242)</v>
      </c>
      <c r="E331" s="221" t="s">
        <v>4470</v>
      </c>
      <c r="F331" s="221" t="s">
        <v>4471</v>
      </c>
      <c r="G331" s="232">
        <v>2883694</v>
      </c>
      <c r="H331" s="16" t="s">
        <v>4472</v>
      </c>
      <c r="I331" s="209"/>
      <c r="J331" s="224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</row>
    <row r="332" spans="1:26" ht="15" customHeight="1">
      <c r="A332" s="230">
        <f t="shared" si="1"/>
        <v>329</v>
      </c>
      <c r="B332" s="231">
        <v>6259</v>
      </c>
      <c r="C332" s="221" t="s">
        <v>4473</v>
      </c>
      <c r="D332" s="221" t="str">
        <f t="shared" si="0"/>
        <v>CENTAR ZA SOCIJALNU SKRB ČAKOVEC  (6259)</v>
      </c>
      <c r="E332" s="221" t="s">
        <v>4474</v>
      </c>
      <c r="F332" s="221" t="s">
        <v>38</v>
      </c>
      <c r="G332" s="232">
        <v>2874687</v>
      </c>
      <c r="H332" s="16" t="s">
        <v>4475</v>
      </c>
      <c r="I332" s="209"/>
      <c r="J332" s="224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</row>
    <row r="333" spans="1:26" ht="15" customHeight="1">
      <c r="A333" s="230">
        <f t="shared" si="1"/>
        <v>330</v>
      </c>
      <c r="B333" s="231">
        <v>6267</v>
      </c>
      <c r="C333" s="221" t="s">
        <v>4476</v>
      </c>
      <c r="D333" s="221" t="str">
        <f t="shared" si="0"/>
        <v>CENTAR ZA SOCIJALNU SKRB ČAZMA  (6267)</v>
      </c>
      <c r="E333" s="221" t="s">
        <v>4477</v>
      </c>
      <c r="F333" s="221" t="s">
        <v>4478</v>
      </c>
      <c r="G333" s="232">
        <v>2873788</v>
      </c>
      <c r="H333" s="16" t="s">
        <v>4479</v>
      </c>
      <c r="I333" s="209"/>
      <c r="J333" s="224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</row>
    <row r="334" spans="1:26" ht="15" customHeight="1">
      <c r="A334" s="230">
        <f t="shared" si="1"/>
        <v>331</v>
      </c>
      <c r="B334" s="231">
        <v>6275</v>
      </c>
      <c r="C334" s="221" t="s">
        <v>4480</v>
      </c>
      <c r="D334" s="221" t="str">
        <f t="shared" si="0"/>
        <v>CENTAR ZA SOCIJALNU SKRB DARUVAR  (6275)</v>
      </c>
      <c r="E334" s="221" t="s">
        <v>4481</v>
      </c>
      <c r="F334" s="221" t="s">
        <v>4332</v>
      </c>
      <c r="G334" s="232">
        <v>2873796</v>
      </c>
      <c r="H334" s="16" t="s">
        <v>4482</v>
      </c>
      <c r="I334" s="209"/>
      <c r="J334" s="224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</row>
    <row r="335" spans="1:26" ht="15" customHeight="1">
      <c r="A335" s="230">
        <f t="shared" si="1"/>
        <v>332</v>
      </c>
      <c r="B335" s="231">
        <v>6291</v>
      </c>
      <c r="C335" s="221" t="s">
        <v>4483</v>
      </c>
      <c r="D335" s="221" t="str">
        <f t="shared" si="0"/>
        <v>CENTAR ZA SOCIJALNU SKRB DONJA STUBICA  (6291)</v>
      </c>
      <c r="E335" s="221" t="s">
        <v>4484</v>
      </c>
      <c r="F335" s="221" t="s">
        <v>4485</v>
      </c>
      <c r="G335" s="232">
        <v>2877457</v>
      </c>
      <c r="H335" s="16" t="s">
        <v>4486</v>
      </c>
      <c r="I335" s="209"/>
      <c r="J335" s="224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</row>
    <row r="336" spans="1:26" ht="15" customHeight="1">
      <c r="A336" s="230">
        <f t="shared" si="1"/>
        <v>333</v>
      </c>
      <c r="B336" s="231">
        <v>6306</v>
      </c>
      <c r="C336" s="221" t="s">
        <v>4487</v>
      </c>
      <c r="D336" s="221" t="str">
        <f t="shared" si="0"/>
        <v>CENTAR ZA SOCIJALNU SKRB DONJI MIHOLJAC (6306)</v>
      </c>
      <c r="E336" s="221" t="s">
        <v>4488</v>
      </c>
      <c r="F336" s="221" t="s">
        <v>4489</v>
      </c>
      <c r="G336" s="232">
        <v>2872722</v>
      </c>
      <c r="H336" s="16" t="s">
        <v>4490</v>
      </c>
      <c r="I336" s="209"/>
      <c r="J336" s="224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</row>
    <row r="337" spans="1:26" ht="15" customHeight="1">
      <c r="A337" s="230">
        <f t="shared" si="1"/>
        <v>334</v>
      </c>
      <c r="B337" s="231">
        <v>21692</v>
      </c>
      <c r="C337" s="221" t="s">
        <v>4491</v>
      </c>
      <c r="D337" s="221" t="str">
        <f t="shared" si="0"/>
        <v>CENTAR ZA SOCIJALNU SKRB DRNIŠ (21692)</v>
      </c>
      <c r="E337" s="221" t="s">
        <v>4492</v>
      </c>
      <c r="F337" s="221" t="s">
        <v>4493</v>
      </c>
      <c r="G337" s="232">
        <v>2882027</v>
      </c>
      <c r="H337" s="16" t="s">
        <v>4494</v>
      </c>
      <c r="I337" s="209"/>
      <c r="J337" s="224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</row>
    <row r="338" spans="1:26" ht="15" customHeight="1">
      <c r="A338" s="230">
        <f t="shared" si="1"/>
        <v>335</v>
      </c>
      <c r="B338" s="231">
        <v>6314</v>
      </c>
      <c r="C338" s="221" t="s">
        <v>4495</v>
      </c>
      <c r="D338" s="221" t="str">
        <f t="shared" si="0"/>
        <v>CENTAR ZA SOCIJALNU SKRB DUBROVNIK (6314)</v>
      </c>
      <c r="E338" s="221" t="s">
        <v>4496</v>
      </c>
      <c r="F338" s="221" t="s">
        <v>118</v>
      </c>
      <c r="G338" s="232">
        <v>2882302</v>
      </c>
      <c r="H338" s="16" t="s">
        <v>4497</v>
      </c>
      <c r="I338" s="209"/>
      <c r="J338" s="224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</row>
    <row r="339" spans="1:26" ht="15" customHeight="1">
      <c r="A339" s="230">
        <f t="shared" si="1"/>
        <v>336</v>
      </c>
      <c r="B339" s="231">
        <v>6322</v>
      </c>
      <c r="C339" s="221" t="s">
        <v>4498</v>
      </c>
      <c r="D339" s="221" t="str">
        <f t="shared" si="0"/>
        <v>CENTAR ZA SOCIJALNU SKRB DUGA RESA (6322)</v>
      </c>
      <c r="E339" s="221" t="s">
        <v>4499</v>
      </c>
      <c r="F339" s="221" t="s">
        <v>4500</v>
      </c>
      <c r="G339" s="232">
        <v>2883015</v>
      </c>
      <c r="H339" s="16" t="s">
        <v>4501</v>
      </c>
      <c r="I339" s="209"/>
      <c r="J339" s="224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</row>
    <row r="340" spans="1:26" ht="15" customHeight="1">
      <c r="A340" s="230">
        <f t="shared" si="1"/>
        <v>337</v>
      </c>
      <c r="B340" s="231">
        <v>6339</v>
      </c>
      <c r="C340" s="221" t="s">
        <v>4502</v>
      </c>
      <c r="D340" s="221" t="str">
        <f t="shared" si="0"/>
        <v>CENTAR ZA SOCIJALNU SKRB DUGO SELO (6339)</v>
      </c>
      <c r="E340" s="221" t="s">
        <v>4503</v>
      </c>
      <c r="F340" s="221" t="s">
        <v>4504</v>
      </c>
      <c r="G340" s="232">
        <v>2873125</v>
      </c>
      <c r="H340" s="16" t="s">
        <v>4505</v>
      </c>
      <c r="I340" s="209"/>
      <c r="J340" s="224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</row>
    <row r="341" spans="1:26" ht="15" customHeight="1">
      <c r="A341" s="230">
        <f t="shared" si="1"/>
        <v>338</v>
      </c>
      <c r="B341" s="231">
        <v>6347</v>
      </c>
      <c r="C341" s="221" t="s">
        <v>4506</v>
      </c>
      <c r="D341" s="221" t="str">
        <f t="shared" si="0"/>
        <v>CENTAR ZA SOCIJALNU SKRB ĐAKOVO (6347)</v>
      </c>
      <c r="E341" s="221" t="s">
        <v>4507</v>
      </c>
      <c r="F341" s="221" t="s">
        <v>85</v>
      </c>
      <c r="G341" s="232">
        <v>2872706</v>
      </c>
      <c r="H341" s="16" t="s">
        <v>4508</v>
      </c>
      <c r="I341" s="209"/>
      <c r="J341" s="224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</row>
    <row r="342" spans="1:26" ht="15" customHeight="1">
      <c r="A342" s="230">
        <f t="shared" si="1"/>
        <v>339</v>
      </c>
      <c r="B342" s="231">
        <v>6355</v>
      </c>
      <c r="C342" s="221" t="s">
        <v>4509</v>
      </c>
      <c r="D342" s="221" t="str">
        <f t="shared" si="0"/>
        <v>CENTAR ZA SOCIJALNU SKRB ĐURĐEVAC (6355)</v>
      </c>
      <c r="E342" s="221" t="s">
        <v>4510</v>
      </c>
      <c r="F342" s="221" t="s">
        <v>4511</v>
      </c>
      <c r="G342" s="232">
        <v>2873397</v>
      </c>
      <c r="H342" s="16" t="s">
        <v>4512</v>
      </c>
      <c r="I342" s="209"/>
      <c r="J342" s="224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</row>
    <row r="343" spans="1:26" ht="15" customHeight="1">
      <c r="A343" s="230">
        <f t="shared" si="1"/>
        <v>340</v>
      </c>
      <c r="B343" s="231">
        <v>6363</v>
      </c>
      <c r="C343" s="221" t="s">
        <v>4513</v>
      </c>
      <c r="D343" s="221" t="str">
        <f t="shared" si="0"/>
        <v>CENTAR ZA SOCIJALNU SKRB GAREŠNICA  (6363)</v>
      </c>
      <c r="E343" s="221" t="s">
        <v>4514</v>
      </c>
      <c r="F343" s="221" t="s">
        <v>4515</v>
      </c>
      <c r="G343" s="232">
        <v>2873770</v>
      </c>
      <c r="H343" s="16" t="s">
        <v>4516</v>
      </c>
      <c r="I343" s="209"/>
      <c r="J343" s="224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</row>
    <row r="344" spans="1:26" ht="15" customHeight="1">
      <c r="A344" s="230">
        <f t="shared" si="1"/>
        <v>341</v>
      </c>
      <c r="B344" s="231">
        <v>21713</v>
      </c>
      <c r="C344" s="221" t="s">
        <v>4517</v>
      </c>
      <c r="D344" s="221" t="str">
        <f t="shared" si="0"/>
        <v>CENTAR ZA SOCIJALNU SKRB GLINA (21713)</v>
      </c>
      <c r="E344" s="221" t="s">
        <v>4518</v>
      </c>
      <c r="F344" s="221" t="s">
        <v>4519</v>
      </c>
      <c r="G344" s="232">
        <v>2883295</v>
      </c>
      <c r="H344" s="16" t="s">
        <v>4520</v>
      </c>
      <c r="I344" s="209"/>
      <c r="J344" s="224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</row>
    <row r="345" spans="1:26" ht="15" customHeight="1">
      <c r="A345" s="230">
        <f t="shared" si="1"/>
        <v>342</v>
      </c>
      <c r="B345" s="231">
        <v>6371</v>
      </c>
      <c r="C345" s="221" t="s">
        <v>4521</v>
      </c>
      <c r="D345" s="221" t="str">
        <f t="shared" si="0"/>
        <v>CENTAR ZA SOCIJALNU SKRB GOSPIĆ (6371)</v>
      </c>
      <c r="E345" s="221" t="s">
        <v>4522</v>
      </c>
      <c r="F345" s="221" t="s">
        <v>332</v>
      </c>
      <c r="G345" s="232">
        <v>2883643</v>
      </c>
      <c r="H345" s="16" t="s">
        <v>4523</v>
      </c>
      <c r="I345" s="209"/>
      <c r="J345" s="224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</row>
    <row r="346" spans="1:26" ht="15" customHeight="1">
      <c r="A346" s="230">
        <f t="shared" si="1"/>
        <v>343</v>
      </c>
      <c r="B346" s="231">
        <v>50032</v>
      </c>
      <c r="C346" s="221" t="s">
        <v>4524</v>
      </c>
      <c r="D346" s="221" t="str">
        <f t="shared" si="0"/>
        <v>CENTAR ZA SOCIJALNU SKRB GRUBIŠNO POLJE (50032)</v>
      </c>
      <c r="E346" s="221" t="s">
        <v>4525</v>
      </c>
      <c r="F346" s="221" t="s">
        <v>4526</v>
      </c>
      <c r="G346" s="232">
        <v>4840836</v>
      </c>
      <c r="H346" s="16" t="s">
        <v>4527</v>
      </c>
      <c r="I346" s="209"/>
      <c r="J346" s="224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</row>
    <row r="347" spans="1:26" ht="15.75" customHeight="1">
      <c r="A347" s="230">
        <f t="shared" si="1"/>
        <v>344</v>
      </c>
      <c r="B347" s="231">
        <v>21748</v>
      </c>
      <c r="C347" s="221" t="s">
        <v>4528</v>
      </c>
      <c r="D347" s="221" t="str">
        <f t="shared" si="0"/>
        <v>CENTAR ZA SOCIJALNU SKRB HRVATSKA KOSTAJNICA (21748)</v>
      </c>
      <c r="E347" s="221" t="s">
        <v>4529</v>
      </c>
      <c r="F347" s="221" t="s">
        <v>4530</v>
      </c>
      <c r="G347" s="232">
        <v>2883287</v>
      </c>
      <c r="H347" s="16" t="s">
        <v>4531</v>
      </c>
      <c r="I347" s="209"/>
      <c r="J347" s="224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</row>
    <row r="348" spans="1:26" ht="15" customHeight="1">
      <c r="A348" s="230">
        <f t="shared" si="1"/>
        <v>345</v>
      </c>
      <c r="B348" s="231">
        <v>6398</v>
      </c>
      <c r="C348" s="221" t="s">
        <v>4532</v>
      </c>
      <c r="D348" s="221" t="str">
        <f t="shared" si="0"/>
        <v>CENTAR ZA SOCIJALNU SKRB IMOTSKI (6398)</v>
      </c>
      <c r="E348" s="221" t="s">
        <v>4533</v>
      </c>
      <c r="F348" s="221" t="s">
        <v>4534</v>
      </c>
      <c r="G348" s="232">
        <v>2882698</v>
      </c>
      <c r="H348" s="16" t="s">
        <v>4535</v>
      </c>
      <c r="I348" s="209"/>
      <c r="J348" s="224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</row>
    <row r="349" spans="1:26" ht="15" customHeight="1">
      <c r="A349" s="230">
        <f t="shared" si="1"/>
        <v>346</v>
      </c>
      <c r="B349" s="231">
        <v>6402</v>
      </c>
      <c r="C349" s="221" t="s">
        <v>4536</v>
      </c>
      <c r="D349" s="221" t="str">
        <f t="shared" si="0"/>
        <v>CENTAR ZA SOCIJALNU SKRB IVANEC (6402)</v>
      </c>
      <c r="E349" s="221" t="s">
        <v>4537</v>
      </c>
      <c r="F349" s="221" t="s">
        <v>4538</v>
      </c>
      <c r="G349" s="232">
        <v>2872641</v>
      </c>
      <c r="H349" s="16" t="s">
        <v>4539</v>
      </c>
      <c r="I349" s="209"/>
      <c r="J349" s="224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</row>
    <row r="350" spans="1:26" ht="15" customHeight="1">
      <c r="A350" s="230">
        <f t="shared" si="1"/>
        <v>347</v>
      </c>
      <c r="B350" s="231">
        <v>6419</v>
      </c>
      <c r="C350" s="221" t="s">
        <v>4540</v>
      </c>
      <c r="D350" s="221" t="str">
        <f t="shared" si="0"/>
        <v>CENTAR ZA SOCIJALNU SKRB IVANIĆ GRAD (6419)</v>
      </c>
      <c r="E350" s="221" t="s">
        <v>4541</v>
      </c>
      <c r="F350" s="221" t="s">
        <v>4542</v>
      </c>
      <c r="G350" s="232">
        <v>2873079</v>
      </c>
      <c r="H350" s="16" t="s">
        <v>4543</v>
      </c>
      <c r="I350" s="209"/>
      <c r="J350" s="224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</row>
    <row r="351" spans="1:26" ht="15" customHeight="1">
      <c r="A351" s="230">
        <f t="shared" si="1"/>
        <v>348</v>
      </c>
      <c r="B351" s="231">
        <v>6427</v>
      </c>
      <c r="C351" s="221" t="s">
        <v>4544</v>
      </c>
      <c r="D351" s="221" t="str">
        <f t="shared" si="0"/>
        <v>CENTAR ZA SOCIJALNU SKRB JASTREBARSKO (6427)</v>
      </c>
      <c r="E351" s="221" t="s">
        <v>4545</v>
      </c>
      <c r="F351" s="221" t="s">
        <v>369</v>
      </c>
      <c r="G351" s="232">
        <v>2873087</v>
      </c>
      <c r="H351" s="16" t="s">
        <v>4546</v>
      </c>
      <c r="I351" s="209"/>
      <c r="J351" s="224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</row>
    <row r="352" spans="1:26" ht="15" customHeight="1">
      <c r="A352" s="230">
        <f t="shared" si="1"/>
        <v>349</v>
      </c>
      <c r="B352" s="231">
        <v>6435</v>
      </c>
      <c r="C352" s="221" t="s">
        <v>4547</v>
      </c>
      <c r="D352" s="221" t="str">
        <f t="shared" si="0"/>
        <v>CENTAR ZA SOCIJALNU SKRB KARLOVAC (6435)</v>
      </c>
      <c r="E352" s="221" t="s">
        <v>4548</v>
      </c>
      <c r="F352" s="221" t="s">
        <v>336</v>
      </c>
      <c r="G352" s="232">
        <v>2882981</v>
      </c>
      <c r="H352" s="16" t="s">
        <v>4549</v>
      </c>
      <c r="I352" s="209"/>
      <c r="J352" s="224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</row>
    <row r="353" spans="1:26" ht="15" customHeight="1">
      <c r="A353" s="230">
        <f t="shared" si="1"/>
        <v>350</v>
      </c>
      <c r="B353" s="231">
        <v>21730</v>
      </c>
      <c r="C353" s="221" t="s">
        <v>4550</v>
      </c>
      <c r="D353" s="221" t="str">
        <f t="shared" si="0"/>
        <v>CENTAR ZA SOCIJALNU SKRB KNIN (21730)</v>
      </c>
      <c r="E353" s="221" t="s">
        <v>4551</v>
      </c>
      <c r="F353" s="221" t="s">
        <v>328</v>
      </c>
      <c r="G353" s="232">
        <v>2882035</v>
      </c>
      <c r="H353" s="16" t="s">
        <v>4552</v>
      </c>
      <c r="I353" s="209"/>
      <c r="J353" s="224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</row>
    <row r="354" spans="1:26" ht="15" customHeight="1">
      <c r="A354" s="230">
        <f t="shared" si="1"/>
        <v>351</v>
      </c>
      <c r="B354" s="231">
        <v>6451</v>
      </c>
      <c r="C354" s="221" t="s">
        <v>4553</v>
      </c>
      <c r="D354" s="221" t="str">
        <f t="shared" si="0"/>
        <v>CENTAR ZA SOCIJALNU SKRB KOPRIVNICA (6451)</v>
      </c>
      <c r="E354" s="221" t="s">
        <v>4554</v>
      </c>
      <c r="F354" s="221" t="s">
        <v>113</v>
      </c>
      <c r="G354" s="232">
        <v>2873290</v>
      </c>
      <c r="H354" s="16" t="s">
        <v>4555</v>
      </c>
      <c r="I354" s="209"/>
      <c r="J354" s="224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</row>
    <row r="355" spans="1:26" ht="15" customHeight="1">
      <c r="A355" s="230">
        <f t="shared" si="1"/>
        <v>352</v>
      </c>
      <c r="B355" s="231">
        <v>6460</v>
      </c>
      <c r="C355" s="221" t="s">
        <v>4556</v>
      </c>
      <c r="D355" s="221" t="str">
        <f t="shared" si="0"/>
        <v>CENTAR ZA SOCIJALNU SKRB KORČULA (6460)</v>
      </c>
      <c r="E355" s="221" t="s">
        <v>4557</v>
      </c>
      <c r="F355" s="221" t="s">
        <v>4558</v>
      </c>
      <c r="G355" s="232">
        <v>2882329</v>
      </c>
      <c r="H355" s="16" t="s">
        <v>4559</v>
      </c>
      <c r="I355" s="209"/>
      <c r="J355" s="224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</row>
    <row r="356" spans="1:26" ht="15" customHeight="1">
      <c r="A356" s="230">
        <f t="shared" si="1"/>
        <v>353</v>
      </c>
      <c r="B356" s="231">
        <v>6478</v>
      </c>
      <c r="C356" s="221" t="s">
        <v>4560</v>
      </c>
      <c r="D356" s="221" t="str">
        <f t="shared" si="0"/>
        <v>CENTAR ZA SOCIJALNU SKRB KRAPINA (6478)</v>
      </c>
      <c r="E356" s="221" t="s">
        <v>4561</v>
      </c>
      <c r="F356" s="221" t="s">
        <v>320</v>
      </c>
      <c r="G356" s="232">
        <v>2877465</v>
      </c>
      <c r="H356" s="16" t="s">
        <v>4562</v>
      </c>
      <c r="I356" s="209"/>
      <c r="J356" s="224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</row>
    <row r="357" spans="1:26" ht="15" customHeight="1">
      <c r="A357" s="230">
        <f t="shared" si="1"/>
        <v>354</v>
      </c>
      <c r="B357" s="231">
        <v>6486</v>
      </c>
      <c r="C357" s="221" t="s">
        <v>4563</v>
      </c>
      <c r="D357" s="221" t="str">
        <f t="shared" si="0"/>
        <v>CENTAR ZA SOCIJALNU SKRB KRIŽEVCI (6486)</v>
      </c>
      <c r="E357" s="221" t="s">
        <v>4564</v>
      </c>
      <c r="F357" s="221" t="s">
        <v>351</v>
      </c>
      <c r="G357" s="232">
        <v>2873281</v>
      </c>
      <c r="H357" s="16" t="s">
        <v>4565</v>
      </c>
      <c r="I357" s="209"/>
      <c r="J357" s="224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</row>
    <row r="358" spans="1:26" ht="15" customHeight="1">
      <c r="A358" s="230">
        <f t="shared" si="1"/>
        <v>355</v>
      </c>
      <c r="B358" s="231">
        <v>6494</v>
      </c>
      <c r="C358" s="221" t="s">
        <v>4566</v>
      </c>
      <c r="D358" s="221" t="str">
        <f t="shared" si="0"/>
        <v>CENTAR ZA SOCIJALNU SKRB KRK (6494)</v>
      </c>
      <c r="E358" s="221" t="s">
        <v>4567</v>
      </c>
      <c r="F358" s="221" t="s">
        <v>4568</v>
      </c>
      <c r="G358" s="232">
        <v>2883724</v>
      </c>
      <c r="H358" s="16" t="s">
        <v>4569</v>
      </c>
      <c r="I358" s="209"/>
      <c r="J358" s="224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</row>
    <row r="359" spans="1:26" ht="15" customHeight="1">
      <c r="A359" s="230">
        <f t="shared" si="1"/>
        <v>356</v>
      </c>
      <c r="B359" s="231">
        <v>6509</v>
      </c>
      <c r="C359" s="221" t="s">
        <v>4570</v>
      </c>
      <c r="D359" s="221" t="str">
        <f t="shared" si="0"/>
        <v>CENTAR ZA SOCIJALNU SKRB KUTINA (6509)</v>
      </c>
      <c r="E359" s="221" t="s">
        <v>4571</v>
      </c>
      <c r="F359" s="221" t="s">
        <v>4572</v>
      </c>
      <c r="G359" s="232">
        <v>2883252</v>
      </c>
      <c r="H359" s="16" t="s">
        <v>4573</v>
      </c>
      <c r="I359" s="209"/>
      <c r="J359" s="224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</row>
    <row r="360" spans="1:26" ht="15" customHeight="1">
      <c r="A360" s="230">
        <f t="shared" si="1"/>
        <v>357</v>
      </c>
      <c r="B360" s="231">
        <v>6517</v>
      </c>
      <c r="C360" s="221" t="s">
        <v>4574</v>
      </c>
      <c r="D360" s="221" t="str">
        <f t="shared" si="0"/>
        <v>CENTAR ZA SOCIJALNU SKRB LABIN (6517)</v>
      </c>
      <c r="E360" s="221" t="s">
        <v>4575</v>
      </c>
      <c r="F360" s="221" t="s">
        <v>4576</v>
      </c>
      <c r="G360" s="232">
        <v>2883368</v>
      </c>
      <c r="H360" s="16" t="s">
        <v>4577</v>
      </c>
      <c r="I360" s="209"/>
      <c r="J360" s="224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</row>
    <row r="361" spans="1:26" ht="15" customHeight="1">
      <c r="A361" s="230">
        <f t="shared" si="1"/>
        <v>358</v>
      </c>
      <c r="B361" s="231">
        <v>6525</v>
      </c>
      <c r="C361" s="221" t="s">
        <v>4578</v>
      </c>
      <c r="D361" s="221" t="str">
        <f t="shared" si="0"/>
        <v>CENTAR ZA SOCIJALNU SKRB LUDBREG (6525)</v>
      </c>
      <c r="E361" s="221" t="s">
        <v>4579</v>
      </c>
      <c r="F361" s="221" t="s">
        <v>4580</v>
      </c>
      <c r="G361" s="232">
        <v>2872633</v>
      </c>
      <c r="H361" s="16" t="s">
        <v>4581</v>
      </c>
      <c r="I361" s="209"/>
      <c r="J361" s="224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</row>
    <row r="362" spans="1:26" ht="15" customHeight="1">
      <c r="A362" s="230">
        <f t="shared" si="1"/>
        <v>359</v>
      </c>
      <c r="B362" s="231">
        <v>6533</v>
      </c>
      <c r="C362" s="221" t="s">
        <v>4582</v>
      </c>
      <c r="D362" s="221" t="str">
        <f t="shared" si="0"/>
        <v>CENTAR ZA SOCIJALNU SKRB MAKARSKA (6533)</v>
      </c>
      <c r="E362" s="221" t="s">
        <v>4583</v>
      </c>
      <c r="F362" s="221" t="s">
        <v>4227</v>
      </c>
      <c r="G362" s="232">
        <v>2882744</v>
      </c>
      <c r="H362" s="16" t="s">
        <v>4584</v>
      </c>
      <c r="I362" s="209"/>
      <c r="J362" s="224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</row>
    <row r="363" spans="1:26" ht="15" customHeight="1">
      <c r="A363" s="230">
        <f t="shared" si="1"/>
        <v>360</v>
      </c>
      <c r="B363" s="231">
        <v>6550</v>
      </c>
      <c r="C363" s="221" t="s">
        <v>4585</v>
      </c>
      <c r="D363" s="221" t="str">
        <f t="shared" si="0"/>
        <v>CENTAR ZA SOCIJALNU SKRB METKOVIĆ  (6550)</v>
      </c>
      <c r="E363" s="221" t="s">
        <v>4586</v>
      </c>
      <c r="F363" s="221" t="s">
        <v>4587</v>
      </c>
      <c r="G363" s="232">
        <v>2882337</v>
      </c>
      <c r="H363" s="16" t="s">
        <v>4588</v>
      </c>
      <c r="I363" s="209"/>
      <c r="J363" s="224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</row>
    <row r="364" spans="1:26" ht="15" customHeight="1">
      <c r="A364" s="230">
        <f t="shared" si="1"/>
        <v>361</v>
      </c>
      <c r="B364" s="231">
        <v>6568</v>
      </c>
      <c r="C364" s="221" t="s">
        <v>4589</v>
      </c>
      <c r="D364" s="221" t="str">
        <f t="shared" si="0"/>
        <v>CENTAR ZA SOCIJALNU SKRB NAŠICE (6568)</v>
      </c>
      <c r="E364" s="221" t="s">
        <v>4310</v>
      </c>
      <c r="F364" s="221" t="s">
        <v>4590</v>
      </c>
      <c r="G364" s="232">
        <v>2872684</v>
      </c>
      <c r="H364" s="16" t="s">
        <v>4591</v>
      </c>
      <c r="I364" s="209"/>
      <c r="J364" s="224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</row>
    <row r="365" spans="1:26" ht="15" customHeight="1">
      <c r="A365" s="230">
        <f t="shared" si="1"/>
        <v>362</v>
      </c>
      <c r="B365" s="231">
        <v>6576</v>
      </c>
      <c r="C365" s="221" t="s">
        <v>4592</v>
      </c>
      <c r="D365" s="221" t="str">
        <f t="shared" si="0"/>
        <v>CENTAR ZA SOCIJALNU SKRB NOVA GRADIŠKA (6576)</v>
      </c>
      <c r="E365" s="221" t="s">
        <v>4593</v>
      </c>
      <c r="F365" s="221" t="s">
        <v>4594</v>
      </c>
      <c r="G365" s="232">
        <v>2872439</v>
      </c>
      <c r="H365" s="16" t="s">
        <v>4595</v>
      </c>
      <c r="I365" s="209"/>
      <c r="J365" s="224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</row>
    <row r="366" spans="1:26" ht="15" customHeight="1">
      <c r="A366" s="230">
        <f t="shared" si="1"/>
        <v>363</v>
      </c>
      <c r="B366" s="231">
        <v>6584</v>
      </c>
      <c r="C366" s="221" t="s">
        <v>4596</v>
      </c>
      <c r="D366" s="221" t="str">
        <f t="shared" si="0"/>
        <v>CENTAR ZA SOCIJALNU SKRB NOVI MAROF (6584)</v>
      </c>
      <c r="E366" s="221" t="s">
        <v>4597</v>
      </c>
      <c r="F366" s="221" t="s">
        <v>4598</v>
      </c>
      <c r="G366" s="232">
        <v>2872625</v>
      </c>
      <c r="H366" s="16" t="s">
        <v>4599</v>
      </c>
      <c r="I366" s="209"/>
      <c r="J366" s="224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</row>
    <row r="367" spans="1:26" ht="15" customHeight="1">
      <c r="A367" s="230">
        <f t="shared" si="1"/>
        <v>364</v>
      </c>
      <c r="B367" s="231">
        <v>6592</v>
      </c>
      <c r="C367" s="221" t="s">
        <v>4600</v>
      </c>
      <c r="D367" s="221" t="str">
        <f t="shared" si="0"/>
        <v>CENTAR ZA SOCIJALNU SKRB NOVSKA (6592)</v>
      </c>
      <c r="E367" s="221" t="s">
        <v>4601</v>
      </c>
      <c r="F367" s="221" t="s">
        <v>4602</v>
      </c>
      <c r="G367" s="232">
        <v>2883279</v>
      </c>
      <c r="H367" s="16" t="s">
        <v>4603</v>
      </c>
      <c r="I367" s="209"/>
      <c r="J367" s="224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</row>
    <row r="368" spans="1:26" ht="15" customHeight="1">
      <c r="A368" s="230">
        <f t="shared" si="1"/>
        <v>365</v>
      </c>
      <c r="B368" s="231">
        <v>22890</v>
      </c>
      <c r="C368" s="221" t="s">
        <v>4604</v>
      </c>
      <c r="D368" s="221" t="str">
        <f t="shared" si="0"/>
        <v>CENTAR ZA SOCIJALNU SKRB OGULIN (22890)</v>
      </c>
      <c r="E368" s="221" t="s">
        <v>4605</v>
      </c>
      <c r="F368" s="221" t="s">
        <v>4606</v>
      </c>
      <c r="G368" s="232">
        <v>2883007</v>
      </c>
      <c r="H368" s="16" t="s">
        <v>4607</v>
      </c>
      <c r="I368" s="209"/>
      <c r="J368" s="224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</row>
    <row r="369" spans="1:26" ht="15" customHeight="1">
      <c r="A369" s="230">
        <f t="shared" si="1"/>
        <v>366</v>
      </c>
      <c r="B369" s="231">
        <v>6613</v>
      </c>
      <c r="C369" s="221" t="s">
        <v>4608</v>
      </c>
      <c r="D369" s="221" t="str">
        <f t="shared" si="0"/>
        <v>CENTAR ZA SOCIJALNU SKRB OMIŠ (6613)</v>
      </c>
      <c r="E369" s="221" t="s">
        <v>4609</v>
      </c>
      <c r="F369" s="221" t="s">
        <v>4610</v>
      </c>
      <c r="G369" s="232">
        <v>2882728</v>
      </c>
      <c r="H369" s="16" t="s">
        <v>4611</v>
      </c>
      <c r="I369" s="209"/>
      <c r="J369" s="224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</row>
    <row r="370" spans="1:26" ht="15" customHeight="1">
      <c r="A370" s="230">
        <f t="shared" si="1"/>
        <v>367</v>
      </c>
      <c r="B370" s="231">
        <v>6621</v>
      </c>
      <c r="C370" s="221" t="s">
        <v>4612</v>
      </c>
      <c r="D370" s="221" t="str">
        <f t="shared" si="0"/>
        <v>CENTAR ZA SOCIJALNU SKRB OPATIJA (6621)</v>
      </c>
      <c r="E370" s="221" t="s">
        <v>4613</v>
      </c>
      <c r="F370" s="221" t="s">
        <v>137</v>
      </c>
      <c r="G370" s="232">
        <v>2883716</v>
      </c>
      <c r="H370" s="16" t="s">
        <v>4614</v>
      </c>
      <c r="I370" s="209"/>
      <c r="J370" s="224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</row>
    <row r="371" spans="1:26" ht="15" customHeight="1">
      <c r="A371" s="230">
        <f t="shared" si="1"/>
        <v>368</v>
      </c>
      <c r="B371" s="231">
        <v>6630</v>
      </c>
      <c r="C371" s="221" t="s">
        <v>4615</v>
      </c>
      <c r="D371" s="221" t="str">
        <f t="shared" si="0"/>
        <v>CENTAR ZA SOCIJALNU SKRB OSIJEK (6630)</v>
      </c>
      <c r="E371" s="221" t="s">
        <v>4616</v>
      </c>
      <c r="F371" s="221" t="s">
        <v>43</v>
      </c>
      <c r="G371" s="232">
        <v>2872676</v>
      </c>
      <c r="H371" s="16" t="s">
        <v>4617</v>
      </c>
      <c r="I371" s="209"/>
      <c r="J371" s="224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</row>
    <row r="372" spans="1:26" ht="15" customHeight="1">
      <c r="A372" s="230">
        <f t="shared" si="1"/>
        <v>369</v>
      </c>
      <c r="B372" s="231">
        <v>6656</v>
      </c>
      <c r="C372" s="221" t="s">
        <v>4618</v>
      </c>
      <c r="D372" s="221" t="str">
        <f t="shared" si="0"/>
        <v>CENTAR ZA SOCIJALNU SKRB PAKRAC (6656)</v>
      </c>
      <c r="E372" s="221" t="s">
        <v>4619</v>
      </c>
      <c r="F372" s="221" t="s">
        <v>4620</v>
      </c>
      <c r="G372" s="232">
        <v>2873265</v>
      </c>
      <c r="H372" s="16" t="s">
        <v>4621</v>
      </c>
      <c r="I372" s="209"/>
      <c r="J372" s="224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</row>
    <row r="373" spans="1:26" ht="15" customHeight="1">
      <c r="A373" s="230">
        <f t="shared" si="1"/>
        <v>370</v>
      </c>
      <c r="B373" s="231">
        <v>22111</v>
      </c>
      <c r="C373" s="221" t="s">
        <v>4622</v>
      </c>
      <c r="D373" s="221" t="str">
        <f t="shared" si="0"/>
        <v>CENTAR ZA SOCIJALNU SKRB PAZIN (22111)</v>
      </c>
      <c r="E373" s="221" t="s">
        <v>4623</v>
      </c>
      <c r="F373" s="221" t="s">
        <v>3960</v>
      </c>
      <c r="G373" s="232">
        <v>2883333</v>
      </c>
      <c r="H373" s="16" t="s">
        <v>4624</v>
      </c>
      <c r="I373" s="209"/>
      <c r="J373" s="224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</row>
    <row r="374" spans="1:26" ht="15" customHeight="1">
      <c r="A374" s="230">
        <f t="shared" si="1"/>
        <v>371</v>
      </c>
      <c r="B374" s="231">
        <v>6672</v>
      </c>
      <c r="C374" s="221" t="s">
        <v>4625</v>
      </c>
      <c r="D374" s="221" t="str">
        <f t="shared" si="0"/>
        <v>CENTAR ZA SOCIJALNU SKRB PETRINJA (6672)</v>
      </c>
      <c r="E374" s="221" t="s">
        <v>4626</v>
      </c>
      <c r="F374" s="221" t="s">
        <v>4627</v>
      </c>
      <c r="G374" s="232">
        <v>2883244</v>
      </c>
      <c r="H374" s="16" t="s">
        <v>4628</v>
      </c>
      <c r="I374" s="209"/>
      <c r="J374" s="224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</row>
    <row r="375" spans="1:26" ht="15" customHeight="1">
      <c r="A375" s="230">
        <f t="shared" si="1"/>
        <v>372</v>
      </c>
      <c r="B375" s="231">
        <v>6961</v>
      </c>
      <c r="C375" s="221" t="s">
        <v>4629</v>
      </c>
      <c r="D375" s="221" t="str">
        <f t="shared" si="0"/>
        <v>CENTAR ZA SOCIJALNU SKRB PLOČE (6961)</v>
      </c>
      <c r="E375" s="221" t="s">
        <v>4630</v>
      </c>
      <c r="F375" s="221" t="s">
        <v>4156</v>
      </c>
      <c r="G375" s="232">
        <v>2882345</v>
      </c>
      <c r="H375" s="16" t="s">
        <v>4631</v>
      </c>
      <c r="I375" s="209"/>
      <c r="J375" s="224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</row>
    <row r="376" spans="1:26" ht="15" customHeight="1">
      <c r="A376" s="230">
        <f t="shared" si="1"/>
        <v>373</v>
      </c>
      <c r="B376" s="231">
        <v>6697</v>
      </c>
      <c r="C376" s="221" t="s">
        <v>4632</v>
      </c>
      <c r="D376" s="221" t="str">
        <f t="shared" si="0"/>
        <v>CENTAR ZA SOCIJALNU SKRB POREČ (6697)</v>
      </c>
      <c r="E376" s="221" t="s">
        <v>4633</v>
      </c>
      <c r="F376" s="221" t="s">
        <v>416</v>
      </c>
      <c r="G376" s="232">
        <v>2883350</v>
      </c>
      <c r="H376" s="16" t="s">
        <v>4634</v>
      </c>
      <c r="I376" s="209"/>
      <c r="J376" s="224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</row>
    <row r="377" spans="1:26" ht="15" customHeight="1">
      <c r="A377" s="230">
        <f t="shared" si="1"/>
        <v>374</v>
      </c>
      <c r="B377" s="231">
        <v>6777</v>
      </c>
      <c r="C377" s="221" t="s">
        <v>4635</v>
      </c>
      <c r="D377" s="221" t="str">
        <f t="shared" si="0"/>
        <v>CENTAR ZA SOCIJALNU SKRB POŽEGA (6777)</v>
      </c>
      <c r="E377" s="221" t="s">
        <v>4636</v>
      </c>
      <c r="F377" s="221" t="s">
        <v>4296</v>
      </c>
      <c r="G377" s="232">
        <v>2873257</v>
      </c>
      <c r="H377" s="16" t="s">
        <v>4637</v>
      </c>
      <c r="I377" s="209"/>
      <c r="J377" s="224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</row>
    <row r="378" spans="1:26" ht="15" customHeight="1">
      <c r="A378" s="230">
        <f t="shared" si="1"/>
        <v>375</v>
      </c>
      <c r="B378" s="231">
        <v>51749</v>
      </c>
      <c r="C378" s="221" t="s">
        <v>4638</v>
      </c>
      <c r="D378" s="221" t="str">
        <f t="shared" si="0"/>
        <v>CENTAR ZA SOCIJALNU SKRB PRELOG (51749)</v>
      </c>
      <c r="E378" s="221" t="s">
        <v>4639</v>
      </c>
      <c r="F378" s="221" t="s">
        <v>4640</v>
      </c>
      <c r="G378" s="232">
        <v>5344301</v>
      </c>
      <c r="H378" s="16" t="s">
        <v>4641</v>
      </c>
      <c r="I378" s="209"/>
      <c r="J378" s="224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</row>
    <row r="379" spans="1:26" ht="15" customHeight="1">
      <c r="A379" s="230">
        <f t="shared" si="1"/>
        <v>376</v>
      </c>
      <c r="B379" s="231">
        <v>6701</v>
      </c>
      <c r="C379" s="221" t="s">
        <v>4642</v>
      </c>
      <c r="D379" s="221" t="str">
        <f t="shared" si="0"/>
        <v>CENTAR ZA SOCIJALNU SKRB PULA-POLA (6701)</v>
      </c>
      <c r="E379" s="221" t="s">
        <v>4643</v>
      </c>
      <c r="F379" s="221" t="s">
        <v>108</v>
      </c>
      <c r="G379" s="232">
        <v>2883384</v>
      </c>
      <c r="H379" s="16" t="s">
        <v>4644</v>
      </c>
      <c r="I379" s="209"/>
      <c r="J379" s="224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</row>
    <row r="380" spans="1:26" ht="15" customHeight="1">
      <c r="A380" s="230">
        <f t="shared" si="1"/>
        <v>377</v>
      </c>
      <c r="B380" s="231">
        <v>6710</v>
      </c>
      <c r="C380" s="221" t="s">
        <v>4645</v>
      </c>
      <c r="D380" s="221" t="str">
        <f t="shared" si="0"/>
        <v>CENTAR ZA SOCIJALNU SKRB RIJEKA (6710)</v>
      </c>
      <c r="E380" s="221" t="s">
        <v>4646</v>
      </c>
      <c r="F380" s="221" t="s">
        <v>124</v>
      </c>
      <c r="G380" s="232">
        <v>2883686</v>
      </c>
      <c r="H380" s="16" t="s">
        <v>4647</v>
      </c>
      <c r="I380" s="209"/>
      <c r="J380" s="224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</row>
    <row r="381" spans="1:26" ht="15" customHeight="1">
      <c r="A381" s="230">
        <f t="shared" si="1"/>
        <v>378</v>
      </c>
      <c r="B381" s="231">
        <v>6728</v>
      </c>
      <c r="C381" s="221" t="s">
        <v>4648</v>
      </c>
      <c r="D381" s="221" t="str">
        <f t="shared" si="0"/>
        <v>CENTAR ZA SOCIJALNU SKRB ROVINJ (6728)</v>
      </c>
      <c r="E381" s="221" t="s">
        <v>4649</v>
      </c>
      <c r="F381" s="221" t="s">
        <v>4650</v>
      </c>
      <c r="G381" s="232">
        <v>2883376</v>
      </c>
      <c r="H381" s="16" t="s">
        <v>4651</v>
      </c>
      <c r="I381" s="209"/>
      <c r="J381" s="224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</row>
    <row r="382" spans="1:26" ht="15" customHeight="1">
      <c r="A382" s="230">
        <f t="shared" si="1"/>
        <v>379</v>
      </c>
      <c r="B382" s="231">
        <v>6736</v>
      </c>
      <c r="C382" s="221" t="s">
        <v>4652</v>
      </c>
      <c r="D382" s="221" t="str">
        <f t="shared" si="0"/>
        <v>CENTAR ZA SOCIJALNU SKRB SAMOBOR (6736)</v>
      </c>
      <c r="E382" s="221" t="s">
        <v>4653</v>
      </c>
      <c r="F382" s="221" t="s">
        <v>4654</v>
      </c>
      <c r="G382" s="232">
        <v>2873109</v>
      </c>
      <c r="H382" s="16" t="s">
        <v>4655</v>
      </c>
      <c r="I382" s="209"/>
      <c r="J382" s="224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</row>
    <row r="383" spans="1:26" ht="15" customHeight="1">
      <c r="A383" s="230">
        <f t="shared" si="1"/>
        <v>380</v>
      </c>
      <c r="B383" s="231">
        <v>6744</v>
      </c>
      <c r="C383" s="221" t="s">
        <v>4656</v>
      </c>
      <c r="D383" s="221" t="str">
        <f t="shared" si="0"/>
        <v>CENTAR ZA SOCIJALNU SKRB SENJ (6744)</v>
      </c>
      <c r="E383" s="221" t="s">
        <v>4657</v>
      </c>
      <c r="F383" s="221" t="s">
        <v>4658</v>
      </c>
      <c r="G383" s="232">
        <v>2883651</v>
      </c>
      <c r="H383" s="16" t="s">
        <v>4659</v>
      </c>
      <c r="I383" s="209"/>
      <c r="J383" s="224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</row>
    <row r="384" spans="1:26" ht="15" customHeight="1">
      <c r="A384" s="230">
        <f t="shared" si="1"/>
        <v>381</v>
      </c>
      <c r="B384" s="231">
        <v>6752</v>
      </c>
      <c r="C384" s="221" t="s">
        <v>4660</v>
      </c>
      <c r="D384" s="221" t="str">
        <f t="shared" si="0"/>
        <v>CENTAR ZA SOCIJALNU SKRB SINJ (6752)</v>
      </c>
      <c r="E384" s="221" t="s">
        <v>4661</v>
      </c>
      <c r="F384" s="221" t="s">
        <v>4662</v>
      </c>
      <c r="G384" s="232">
        <v>2882710</v>
      </c>
      <c r="H384" s="16" t="s">
        <v>4663</v>
      </c>
      <c r="I384" s="209"/>
      <c r="J384" s="224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</row>
    <row r="385" spans="1:26" ht="15" customHeight="1">
      <c r="A385" s="230">
        <f t="shared" si="1"/>
        <v>382</v>
      </c>
      <c r="B385" s="231">
        <v>6769</v>
      </c>
      <c r="C385" s="221" t="s">
        <v>4664</v>
      </c>
      <c r="D385" s="221" t="str">
        <f t="shared" si="0"/>
        <v>CENTAR ZA SOCIJALNU SKRB SISAK (6769)</v>
      </c>
      <c r="E385" s="221" t="s">
        <v>4665</v>
      </c>
      <c r="F385" s="221" t="s">
        <v>286</v>
      </c>
      <c r="G385" s="232">
        <v>2883236</v>
      </c>
      <c r="H385" s="16" t="s">
        <v>4666</v>
      </c>
      <c r="I385" s="209"/>
      <c r="J385" s="224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</row>
    <row r="386" spans="1:26" ht="15" customHeight="1">
      <c r="A386" s="230">
        <f t="shared" si="1"/>
        <v>383</v>
      </c>
      <c r="B386" s="231">
        <v>6689</v>
      </c>
      <c r="C386" s="221" t="s">
        <v>4667</v>
      </c>
      <c r="D386" s="221" t="str">
        <f t="shared" si="0"/>
        <v>CENTAR ZA SOCIJALNU SKRB SLATINA (6689)</v>
      </c>
      <c r="E386" s="221" t="s">
        <v>4668</v>
      </c>
      <c r="F386" s="221" t="s">
        <v>4669</v>
      </c>
      <c r="G386" s="232">
        <v>2873028</v>
      </c>
      <c r="H386" s="16" t="s">
        <v>4670</v>
      </c>
      <c r="I386" s="209"/>
      <c r="J386" s="224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</row>
    <row r="387" spans="1:26" ht="15" customHeight="1">
      <c r="A387" s="230">
        <f t="shared" si="1"/>
        <v>384</v>
      </c>
      <c r="B387" s="231">
        <v>6785</v>
      </c>
      <c r="C387" s="221" t="s">
        <v>4671</v>
      </c>
      <c r="D387" s="221" t="str">
        <f t="shared" si="0"/>
        <v>CENTAR ZA SOCIJALNU SKRB SLAVONSKI BROD (6785)</v>
      </c>
      <c r="E387" s="221" t="s">
        <v>4672</v>
      </c>
      <c r="F387" s="221" t="s">
        <v>169</v>
      </c>
      <c r="G387" s="232">
        <v>2872412</v>
      </c>
      <c r="H387" s="16" t="s">
        <v>4673</v>
      </c>
      <c r="I387" s="209"/>
      <c r="J387" s="224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</row>
    <row r="388" spans="1:26" ht="15" customHeight="1">
      <c r="A388" s="230">
        <f t="shared" si="1"/>
        <v>385</v>
      </c>
      <c r="B388" s="231">
        <v>19931</v>
      </c>
      <c r="C388" s="221" t="s">
        <v>4674</v>
      </c>
      <c r="D388" s="221" t="str">
        <f t="shared" si="0"/>
        <v>CENTAR ZA SOCIJALNU SKRB SLUNJ (19931)</v>
      </c>
      <c r="E388" s="221" t="s">
        <v>4675</v>
      </c>
      <c r="F388" s="221" t="s">
        <v>4676</v>
      </c>
      <c r="G388" s="232">
        <v>2882990</v>
      </c>
      <c r="H388" s="16" t="s">
        <v>4677</v>
      </c>
      <c r="I388" s="209"/>
      <c r="J388" s="224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</row>
    <row r="389" spans="1:26" ht="15" customHeight="1">
      <c r="A389" s="230">
        <f t="shared" si="1"/>
        <v>386</v>
      </c>
      <c r="B389" s="231">
        <v>6890</v>
      </c>
      <c r="C389" s="221" t="s">
        <v>4678</v>
      </c>
      <c r="D389" s="221" t="str">
        <f t="shared" si="0"/>
        <v>CENTAR ZA SOCIJALNU SKRB SPLIT (6890)</v>
      </c>
      <c r="E389" s="221" t="s">
        <v>4679</v>
      </c>
      <c r="F389" s="221" t="s">
        <v>173</v>
      </c>
      <c r="G389" s="232">
        <v>2882752</v>
      </c>
      <c r="H389" s="16" t="s">
        <v>4680</v>
      </c>
      <c r="I389" s="209"/>
      <c r="J389" s="224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</row>
    <row r="390" spans="1:26" ht="15" customHeight="1">
      <c r="A390" s="230">
        <f t="shared" si="1"/>
        <v>387</v>
      </c>
      <c r="B390" s="231">
        <v>6937</v>
      </c>
      <c r="C390" s="221" t="s">
        <v>4681</v>
      </c>
      <c r="D390" s="221" t="str">
        <f t="shared" si="0"/>
        <v>CENTAR ZA SOCIJALNU SKRB SVETI IVAN ZELINA  (6937)</v>
      </c>
      <c r="E390" s="221" t="s">
        <v>4682</v>
      </c>
      <c r="F390" s="221" t="s">
        <v>4683</v>
      </c>
      <c r="G390" s="232">
        <v>2873052</v>
      </c>
      <c r="H390" s="16" t="s">
        <v>4684</v>
      </c>
      <c r="I390" s="209"/>
      <c r="J390" s="224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</row>
    <row r="391" spans="1:26" ht="15" customHeight="1">
      <c r="A391" s="230">
        <f t="shared" si="1"/>
        <v>388</v>
      </c>
      <c r="B391" s="231">
        <v>6793</v>
      </c>
      <c r="C391" s="221" t="s">
        <v>4685</v>
      </c>
      <c r="D391" s="221" t="str">
        <f t="shared" si="0"/>
        <v>CENTAR ZA SOCIJALNU SKRB ŠIBENIK (6793)</v>
      </c>
      <c r="E391" s="221" t="s">
        <v>4686</v>
      </c>
      <c r="F391" s="221" t="s">
        <v>343</v>
      </c>
      <c r="G391" s="232">
        <v>2882019</v>
      </c>
      <c r="H391" s="16" t="s">
        <v>4687</v>
      </c>
      <c r="I391" s="209"/>
      <c r="J391" s="224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</row>
    <row r="392" spans="1:26" ht="15" customHeight="1">
      <c r="A392" s="230">
        <f t="shared" si="1"/>
        <v>389</v>
      </c>
      <c r="B392" s="231">
        <v>6808</v>
      </c>
      <c r="C392" s="221" t="s">
        <v>4688</v>
      </c>
      <c r="D392" s="221" t="str">
        <f t="shared" si="0"/>
        <v>CENTAR ZA SOCIJALNU SKRB TROGIR (6808)</v>
      </c>
      <c r="E392" s="221" t="s">
        <v>4689</v>
      </c>
      <c r="F392" s="221" t="s">
        <v>4690</v>
      </c>
      <c r="G392" s="232">
        <v>2882701</v>
      </c>
      <c r="H392" s="16" t="s">
        <v>4691</v>
      </c>
      <c r="I392" s="209"/>
      <c r="J392" s="224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</row>
    <row r="393" spans="1:26" ht="15" customHeight="1">
      <c r="A393" s="230">
        <f t="shared" si="1"/>
        <v>390</v>
      </c>
      <c r="B393" s="231">
        <v>6816</v>
      </c>
      <c r="C393" s="221" t="s">
        <v>4692</v>
      </c>
      <c r="D393" s="221" t="str">
        <f t="shared" si="0"/>
        <v>CENTAR ZA SOCIJALNU SKRB VALPOVO (6816)</v>
      </c>
      <c r="E393" s="221" t="s">
        <v>4693</v>
      </c>
      <c r="F393" s="221" t="s">
        <v>4694</v>
      </c>
      <c r="G393" s="232">
        <v>2872714</v>
      </c>
      <c r="H393" s="16" t="s">
        <v>4695</v>
      </c>
      <c r="I393" s="209"/>
      <c r="J393" s="224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</row>
    <row r="394" spans="1:26" ht="15" customHeight="1">
      <c r="A394" s="230">
        <f t="shared" si="1"/>
        <v>391</v>
      </c>
      <c r="B394" s="231">
        <v>21981</v>
      </c>
      <c r="C394" s="221" t="s">
        <v>4696</v>
      </c>
      <c r="D394" s="221" t="str">
        <f t="shared" si="0"/>
        <v>CENTAR ZA SOCIJALNU SKRB VARAŽDIN (21981)</v>
      </c>
      <c r="E394" s="221" t="s">
        <v>4697</v>
      </c>
      <c r="F394" s="221" t="s">
        <v>30</v>
      </c>
      <c r="G394" s="232">
        <v>2872617</v>
      </c>
      <c r="H394" s="16" t="s">
        <v>4698</v>
      </c>
      <c r="I394" s="209"/>
      <c r="J394" s="224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</row>
    <row r="395" spans="1:26" ht="15" customHeight="1">
      <c r="A395" s="230">
        <f t="shared" si="1"/>
        <v>392</v>
      </c>
      <c r="B395" s="231">
        <v>6832</v>
      </c>
      <c r="C395" s="221" t="s">
        <v>4699</v>
      </c>
      <c r="D395" s="221" t="str">
        <f t="shared" si="0"/>
        <v>CENTAR ZA SOCIJALNU SKRB VELIKA GORICA  (6832)</v>
      </c>
      <c r="E395" s="221" t="s">
        <v>4700</v>
      </c>
      <c r="F395" s="221" t="s">
        <v>3874</v>
      </c>
      <c r="G395" s="232">
        <v>2873117</v>
      </c>
      <c r="H395" s="16" t="s">
        <v>4701</v>
      </c>
      <c r="I395" s="209"/>
      <c r="J395" s="224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</row>
    <row r="396" spans="1:26" ht="15" customHeight="1">
      <c r="A396" s="230">
        <f t="shared" si="1"/>
        <v>393</v>
      </c>
      <c r="B396" s="231">
        <v>6849</v>
      </c>
      <c r="C396" s="221" t="s">
        <v>4702</v>
      </c>
      <c r="D396" s="221" t="str">
        <f t="shared" si="0"/>
        <v>CENTAR ZA SOCIJALNU SKRB VINKOVCI (6849)</v>
      </c>
      <c r="E396" s="221" t="s">
        <v>4703</v>
      </c>
      <c r="F396" s="221" t="s">
        <v>4704</v>
      </c>
      <c r="G396" s="232">
        <v>2872803</v>
      </c>
      <c r="H396" s="16" t="s">
        <v>4705</v>
      </c>
      <c r="I396" s="209"/>
      <c r="J396" s="224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</row>
    <row r="397" spans="1:26" ht="15" customHeight="1">
      <c r="A397" s="230">
        <f t="shared" si="1"/>
        <v>394</v>
      </c>
      <c r="B397" s="231">
        <v>6857</v>
      </c>
      <c r="C397" s="221" t="s">
        <v>4706</v>
      </c>
      <c r="D397" s="221" t="str">
        <f t="shared" si="0"/>
        <v>CENTAR ZA SOCIJALNU SKRB VIROVITICA (6857)</v>
      </c>
      <c r="E397" s="221" t="s">
        <v>4707</v>
      </c>
      <c r="F397" s="221" t="s">
        <v>347</v>
      </c>
      <c r="G397" s="232">
        <v>2873010</v>
      </c>
      <c r="H397" s="16" t="s">
        <v>4708</v>
      </c>
      <c r="I397" s="209"/>
      <c r="J397" s="224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</row>
    <row r="398" spans="1:26" ht="15" customHeight="1">
      <c r="A398" s="230">
        <f t="shared" si="1"/>
        <v>395</v>
      </c>
      <c r="B398" s="231">
        <v>6873</v>
      </c>
      <c r="C398" s="221" t="s">
        <v>4709</v>
      </c>
      <c r="D398" s="221" t="str">
        <f t="shared" si="0"/>
        <v>CENTAR ZA SOCIJALNU SKRB VRBOVEC (6873)</v>
      </c>
      <c r="E398" s="221" t="s">
        <v>4710</v>
      </c>
      <c r="F398" s="221" t="s">
        <v>4711</v>
      </c>
      <c r="G398" s="232">
        <v>2873044</v>
      </c>
      <c r="H398" s="16" t="s">
        <v>4712</v>
      </c>
      <c r="I398" s="209"/>
      <c r="J398" s="224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</row>
    <row r="399" spans="1:26" ht="15" customHeight="1">
      <c r="A399" s="230">
        <f t="shared" si="1"/>
        <v>396</v>
      </c>
      <c r="B399" s="231">
        <v>22259</v>
      </c>
      <c r="C399" s="221" t="s">
        <v>4713</v>
      </c>
      <c r="D399" s="221" t="str">
        <f t="shared" si="0"/>
        <v>CENTAR ZA SOCIJALNU SKRB VUKOVAR (22259)</v>
      </c>
      <c r="E399" s="221" t="s">
        <v>4714</v>
      </c>
      <c r="F399" s="221" t="s">
        <v>324</v>
      </c>
      <c r="G399" s="232">
        <v>2872820</v>
      </c>
      <c r="H399" s="16" t="s">
        <v>4715</v>
      </c>
      <c r="I399" s="209"/>
      <c r="J399" s="224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</row>
    <row r="400" spans="1:26" ht="15" customHeight="1">
      <c r="A400" s="230">
        <f t="shared" si="1"/>
        <v>397</v>
      </c>
      <c r="B400" s="231">
        <v>6881</v>
      </c>
      <c r="C400" s="221" t="s">
        <v>4716</v>
      </c>
      <c r="D400" s="221" t="str">
        <f t="shared" si="0"/>
        <v>CENTAR ZA SOCIJALNU SKRB ZABOK (6881)</v>
      </c>
      <c r="E400" s="221" t="s">
        <v>4717</v>
      </c>
      <c r="F400" s="221" t="s">
        <v>4718</v>
      </c>
      <c r="G400" s="232">
        <v>2877473</v>
      </c>
      <c r="H400" s="16" t="s">
        <v>4719</v>
      </c>
      <c r="I400" s="209"/>
      <c r="J400" s="224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</row>
    <row r="401" spans="1:26" ht="15" customHeight="1">
      <c r="A401" s="230">
        <f t="shared" si="1"/>
        <v>398</v>
      </c>
      <c r="B401" s="231">
        <v>6912</v>
      </c>
      <c r="C401" s="221" t="s">
        <v>4720</v>
      </c>
      <c r="D401" s="221" t="str">
        <f t="shared" si="0"/>
        <v>CENTAR ZA SOCIJALNU SKRB ZADAR (6912)</v>
      </c>
      <c r="E401" s="221" t="s">
        <v>4046</v>
      </c>
      <c r="F401" s="221" t="s">
        <v>214</v>
      </c>
      <c r="G401" s="232">
        <v>2884313</v>
      </c>
      <c r="H401" s="16" t="s">
        <v>4721</v>
      </c>
      <c r="I401" s="209"/>
      <c r="J401" s="224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</row>
    <row r="402" spans="1:26" ht="15" customHeight="1">
      <c r="A402" s="230">
        <f t="shared" si="1"/>
        <v>399</v>
      </c>
      <c r="B402" s="231">
        <v>22550</v>
      </c>
      <c r="C402" s="221" t="s">
        <v>4722</v>
      </c>
      <c r="D402" s="221" t="str">
        <f t="shared" si="0"/>
        <v>CENTAR ZA SOCIJALNU SKRB ZAGREB (22550)</v>
      </c>
      <c r="E402" s="221" t="s">
        <v>4723</v>
      </c>
      <c r="F402" s="221" t="s">
        <v>23</v>
      </c>
      <c r="G402" s="232">
        <v>2874440</v>
      </c>
      <c r="H402" s="16" t="s">
        <v>4724</v>
      </c>
      <c r="I402" s="209"/>
      <c r="J402" s="224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</row>
    <row r="403" spans="1:26" ht="15" customHeight="1">
      <c r="A403" s="230">
        <f t="shared" si="1"/>
        <v>400</v>
      </c>
      <c r="B403" s="231">
        <v>6929</v>
      </c>
      <c r="C403" s="221" t="s">
        <v>4725</v>
      </c>
      <c r="D403" s="221" t="str">
        <f t="shared" si="0"/>
        <v>CENTAR ZA SOCIJALNU SKRB ZAPREŠIĆ (6929)</v>
      </c>
      <c r="E403" s="221" t="s">
        <v>4726</v>
      </c>
      <c r="F403" s="221" t="s">
        <v>4727</v>
      </c>
      <c r="G403" s="232">
        <v>2873095</v>
      </c>
      <c r="H403" s="16" t="s">
        <v>4728</v>
      </c>
      <c r="I403" s="209"/>
      <c r="J403" s="224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</row>
    <row r="404" spans="1:26" ht="15" customHeight="1">
      <c r="A404" s="230">
        <f t="shared" si="1"/>
        <v>401</v>
      </c>
      <c r="B404" s="231">
        <v>6945</v>
      </c>
      <c r="C404" s="221" t="s">
        <v>4729</v>
      </c>
      <c r="D404" s="221" t="str">
        <f t="shared" si="0"/>
        <v>CENTAR ZA SOCIJALNU SKRB ZLATAR BISTRICA (6945)</v>
      </c>
      <c r="E404" s="221" t="s">
        <v>4730</v>
      </c>
      <c r="F404" s="221" t="s">
        <v>4731</v>
      </c>
      <c r="G404" s="232">
        <v>2877449</v>
      </c>
      <c r="H404" s="16" t="s">
        <v>4732</v>
      </c>
      <c r="I404" s="209"/>
      <c r="J404" s="224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</row>
    <row r="405" spans="1:26" ht="15" customHeight="1">
      <c r="A405" s="230">
        <f t="shared" si="1"/>
        <v>402</v>
      </c>
      <c r="B405" s="231">
        <v>6953</v>
      </c>
      <c r="C405" s="221" t="s">
        <v>4733</v>
      </c>
      <c r="D405" s="221" t="str">
        <f t="shared" si="0"/>
        <v>CENTAR ZA SOCIJALNU SKRB ŽUPANJA (6953)</v>
      </c>
      <c r="E405" s="221" t="s">
        <v>4734</v>
      </c>
      <c r="F405" s="221" t="s">
        <v>4735</v>
      </c>
      <c r="G405" s="232">
        <v>2872811</v>
      </c>
      <c r="H405" s="16" t="s">
        <v>4736</v>
      </c>
      <c r="I405" s="209"/>
      <c r="J405" s="224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</row>
    <row r="406" spans="1:26" ht="15" customHeight="1">
      <c r="A406" s="230">
        <f t="shared" si="1"/>
        <v>403</v>
      </c>
      <c r="B406" s="231">
        <v>7122</v>
      </c>
      <c r="C406" s="221" t="s">
        <v>4737</v>
      </c>
      <c r="D406" s="221" t="str">
        <f t="shared" si="0"/>
        <v>DJEČJI DOM "IVANA BRLIĆ MAŽURANIĆ" LOVRAN (7122)</v>
      </c>
      <c r="E406" s="221" t="s">
        <v>4738</v>
      </c>
      <c r="F406" s="221" t="s">
        <v>4254</v>
      </c>
      <c r="G406" s="232">
        <v>3090353</v>
      </c>
      <c r="H406" s="16" t="s">
        <v>4739</v>
      </c>
      <c r="I406" s="209"/>
      <c r="J406" s="224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</row>
    <row r="407" spans="1:26" ht="15" customHeight="1">
      <c r="A407" s="230">
        <f t="shared" si="1"/>
        <v>404</v>
      </c>
      <c r="B407" s="231">
        <v>7202</v>
      </c>
      <c r="C407" s="221" t="s">
        <v>4740</v>
      </c>
      <c r="D407" s="221" t="str">
        <f t="shared" si="0"/>
        <v>DJEČJI DOM SV. ANA, VINKOVCI (7202)</v>
      </c>
      <c r="E407" s="221" t="s">
        <v>4741</v>
      </c>
      <c r="F407" s="221" t="s">
        <v>4742</v>
      </c>
      <c r="G407" s="232">
        <v>3367819</v>
      </c>
      <c r="H407" s="16" t="s">
        <v>4743</v>
      </c>
      <c r="I407" s="209"/>
      <c r="J407" s="224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</row>
    <row r="408" spans="1:26" ht="15" customHeight="1">
      <c r="A408" s="230">
        <f t="shared" si="1"/>
        <v>405</v>
      </c>
      <c r="B408" s="231">
        <v>7171</v>
      </c>
      <c r="C408" s="221" t="s">
        <v>4744</v>
      </c>
      <c r="D408" s="221" t="str">
        <f t="shared" si="0"/>
        <v>DJEČJI DOM VRBINA SISAK (7171)</v>
      </c>
      <c r="E408" s="221" t="s">
        <v>4745</v>
      </c>
      <c r="F408" s="221" t="s">
        <v>286</v>
      </c>
      <c r="G408" s="232">
        <v>3313964</v>
      </c>
      <c r="H408" s="16" t="s">
        <v>4746</v>
      </c>
      <c r="I408" s="209"/>
      <c r="J408" s="224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</row>
    <row r="409" spans="1:26" ht="15" customHeight="1">
      <c r="A409" s="230">
        <f t="shared" si="1"/>
        <v>406</v>
      </c>
      <c r="B409" s="231">
        <v>7376</v>
      </c>
      <c r="C409" s="221" t="s">
        <v>4747</v>
      </c>
      <c r="D409" s="221" t="str">
        <f t="shared" si="0"/>
        <v>DNEVNI CENTAR ZA REHABILITACIJU SLAVA RAŠKAJ (7376)</v>
      </c>
      <c r="E409" s="221" t="s">
        <v>4748</v>
      </c>
      <c r="F409" s="221" t="s">
        <v>124</v>
      </c>
      <c r="G409" s="232">
        <v>3321266</v>
      </c>
      <c r="H409" s="16" t="s">
        <v>4749</v>
      </c>
      <c r="I409" s="209"/>
      <c r="J409" s="224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</row>
    <row r="410" spans="1:26" ht="15" customHeight="1">
      <c r="A410" s="230">
        <f t="shared" si="1"/>
        <v>407</v>
      </c>
      <c r="B410" s="231">
        <v>7665</v>
      </c>
      <c r="C410" s="221" t="s">
        <v>4750</v>
      </c>
      <c r="D410" s="221" t="str">
        <f t="shared" si="0"/>
        <v>DOM ZA ODRASLE OSOBE LOBOR-GRAD (7665)</v>
      </c>
      <c r="E410" s="221" t="s">
        <v>4751</v>
      </c>
      <c r="F410" s="221" t="s">
        <v>4752</v>
      </c>
      <c r="G410" s="232">
        <v>3126889</v>
      </c>
      <c r="H410" s="16" t="s">
        <v>4753</v>
      </c>
      <c r="I410" s="209"/>
      <c r="J410" s="224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</row>
    <row r="411" spans="1:26" ht="15" customHeight="1">
      <c r="A411" s="230">
        <f t="shared" si="1"/>
        <v>408</v>
      </c>
      <c r="B411" s="231">
        <v>7083</v>
      </c>
      <c r="C411" s="221" t="s">
        <v>4754</v>
      </c>
      <c r="D411" s="221" t="str">
        <f t="shared" si="0"/>
        <v>DOM ZA DJECU I MLAĐE PUNOLJETNE OSOBE MASLINA, DUBROVNIK (7083)</v>
      </c>
      <c r="E411" s="221" t="s">
        <v>4755</v>
      </c>
      <c r="F411" s="221" t="s">
        <v>118</v>
      </c>
      <c r="G411" s="232">
        <v>3304167</v>
      </c>
      <c r="H411" s="16" t="s">
        <v>4756</v>
      </c>
      <c r="I411" s="209"/>
      <c r="J411" s="224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</row>
    <row r="412" spans="1:26" ht="15" customHeight="1">
      <c r="A412" s="230">
        <f t="shared" si="1"/>
        <v>409</v>
      </c>
      <c r="B412" s="231">
        <v>7198</v>
      </c>
      <c r="C412" s="221" t="s">
        <v>4757</v>
      </c>
      <c r="D412" s="221" t="str">
        <f t="shared" si="0"/>
        <v>DOM ZA DJECU MAESTRAL SPLIT (7198)</v>
      </c>
      <c r="E412" s="221" t="s">
        <v>4758</v>
      </c>
      <c r="F412" s="221" t="s">
        <v>173</v>
      </c>
      <c r="G412" s="232">
        <v>3118606</v>
      </c>
      <c r="H412" s="16" t="s">
        <v>4759</v>
      </c>
      <c r="I412" s="209"/>
      <c r="J412" s="224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</row>
    <row r="413" spans="1:26" ht="15" customHeight="1">
      <c r="A413" s="230">
        <f t="shared" si="1"/>
        <v>410</v>
      </c>
      <c r="B413" s="231">
        <v>7155</v>
      </c>
      <c r="C413" s="221" t="s">
        <v>4760</v>
      </c>
      <c r="D413" s="221" t="str">
        <f t="shared" si="0"/>
        <v>DOM ZA DJECU ZA MLAĐE I PUNOLJETNE OSOBE PULA (7155)</v>
      </c>
      <c r="E413" s="221" t="s">
        <v>4761</v>
      </c>
      <c r="F413" s="221" t="s">
        <v>108</v>
      </c>
      <c r="G413" s="232">
        <v>3203824</v>
      </c>
      <c r="H413" s="16" t="s">
        <v>4762</v>
      </c>
      <c r="I413" s="209"/>
      <c r="J413" s="224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</row>
    <row r="414" spans="1:26" ht="15" customHeight="1">
      <c r="A414" s="230">
        <f t="shared" si="1"/>
        <v>411</v>
      </c>
      <c r="B414" s="231">
        <v>7219</v>
      </c>
      <c r="C414" s="221" t="s">
        <v>4763</v>
      </c>
      <c r="D414" s="221" t="str">
        <f t="shared" si="0"/>
        <v>DJEČJI DOM ZAGREB (7219)</v>
      </c>
      <c r="E414" s="221" t="s">
        <v>4764</v>
      </c>
      <c r="F414" s="221" t="s">
        <v>23</v>
      </c>
      <c r="G414" s="232">
        <v>3289745</v>
      </c>
      <c r="H414" s="16" t="s">
        <v>4765</v>
      </c>
      <c r="I414" s="209"/>
      <c r="J414" s="224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</row>
    <row r="415" spans="1:26" ht="15" customHeight="1">
      <c r="A415" s="230">
        <f t="shared" si="1"/>
        <v>412</v>
      </c>
      <c r="B415" s="231">
        <v>7227</v>
      </c>
      <c r="C415" s="221" t="s">
        <v>4766</v>
      </c>
      <c r="D415" s="221" t="str">
        <f t="shared" si="0"/>
        <v>DOM ZA ODGOJ DJECE BEDEKOVČINA (7227)</v>
      </c>
      <c r="E415" s="221" t="s">
        <v>4767</v>
      </c>
      <c r="F415" s="221" t="s">
        <v>4768</v>
      </c>
      <c r="G415" s="232">
        <v>3016692</v>
      </c>
      <c r="H415" s="16" t="s">
        <v>4769</v>
      </c>
      <c r="I415" s="209"/>
      <c r="J415" s="224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</row>
    <row r="416" spans="1:26" ht="15" customHeight="1">
      <c r="A416" s="230">
        <f t="shared" si="1"/>
        <v>413</v>
      </c>
      <c r="B416" s="231">
        <v>7251</v>
      </c>
      <c r="C416" s="221" t="s">
        <v>4770</v>
      </c>
      <c r="D416" s="221" t="str">
        <f t="shared" si="0"/>
        <v>DOM ZA ODGOJ DJECE I MLADEŽI KARLOVAC (7251)</v>
      </c>
      <c r="E416" s="221" t="s">
        <v>4771</v>
      </c>
      <c r="F416" s="221" t="s">
        <v>336</v>
      </c>
      <c r="G416" s="232">
        <v>3130576</v>
      </c>
      <c r="H416" s="16" t="s">
        <v>4772</v>
      </c>
      <c r="I416" s="209"/>
      <c r="J416" s="224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</row>
    <row r="417" spans="1:26" ht="15" customHeight="1">
      <c r="A417" s="230">
        <f t="shared" si="1"/>
        <v>414</v>
      </c>
      <c r="B417" s="231">
        <v>7278</v>
      </c>
      <c r="C417" s="221" t="s">
        <v>4773</v>
      </c>
      <c r="D417" s="221" t="str">
        <f t="shared" si="0"/>
        <v>DOM ZA ODGOJ DJECE I MLADEŽI OSIJEK (7278)</v>
      </c>
      <c r="E417" s="221" t="s">
        <v>4774</v>
      </c>
      <c r="F417" s="221" t="s">
        <v>43</v>
      </c>
      <c r="G417" s="232">
        <v>3014428</v>
      </c>
      <c r="H417" s="16" t="s">
        <v>4775</v>
      </c>
      <c r="I417" s="209"/>
      <c r="J417" s="224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</row>
    <row r="418" spans="1:26" ht="15" customHeight="1">
      <c r="A418" s="230">
        <f t="shared" si="1"/>
        <v>415</v>
      </c>
      <c r="B418" s="231">
        <v>7286</v>
      </c>
      <c r="C418" s="221" t="s">
        <v>4776</v>
      </c>
      <c r="D418" s="221" t="str">
        <f t="shared" si="0"/>
        <v>DOM ZA ODGOJ DJECE I MLADEŽI PULA (7286)</v>
      </c>
      <c r="E418" s="221" t="s">
        <v>4777</v>
      </c>
      <c r="F418" s="221" t="s">
        <v>108</v>
      </c>
      <c r="G418" s="232">
        <v>3203832</v>
      </c>
      <c r="H418" s="16" t="s">
        <v>4778</v>
      </c>
      <c r="I418" s="209"/>
      <c r="J418" s="224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</row>
    <row r="419" spans="1:26" ht="15" customHeight="1">
      <c r="A419" s="230">
        <f t="shared" si="1"/>
        <v>416</v>
      </c>
      <c r="B419" s="231">
        <v>7294</v>
      </c>
      <c r="C419" s="221" t="s">
        <v>4779</v>
      </c>
      <c r="D419" s="221" t="str">
        <f t="shared" si="0"/>
        <v>DOM ZA ODGOJ DJECE I MLADEŽI RIJEKA (7294)</v>
      </c>
      <c r="E419" s="221" t="s">
        <v>4780</v>
      </c>
      <c r="F419" s="221" t="s">
        <v>124</v>
      </c>
      <c r="G419" s="232">
        <v>3321282</v>
      </c>
      <c r="H419" s="16" t="s">
        <v>4781</v>
      </c>
      <c r="I419" s="209"/>
      <c r="J419" s="224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</row>
    <row r="420" spans="1:26" ht="15" customHeight="1">
      <c r="A420" s="230">
        <f t="shared" si="1"/>
        <v>417</v>
      </c>
      <c r="B420" s="231">
        <v>7317</v>
      </c>
      <c r="C420" s="221" t="s">
        <v>4782</v>
      </c>
      <c r="D420" s="221" t="str">
        <f t="shared" si="0"/>
        <v>DOM ZA ODGOJ DJECE I MLADEŽI ZADAR (7317)</v>
      </c>
      <c r="E420" s="221" t="s">
        <v>4783</v>
      </c>
      <c r="F420" s="221" t="s">
        <v>214</v>
      </c>
      <c r="G420" s="232">
        <v>3153037</v>
      </c>
      <c r="H420" s="16" t="s">
        <v>4784</v>
      </c>
      <c r="I420" s="209"/>
      <c r="J420" s="224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</row>
    <row r="421" spans="1:26" ht="15" customHeight="1">
      <c r="A421" s="230">
        <f t="shared" si="1"/>
        <v>418</v>
      </c>
      <c r="B421" s="231">
        <v>7325</v>
      </c>
      <c r="C421" s="221" t="s">
        <v>4785</v>
      </c>
      <c r="D421" s="221" t="str">
        <f t="shared" si="0"/>
        <v>DOM ZA ODGOJ DJECE I MLADEŽI ZAGREB (7325)</v>
      </c>
      <c r="E421" s="221" t="s">
        <v>4786</v>
      </c>
      <c r="F421" s="221" t="s">
        <v>4787</v>
      </c>
      <c r="G421" s="232">
        <v>3207536</v>
      </c>
      <c r="H421" s="16" t="s">
        <v>4788</v>
      </c>
      <c r="I421" s="209"/>
      <c r="J421" s="224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</row>
    <row r="422" spans="1:26" ht="15" customHeight="1">
      <c r="A422" s="230">
        <f t="shared" si="1"/>
        <v>419</v>
      </c>
      <c r="B422" s="231">
        <v>22283</v>
      </c>
      <c r="C422" s="221" t="s">
        <v>4789</v>
      </c>
      <c r="D422" s="221" t="str">
        <f t="shared" si="0"/>
        <v>DOM ZA ODRASLE OSOBE BIDRUŽICA (22283)</v>
      </c>
      <c r="E422" s="221" t="s">
        <v>4790</v>
      </c>
      <c r="F422" s="221" t="s">
        <v>4791</v>
      </c>
      <c r="G422" s="232">
        <v>1354248</v>
      </c>
      <c r="H422" s="16" t="s">
        <v>4792</v>
      </c>
      <c r="I422" s="209"/>
      <c r="J422" s="224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</row>
    <row r="423" spans="1:26" ht="15" customHeight="1">
      <c r="A423" s="230">
        <f t="shared" si="1"/>
        <v>420</v>
      </c>
      <c r="B423" s="231">
        <v>7840</v>
      </c>
      <c r="C423" s="221" t="s">
        <v>4793</v>
      </c>
      <c r="D423" s="221" t="str">
        <f t="shared" si="0"/>
        <v>DOM ZA ODRASLE OSOBE BOROVA (7840)</v>
      </c>
      <c r="E423" s="221" t="s">
        <v>4794</v>
      </c>
      <c r="F423" s="221" t="s">
        <v>4795</v>
      </c>
      <c r="G423" s="232">
        <v>3105407</v>
      </c>
      <c r="H423" s="16" t="s">
        <v>4796</v>
      </c>
      <c r="I423" s="209"/>
      <c r="J423" s="224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</row>
    <row r="424" spans="1:26" ht="15" customHeight="1">
      <c r="A424" s="230">
        <f t="shared" si="1"/>
        <v>421</v>
      </c>
      <c r="B424" s="231">
        <v>26547</v>
      </c>
      <c r="C424" s="221" t="s">
        <v>4797</v>
      </c>
      <c r="D424" s="221" t="str">
        <f t="shared" si="0"/>
        <v>DOM ZA ODRASLE OSOBE I REHABILITACIJU METKOVIĆ (26547)</v>
      </c>
      <c r="E424" s="221" t="s">
        <v>4586</v>
      </c>
      <c r="F424" s="221" t="s">
        <v>4587</v>
      </c>
      <c r="G424" s="232">
        <v>1831976</v>
      </c>
      <c r="H424" s="16" t="s">
        <v>4798</v>
      </c>
      <c r="I424" s="209"/>
      <c r="J424" s="224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</row>
    <row r="425" spans="1:26" ht="15" customHeight="1">
      <c r="A425" s="230">
        <f t="shared" si="1"/>
        <v>422</v>
      </c>
      <c r="B425" s="231">
        <v>7673</v>
      </c>
      <c r="C425" s="221" t="s">
        <v>4799</v>
      </c>
      <c r="D425" s="221" t="str">
        <f t="shared" si="0"/>
        <v>DOM ZA ODRASLE OSOBE LJESKOVICA (7673)</v>
      </c>
      <c r="E425" s="221" t="s">
        <v>4800</v>
      </c>
      <c r="F425" s="221" t="s">
        <v>4801</v>
      </c>
      <c r="G425" s="232">
        <v>3346366</v>
      </c>
      <c r="H425" s="16" t="s">
        <v>4802</v>
      </c>
      <c r="I425" s="209"/>
      <c r="J425" s="224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</row>
    <row r="426" spans="1:26" ht="15" customHeight="1">
      <c r="A426" s="230">
        <f t="shared" si="1"/>
        <v>423</v>
      </c>
      <c r="B426" s="231">
        <v>7729</v>
      </c>
      <c r="C426" s="221" t="s">
        <v>4803</v>
      </c>
      <c r="D426" s="221" t="str">
        <f t="shared" si="0"/>
        <v>DOM ZA ODRASLE OSOBE NUŠTAR (7729)</v>
      </c>
      <c r="E426" s="221" t="s">
        <v>4804</v>
      </c>
      <c r="F426" s="221" t="s">
        <v>4805</v>
      </c>
      <c r="G426" s="232">
        <v>3301451</v>
      </c>
      <c r="H426" s="16" t="s">
        <v>4806</v>
      </c>
      <c r="I426" s="209"/>
      <c r="J426" s="224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</row>
    <row r="427" spans="1:26" ht="15" customHeight="1">
      <c r="A427" s="230">
        <f t="shared" si="1"/>
        <v>424</v>
      </c>
      <c r="B427" s="231">
        <v>7745</v>
      </c>
      <c r="C427" s="221" t="s">
        <v>4807</v>
      </c>
      <c r="D427" s="221" t="str">
        <f t="shared" si="0"/>
        <v>DOM ZA ODRASLE OSOBE OREHOVICA (7745)</v>
      </c>
      <c r="E427" s="221" t="s">
        <v>4808</v>
      </c>
      <c r="F427" s="221" t="s">
        <v>4809</v>
      </c>
      <c r="G427" s="232">
        <v>3110150</v>
      </c>
      <c r="H427" s="16" t="s">
        <v>4810</v>
      </c>
      <c r="I427" s="209"/>
      <c r="J427" s="224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</row>
    <row r="428" spans="1:26" ht="15" customHeight="1">
      <c r="A428" s="230">
        <f t="shared" si="1"/>
        <v>425</v>
      </c>
      <c r="B428" s="231">
        <v>23569</v>
      </c>
      <c r="C428" s="221" t="s">
        <v>4811</v>
      </c>
      <c r="D428" s="221" t="str">
        <f t="shared" si="0"/>
        <v>DOM ZA ODRASLE OSOBE TURNIĆ (23569)</v>
      </c>
      <c r="E428" s="221" t="s">
        <v>4812</v>
      </c>
      <c r="F428" s="221" t="s">
        <v>124</v>
      </c>
      <c r="G428" s="232">
        <v>2848317</v>
      </c>
      <c r="H428" s="16" t="s">
        <v>4813</v>
      </c>
      <c r="I428" s="209"/>
      <c r="J428" s="224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</row>
    <row r="429" spans="1:26" ht="15" customHeight="1">
      <c r="A429" s="230">
        <f t="shared" si="1"/>
        <v>426</v>
      </c>
      <c r="B429" s="231">
        <v>7544</v>
      </c>
      <c r="C429" s="221" t="s">
        <v>4814</v>
      </c>
      <c r="D429" s="221" t="str">
        <f t="shared" si="0"/>
        <v>DOM ZA ODRASLE OSOBE BJELOVAR (7544)</v>
      </c>
      <c r="E429" s="221" t="s">
        <v>4815</v>
      </c>
      <c r="F429" s="221" t="s">
        <v>3944</v>
      </c>
      <c r="G429" s="232">
        <v>3316998</v>
      </c>
      <c r="H429" s="16" t="s">
        <v>4816</v>
      </c>
      <c r="I429" s="209"/>
      <c r="J429" s="224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</row>
    <row r="430" spans="1:26" ht="15" customHeight="1">
      <c r="A430" s="230">
        <f t="shared" si="1"/>
        <v>427</v>
      </c>
      <c r="B430" s="231">
        <v>7569</v>
      </c>
      <c r="C430" s="221" t="s">
        <v>4817</v>
      </c>
      <c r="D430" s="221" t="str">
        <f t="shared" si="0"/>
        <v>DOM ZA PSIHIČKI BOLESNE ODRASLE OSOBE BLATO (7569)</v>
      </c>
      <c r="E430" s="221" t="s">
        <v>4818</v>
      </c>
      <c r="F430" s="221" t="s">
        <v>4819</v>
      </c>
      <c r="G430" s="232">
        <v>3081192</v>
      </c>
      <c r="H430" s="16" t="s">
        <v>4820</v>
      </c>
      <c r="I430" s="209"/>
      <c r="J430" s="224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</row>
    <row r="431" spans="1:26" ht="15" customHeight="1">
      <c r="A431" s="230">
        <f t="shared" si="1"/>
        <v>428</v>
      </c>
      <c r="B431" s="231">
        <v>7624</v>
      </c>
      <c r="C431" s="221" t="s">
        <v>4821</v>
      </c>
      <c r="D431" s="221" t="str">
        <f t="shared" si="0"/>
        <v>DOM ZA ODRASLE OSOBE JALŽABET (7624)</v>
      </c>
      <c r="E431" s="221" t="s">
        <v>4822</v>
      </c>
      <c r="F431" s="221" t="s">
        <v>4823</v>
      </c>
      <c r="G431" s="232">
        <v>3006441</v>
      </c>
      <c r="H431" s="16" t="s">
        <v>4824</v>
      </c>
      <c r="I431" s="209"/>
      <c r="J431" s="224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</row>
    <row r="432" spans="1:26" ht="15" customHeight="1">
      <c r="A432" s="230">
        <f t="shared" si="1"/>
        <v>429</v>
      </c>
      <c r="B432" s="231">
        <v>7690</v>
      </c>
      <c r="C432" s="221" t="s">
        <v>4825</v>
      </c>
      <c r="D432" s="221" t="str">
        <f t="shared" si="0"/>
        <v>DOM ZA PSIHIČKI BOLESNE ODRASLE OSOBE MOTOVUN (7690)</v>
      </c>
      <c r="E432" s="221" t="s">
        <v>4826</v>
      </c>
      <c r="F432" s="221" t="s">
        <v>4827</v>
      </c>
      <c r="G432" s="232">
        <v>3089304</v>
      </c>
      <c r="H432" s="16" t="s">
        <v>4828</v>
      </c>
      <c r="I432" s="209"/>
      <c r="J432" s="224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</row>
    <row r="433" spans="1:26" ht="15" customHeight="1">
      <c r="A433" s="230">
        <f t="shared" si="1"/>
        <v>430</v>
      </c>
      <c r="B433" s="231">
        <v>7938</v>
      </c>
      <c r="C433" s="221" t="s">
        <v>4829</v>
      </c>
      <c r="D433" s="221" t="str">
        <f t="shared" si="0"/>
        <v>DOM ZA ODRASLE OSOBE SV. FRANE ZADAR (7938)</v>
      </c>
      <c r="E433" s="221" t="s">
        <v>4830</v>
      </c>
      <c r="F433" s="221" t="s">
        <v>214</v>
      </c>
      <c r="G433" s="232">
        <v>3132226</v>
      </c>
      <c r="H433" s="16" t="s">
        <v>4831</v>
      </c>
      <c r="I433" s="209"/>
      <c r="J433" s="224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</row>
    <row r="434" spans="1:26" ht="15" customHeight="1">
      <c r="A434" s="230">
        <f t="shared" si="1"/>
        <v>431</v>
      </c>
      <c r="B434" s="231">
        <v>7704</v>
      </c>
      <c r="C434" s="221" t="s">
        <v>4832</v>
      </c>
      <c r="D434" s="221" t="str">
        <f t="shared" si="0"/>
        <v>DOM ZA ODRASLE OSOBE "SVETA NEDJELJA" NEDEŠĆINA (7704)</v>
      </c>
      <c r="E434" s="221" t="s">
        <v>4833</v>
      </c>
      <c r="F434" s="221" t="s">
        <v>4834</v>
      </c>
      <c r="G434" s="232">
        <v>3075184</v>
      </c>
      <c r="H434" s="16" t="s">
        <v>4835</v>
      </c>
      <c r="I434" s="209"/>
      <c r="J434" s="224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</row>
    <row r="435" spans="1:26" ht="15" customHeight="1">
      <c r="A435" s="230">
        <f t="shared" si="1"/>
        <v>432</v>
      </c>
      <c r="B435" s="231">
        <v>7866</v>
      </c>
      <c r="C435" s="221" t="s">
        <v>4836</v>
      </c>
      <c r="D435" s="221" t="str">
        <f t="shared" si="0"/>
        <v>DOM ZA PSIHIČKI BOLESNE ODRASLE OSOBE TROGIR (7866)</v>
      </c>
      <c r="E435" s="221" t="s">
        <v>4837</v>
      </c>
      <c r="F435" s="221" t="s">
        <v>4838</v>
      </c>
      <c r="G435" s="232">
        <v>3039200</v>
      </c>
      <c r="H435" s="16" t="s">
        <v>4839</v>
      </c>
      <c r="I435" s="209"/>
      <c r="J435" s="224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</row>
    <row r="436" spans="1:26" ht="15" customHeight="1">
      <c r="A436" s="230">
        <f t="shared" si="1"/>
        <v>433</v>
      </c>
      <c r="B436" s="231">
        <v>23657</v>
      </c>
      <c r="C436" s="221" t="s">
        <v>4840</v>
      </c>
      <c r="D436" s="221" t="str">
        <f t="shared" si="0"/>
        <v>DOM ZA ODRASLE OSOBE VILA MARIA (23657)</v>
      </c>
      <c r="E436" s="221" t="s">
        <v>4841</v>
      </c>
      <c r="F436" s="221" t="s">
        <v>108</v>
      </c>
      <c r="G436" s="232">
        <v>1599585</v>
      </c>
      <c r="H436" s="16" t="s">
        <v>4842</v>
      </c>
      <c r="I436" s="209"/>
      <c r="J436" s="224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</row>
    <row r="437" spans="1:26" ht="15" customHeight="1">
      <c r="A437" s="230">
        <f t="shared" si="1"/>
        <v>434</v>
      </c>
      <c r="B437" s="231">
        <v>8051</v>
      </c>
      <c r="C437" s="221" t="s">
        <v>4843</v>
      </c>
      <c r="D437" s="221" t="str">
        <f t="shared" si="0"/>
        <v>DOM ZA PSIHIČKI BOLESNE ODRASLE OSOBE ZAGREB (8051)</v>
      </c>
      <c r="E437" s="221" t="s">
        <v>4844</v>
      </c>
      <c r="F437" s="221" t="s">
        <v>23</v>
      </c>
      <c r="G437" s="232">
        <v>1354256</v>
      </c>
      <c r="H437" s="16" t="s">
        <v>4845</v>
      </c>
      <c r="I437" s="209"/>
      <c r="J437" s="224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</row>
    <row r="438" spans="1:26" ht="15" customHeight="1">
      <c r="A438" s="230">
        <f t="shared" si="1"/>
        <v>435</v>
      </c>
      <c r="B438" s="231">
        <v>22322</v>
      </c>
      <c r="C438" s="221" t="s">
        <v>4846</v>
      </c>
      <c r="D438" s="221" t="str">
        <f t="shared" si="0"/>
        <v>DOM ZA ODRASLE OSOBE ZEMUNIK (22322)</v>
      </c>
      <c r="E438" s="221" t="s">
        <v>4847</v>
      </c>
      <c r="F438" s="221" t="s">
        <v>4848</v>
      </c>
      <c r="G438" s="232">
        <v>1364464</v>
      </c>
      <c r="H438" s="16" t="s">
        <v>4849</v>
      </c>
      <c r="I438" s="209"/>
      <c r="J438" s="224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</row>
    <row r="439" spans="1:26" ht="15" customHeight="1">
      <c r="A439" s="230">
        <f t="shared" si="1"/>
        <v>436</v>
      </c>
      <c r="B439" s="231">
        <v>43327</v>
      </c>
      <c r="C439" s="221" t="s">
        <v>4850</v>
      </c>
      <c r="D439" s="221" t="str">
        <f t="shared" si="0"/>
        <v>DOM ZA STARIJE I TEŠKO BOLESNE ODRASLE OSOBE "MAJKA MARIJA PETKOVIĆ" (43327)</v>
      </c>
      <c r="E439" s="221" t="s">
        <v>4851</v>
      </c>
      <c r="F439" s="221" t="s">
        <v>4819</v>
      </c>
      <c r="G439" s="239" t="s">
        <v>4852</v>
      </c>
      <c r="H439" s="244" t="s">
        <v>4853</v>
      </c>
      <c r="I439" s="209"/>
      <c r="J439" s="224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</row>
    <row r="440" spans="1:26" ht="15" customHeight="1">
      <c r="A440" s="230">
        <f t="shared" si="1"/>
        <v>437</v>
      </c>
      <c r="B440" s="231">
        <v>46052</v>
      </c>
      <c r="C440" s="221" t="s">
        <v>4854</v>
      </c>
      <c r="D440" s="221" t="str">
        <f t="shared" si="0"/>
        <v>DOM ZA STARIJE OSOBE OKLAJ (46052)</v>
      </c>
      <c r="E440" s="221" t="s">
        <v>4855</v>
      </c>
      <c r="F440" s="221" t="s">
        <v>4856</v>
      </c>
      <c r="G440" s="232">
        <v>1917790</v>
      </c>
      <c r="H440" s="16" t="s">
        <v>4857</v>
      </c>
      <c r="I440" s="209"/>
      <c r="J440" s="224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</row>
    <row r="441" spans="1:26" ht="15" customHeight="1">
      <c r="A441" s="230">
        <f t="shared" si="1"/>
        <v>438</v>
      </c>
      <c r="B441" s="231">
        <v>7243</v>
      </c>
      <c r="C441" s="221" t="s">
        <v>4858</v>
      </c>
      <c r="D441" s="221" t="str">
        <f t="shared" si="0"/>
        <v>ODGOJNI DOM IVANEC (7243)</v>
      </c>
      <c r="E441" s="221" t="s">
        <v>4859</v>
      </c>
      <c r="F441" s="221" t="s">
        <v>4538</v>
      </c>
      <c r="G441" s="232">
        <v>3126013</v>
      </c>
      <c r="H441" s="16" t="s">
        <v>4860</v>
      </c>
      <c r="I441" s="209"/>
      <c r="J441" s="224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</row>
    <row r="442" spans="1:26" ht="15" customHeight="1">
      <c r="A442" s="230">
        <f t="shared" si="1"/>
        <v>439</v>
      </c>
      <c r="B442" s="231">
        <v>7260</v>
      </c>
      <c r="C442" s="221" t="s">
        <v>4861</v>
      </c>
      <c r="D442" s="221" t="str">
        <f t="shared" si="0"/>
        <v>ODGOJNI DOM MALI LOŠINJ (7260)</v>
      </c>
      <c r="E442" s="221" t="s">
        <v>4862</v>
      </c>
      <c r="F442" s="221" t="s">
        <v>4467</v>
      </c>
      <c r="G442" s="232">
        <v>3040216</v>
      </c>
      <c r="H442" s="16" t="s">
        <v>4863</v>
      </c>
      <c r="I442" s="209"/>
      <c r="J442" s="224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</row>
    <row r="443" spans="1:26" ht="15" customHeight="1">
      <c r="A443" s="219">
        <f t="shared" si="1"/>
        <v>440</v>
      </c>
      <c r="B443" s="226">
        <v>43214</v>
      </c>
      <c r="C443" s="227" t="s">
        <v>4864</v>
      </c>
      <c r="D443" s="221" t="str">
        <f t="shared" si="0"/>
        <v>MINISTARSTVO TURIZMA I SPORTA (43214)</v>
      </c>
      <c r="E443" s="227" t="s">
        <v>4116</v>
      </c>
      <c r="F443" s="227" t="s">
        <v>23</v>
      </c>
      <c r="G443" s="228">
        <v>2323427</v>
      </c>
      <c r="H443" s="229" t="s">
        <v>4865</v>
      </c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</row>
    <row r="444" spans="1:26" ht="15" customHeight="1">
      <c r="A444" s="219">
        <f t="shared" si="1"/>
        <v>441</v>
      </c>
      <c r="B444" s="226" t="s">
        <v>4866</v>
      </c>
      <c r="C444" s="227" t="s">
        <v>4867</v>
      </c>
      <c r="D444" s="221" t="str">
        <f t="shared" si="0"/>
        <v>MINISTARSTVO ZDRAVSTVA (47107)</v>
      </c>
      <c r="E444" s="227" t="s">
        <v>4868</v>
      </c>
      <c r="F444" s="227" t="s">
        <v>23</v>
      </c>
      <c r="G444" s="228">
        <v>2830396</v>
      </c>
      <c r="H444" s="229" t="s">
        <v>4869</v>
      </c>
      <c r="I444" s="209"/>
      <c r="J444" s="224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</row>
    <row r="445" spans="1:26" ht="15" customHeight="1">
      <c r="A445" s="230">
        <f t="shared" si="1"/>
        <v>442</v>
      </c>
      <c r="B445" s="231">
        <v>26571</v>
      </c>
      <c r="C445" s="221" t="s">
        <v>4870</v>
      </c>
      <c r="D445" s="221" t="str">
        <f t="shared" si="0"/>
        <v>KLINIČKA BOLNICA DUBRAVA (26571)</v>
      </c>
      <c r="E445" s="221" t="s">
        <v>4871</v>
      </c>
      <c r="F445" s="221" t="s">
        <v>23</v>
      </c>
      <c r="G445" s="232">
        <v>3799913</v>
      </c>
      <c r="H445" s="16" t="s">
        <v>4872</v>
      </c>
      <c r="I445" s="209"/>
      <c r="J445" s="224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</row>
    <row r="446" spans="1:26" ht="15" customHeight="1">
      <c r="A446" s="230">
        <f t="shared" si="1"/>
        <v>443</v>
      </c>
      <c r="B446" s="231">
        <v>26387</v>
      </c>
      <c r="C446" s="221" t="s">
        <v>4873</v>
      </c>
      <c r="D446" s="221" t="str">
        <f t="shared" si="0"/>
        <v>KLINIČKA BOLNICA MERKUR (26387)</v>
      </c>
      <c r="E446" s="221" t="s">
        <v>4874</v>
      </c>
      <c r="F446" s="221" t="s">
        <v>23</v>
      </c>
      <c r="G446" s="232">
        <v>3279057</v>
      </c>
      <c r="H446" s="16" t="s">
        <v>4875</v>
      </c>
      <c r="I446" s="209"/>
      <c r="J446" s="224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</row>
    <row r="447" spans="1:26" ht="15" customHeight="1">
      <c r="A447" s="230">
        <f t="shared" si="1"/>
        <v>444</v>
      </c>
      <c r="B447" s="231">
        <v>26400</v>
      </c>
      <c r="C447" s="12" t="s">
        <v>4876</v>
      </c>
      <c r="D447" s="221" t="str">
        <f t="shared" si="0"/>
        <v>KLINIČKI BOLNIČKI CENTAR OSIJEK (26400)</v>
      </c>
      <c r="E447" s="221" t="s">
        <v>4877</v>
      </c>
      <c r="F447" s="221" t="s">
        <v>43</v>
      </c>
      <c r="G447" s="232">
        <v>3018822</v>
      </c>
      <c r="H447" s="16" t="s">
        <v>4878</v>
      </c>
      <c r="I447" s="209"/>
      <c r="J447" s="224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</row>
    <row r="448" spans="1:26" ht="15" customHeight="1">
      <c r="A448" s="230">
        <f t="shared" si="1"/>
        <v>445</v>
      </c>
      <c r="B448" s="231">
        <v>26379</v>
      </c>
      <c r="C448" s="221" t="s">
        <v>4879</v>
      </c>
      <c r="D448" s="221" t="str">
        <f t="shared" si="0"/>
        <v>KLINIČKI BOLNIČKI CENTAR RIJEKA (26379)</v>
      </c>
      <c r="E448" s="221" t="s">
        <v>4880</v>
      </c>
      <c r="F448" s="221" t="s">
        <v>124</v>
      </c>
      <c r="G448" s="232">
        <v>3368041</v>
      </c>
      <c r="H448" s="16" t="s">
        <v>4881</v>
      </c>
      <c r="I448" s="209"/>
      <c r="J448" s="224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</row>
    <row r="449" spans="1:26" ht="15" customHeight="1">
      <c r="A449" s="230">
        <f t="shared" si="1"/>
        <v>446</v>
      </c>
      <c r="B449" s="231">
        <v>26395</v>
      </c>
      <c r="C449" s="221" t="s">
        <v>4882</v>
      </c>
      <c r="D449" s="221" t="str">
        <f t="shared" si="0"/>
        <v>KLINIČKI BOLNIČKI CENTAR SESTRE MILOSRDNICE (26395)</v>
      </c>
      <c r="E449" s="221" t="s">
        <v>4883</v>
      </c>
      <c r="F449" s="221" t="s">
        <v>23</v>
      </c>
      <c r="G449" s="232">
        <v>3208036</v>
      </c>
      <c r="H449" s="16" t="s">
        <v>4884</v>
      </c>
      <c r="I449" s="209"/>
      <c r="J449" s="224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</row>
    <row r="450" spans="1:26" ht="15" customHeight="1">
      <c r="A450" s="230">
        <f t="shared" si="1"/>
        <v>447</v>
      </c>
      <c r="B450" s="231">
        <v>26418</v>
      </c>
      <c r="C450" s="12" t="s">
        <v>4885</v>
      </c>
      <c r="D450" s="221" t="str">
        <f t="shared" si="0"/>
        <v>KLINIČKI BOLNIČKI CENTAR SPLIT (26418)</v>
      </c>
      <c r="E450" s="221" t="s">
        <v>4886</v>
      </c>
      <c r="F450" s="221" t="s">
        <v>173</v>
      </c>
      <c r="G450" s="232">
        <v>242870</v>
      </c>
      <c r="H450" s="16" t="s">
        <v>4887</v>
      </c>
      <c r="I450" s="209"/>
      <c r="J450" s="224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</row>
    <row r="451" spans="1:26" ht="15" customHeight="1">
      <c r="A451" s="230">
        <f t="shared" si="1"/>
        <v>448</v>
      </c>
      <c r="B451" s="231">
        <v>38069</v>
      </c>
      <c r="C451" s="221" t="s">
        <v>4888</v>
      </c>
      <c r="D451" s="221" t="str">
        <f t="shared" si="0"/>
        <v>KLINIČKI BOLNIČKI CENTAR ZAGREB (38069)</v>
      </c>
      <c r="E451" s="221" t="s">
        <v>4889</v>
      </c>
      <c r="F451" s="221" t="s">
        <v>23</v>
      </c>
      <c r="G451" s="232">
        <v>3270777</v>
      </c>
      <c r="H451" s="16" t="s">
        <v>4890</v>
      </c>
      <c r="I451" s="209"/>
      <c r="J451" s="224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</row>
    <row r="452" spans="1:26" ht="15" customHeight="1">
      <c r="A452" s="230">
        <f t="shared" si="1"/>
        <v>449</v>
      </c>
      <c r="B452" s="231">
        <v>47893</v>
      </c>
      <c r="C452" s="221" t="s">
        <v>4891</v>
      </c>
      <c r="D452" s="221" t="str">
        <f t="shared" si="0"/>
        <v>KLINIKA ZA DJEČJE BOLESTI ZAGREB (47893)</v>
      </c>
      <c r="E452" s="221" t="s">
        <v>4892</v>
      </c>
      <c r="F452" s="221" t="s">
        <v>23</v>
      </c>
      <c r="G452" s="232">
        <v>2874989</v>
      </c>
      <c r="H452" s="16" t="s">
        <v>4893</v>
      </c>
      <c r="I452" s="209"/>
      <c r="J452" s="224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</row>
    <row r="453" spans="1:26" ht="15" customHeight="1">
      <c r="A453" s="230">
        <f t="shared" si="1"/>
        <v>450</v>
      </c>
      <c r="B453" s="231">
        <v>26459</v>
      </c>
      <c r="C453" s="221" t="s">
        <v>4894</v>
      </c>
      <c r="D453" s="221" t="str">
        <f t="shared" si="0"/>
        <v>KLINIKA ZA INFEKTIVNE BOLESTI DR. FRAN MIHALJEVIĆ (26459)</v>
      </c>
      <c r="E453" s="221" t="s">
        <v>4895</v>
      </c>
      <c r="F453" s="221" t="s">
        <v>23</v>
      </c>
      <c r="G453" s="232">
        <v>3270793</v>
      </c>
      <c r="H453" s="16" t="s">
        <v>4896</v>
      </c>
      <c r="I453" s="209"/>
      <c r="J453" s="224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</row>
    <row r="454" spans="1:26" ht="15" customHeight="1">
      <c r="A454" s="230">
        <f t="shared" si="1"/>
        <v>451</v>
      </c>
      <c r="B454" s="231">
        <v>26426</v>
      </c>
      <c r="C454" s="12" t="s">
        <v>4897</v>
      </c>
      <c r="D454" s="221" t="str">
        <f t="shared" si="0"/>
        <v>KLINIKA ZA ORTOPEDIJU LOVRAN (26426)</v>
      </c>
      <c r="E454" s="221" t="s">
        <v>4898</v>
      </c>
      <c r="F454" s="221" t="s">
        <v>4254</v>
      </c>
      <c r="G454" s="232">
        <v>3090302</v>
      </c>
      <c r="H454" s="16" t="s">
        <v>4899</v>
      </c>
      <c r="I454" s="209"/>
      <c r="J454" s="224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</row>
    <row r="455" spans="1:26" ht="15" customHeight="1">
      <c r="A455" s="230">
        <f t="shared" si="1"/>
        <v>452</v>
      </c>
      <c r="B455" s="231">
        <v>38028</v>
      </c>
      <c r="C455" s="12" t="s">
        <v>4900</v>
      </c>
      <c r="D455" s="221" t="str">
        <f t="shared" si="0"/>
        <v>NACIONALNA MEMORIJALNA BOLNICA VUKOVAR (38028)</v>
      </c>
      <c r="E455" s="221" t="s">
        <v>4901</v>
      </c>
      <c r="F455" s="221" t="s">
        <v>324</v>
      </c>
      <c r="G455" s="239" t="s">
        <v>4902</v>
      </c>
      <c r="H455" s="242">
        <v>54896856295</v>
      </c>
      <c r="I455" s="209"/>
      <c r="J455" s="224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</row>
    <row r="456" spans="1:26" ht="15" customHeight="1">
      <c r="A456" s="230">
        <f t="shared" si="1"/>
        <v>453</v>
      </c>
      <c r="B456" s="231">
        <v>38655</v>
      </c>
      <c r="C456" s="221" t="s">
        <v>4903</v>
      </c>
      <c r="D456" s="221" t="str">
        <f t="shared" si="0"/>
        <v>DOM ZDRAVLJA MINISTARSTVA UNUTARNJIH POSLOVA REPUBLIKE HRVATSKE (38655)</v>
      </c>
      <c r="E456" s="221" t="s">
        <v>4904</v>
      </c>
      <c r="F456" s="221" t="s">
        <v>23</v>
      </c>
      <c r="G456" s="232">
        <v>3274314</v>
      </c>
      <c r="H456" s="16" t="s">
        <v>4905</v>
      </c>
      <c r="I456" s="209"/>
      <c r="J456" s="224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</row>
    <row r="457" spans="1:26" ht="15" customHeight="1">
      <c r="A457" s="230">
        <f t="shared" si="1"/>
        <v>454</v>
      </c>
      <c r="B457" s="231">
        <v>44573</v>
      </c>
      <c r="C457" s="221" t="s">
        <v>4906</v>
      </c>
      <c r="D457" s="221" t="str">
        <f t="shared" si="0"/>
        <v>HRVATSKI ZAVOD ZA HITNU MEDICINU (44573)</v>
      </c>
      <c r="E457" s="221" t="s">
        <v>4907</v>
      </c>
      <c r="F457" s="221" t="s">
        <v>23</v>
      </c>
      <c r="G457" s="232">
        <v>2536145</v>
      </c>
      <c r="H457" s="16" t="s">
        <v>4908</v>
      </c>
      <c r="I457" s="209"/>
      <c r="J457" s="224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</row>
    <row r="458" spans="1:26" ht="15" customHeight="1">
      <c r="A458" s="230">
        <f t="shared" si="1"/>
        <v>455</v>
      </c>
      <c r="B458" s="231">
        <v>26346</v>
      </c>
      <c r="C458" s="221" t="s">
        <v>4909</v>
      </c>
      <c r="D458" s="221" t="str">
        <f t="shared" si="0"/>
        <v>HRVATSKI ZAVOD ZA JAVNO ZDRAVSTVO (26346)</v>
      </c>
      <c r="E458" s="221" t="s">
        <v>4910</v>
      </c>
      <c r="F458" s="221" t="s">
        <v>23</v>
      </c>
      <c r="G458" s="232">
        <v>3270963</v>
      </c>
      <c r="H458" s="16" t="s">
        <v>4911</v>
      </c>
      <c r="I458" s="209"/>
      <c r="J458" s="224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</row>
    <row r="459" spans="1:26" ht="15" customHeight="1">
      <c r="A459" s="230">
        <f t="shared" si="1"/>
        <v>456</v>
      </c>
      <c r="B459" s="231">
        <v>26354</v>
      </c>
      <c r="C459" s="221" t="s">
        <v>4912</v>
      </c>
      <c r="D459" s="221" t="str">
        <f t="shared" si="0"/>
        <v>HRVATSKI ZAVOD ZA TRANSFUZIJSKU MEDICINU (26354)</v>
      </c>
      <c r="E459" s="221" t="s">
        <v>4913</v>
      </c>
      <c r="F459" s="221" t="s">
        <v>23</v>
      </c>
      <c r="G459" s="232">
        <v>3281973</v>
      </c>
      <c r="H459" s="16" t="s">
        <v>4914</v>
      </c>
      <c r="I459" s="209"/>
      <c r="J459" s="224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</row>
    <row r="460" spans="1:26" ht="15" customHeight="1">
      <c r="A460" s="230">
        <f t="shared" si="1"/>
        <v>457</v>
      </c>
      <c r="B460" s="231">
        <v>23616</v>
      </c>
      <c r="C460" s="221" t="s">
        <v>4915</v>
      </c>
      <c r="D460" s="221" t="str">
        <f t="shared" si="0"/>
        <v>IMUNOLOŠKI ZAVOD (23616)</v>
      </c>
      <c r="E460" s="221" t="s">
        <v>4916</v>
      </c>
      <c r="F460" s="221" t="s">
        <v>23</v>
      </c>
      <c r="G460" s="233" t="s">
        <v>4917</v>
      </c>
      <c r="H460" s="245" t="s">
        <v>4918</v>
      </c>
      <c r="I460" s="209"/>
      <c r="J460" s="224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</row>
    <row r="461" spans="1:26" ht="15" customHeight="1">
      <c r="A461" s="219">
        <f t="shared" si="1"/>
        <v>458</v>
      </c>
      <c r="B461" s="226">
        <v>21828</v>
      </c>
      <c r="C461" s="227" t="s">
        <v>4919</v>
      </c>
      <c r="D461" s="221" t="str">
        <f t="shared" si="0"/>
        <v>HRVATSKA AKADEMIJA ZNANOSTI I UMJETNOSTI (21828)</v>
      </c>
      <c r="E461" s="227" t="s">
        <v>4920</v>
      </c>
      <c r="F461" s="227" t="s">
        <v>23</v>
      </c>
      <c r="G461" s="228">
        <v>3205207</v>
      </c>
      <c r="H461" s="229" t="s">
        <v>4921</v>
      </c>
      <c r="I461" s="209"/>
      <c r="J461" s="224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</row>
    <row r="462" spans="1:26" ht="15" customHeight="1">
      <c r="A462" s="219">
        <f t="shared" si="1"/>
        <v>459</v>
      </c>
      <c r="B462" s="226">
        <v>51441</v>
      </c>
      <c r="C462" s="227" t="s">
        <v>4922</v>
      </c>
      <c r="D462" s="221" t="str">
        <f t="shared" si="0"/>
        <v>MINISTARSTVO PRAVOSUĐA I UPRAVE (51441)</v>
      </c>
      <c r="E462" s="227" t="s">
        <v>4923</v>
      </c>
      <c r="F462" s="227" t="s">
        <v>23</v>
      </c>
      <c r="G462" s="228">
        <v>5287260</v>
      </c>
      <c r="H462" s="229" t="s">
        <v>4924</v>
      </c>
      <c r="I462" s="246"/>
      <c r="J462" s="224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</row>
    <row r="463" spans="1:26" ht="15" customHeight="1">
      <c r="A463" s="230">
        <f t="shared" si="1"/>
        <v>460</v>
      </c>
      <c r="B463" s="231">
        <v>45978</v>
      </c>
      <c r="C463" s="221" t="s">
        <v>4925</v>
      </c>
      <c r="D463" s="221" t="str">
        <f t="shared" si="0"/>
        <v>PRAVOSUDNA AKADEMIJA (45978)</v>
      </c>
      <c r="E463" s="221" t="s">
        <v>4923</v>
      </c>
      <c r="F463" s="221" t="s">
        <v>23</v>
      </c>
      <c r="G463" s="232" t="s">
        <v>4926</v>
      </c>
      <c r="H463" s="247" t="s">
        <v>4927</v>
      </c>
      <c r="I463" s="209"/>
      <c r="J463" s="224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</row>
    <row r="464" spans="1:26" ht="15" customHeight="1">
      <c r="A464" s="230">
        <f t="shared" si="1"/>
        <v>461</v>
      </c>
      <c r="B464" s="231">
        <v>47668</v>
      </c>
      <c r="C464" s="221" t="s">
        <v>4928</v>
      </c>
      <c r="D464" s="221" t="str">
        <f t="shared" si="0"/>
        <v>CENTAR ZA DIJAGNOSTIKU U ZAGREBU (47668)</v>
      </c>
      <c r="E464" s="221" t="s">
        <v>4929</v>
      </c>
      <c r="F464" s="221" t="s">
        <v>464</v>
      </c>
      <c r="G464" s="232" t="s">
        <v>4930</v>
      </c>
      <c r="H464" s="247">
        <v>95770301332</v>
      </c>
      <c r="I464" s="209"/>
      <c r="J464" s="224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</row>
    <row r="465" spans="1:26" ht="15" customHeight="1">
      <c r="A465" s="230">
        <f t="shared" si="1"/>
        <v>462</v>
      </c>
      <c r="B465" s="231">
        <v>24086</v>
      </c>
      <c r="C465" s="221" t="s">
        <v>4931</v>
      </c>
      <c r="D465" s="221" t="str">
        <f t="shared" si="0"/>
        <v>CENTAR ZA IZOBRAZBU  (24086)</v>
      </c>
      <c r="E465" s="221" t="s">
        <v>4929</v>
      </c>
      <c r="F465" s="221" t="s">
        <v>23</v>
      </c>
      <c r="G465" s="232">
        <v>1740024</v>
      </c>
      <c r="H465" s="16" t="s">
        <v>4932</v>
      </c>
      <c r="I465" s="209"/>
      <c r="J465" s="224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</row>
    <row r="466" spans="1:26" ht="15" customHeight="1">
      <c r="A466" s="230">
        <f t="shared" si="1"/>
        <v>463</v>
      </c>
      <c r="B466" s="231">
        <v>20727</v>
      </c>
      <c r="C466" s="221" t="s">
        <v>4933</v>
      </c>
      <c r="D466" s="221" t="str">
        <f t="shared" si="0"/>
        <v>KAZNIONICA U GLINI (20727)</v>
      </c>
      <c r="E466" s="221" t="s">
        <v>4934</v>
      </c>
      <c r="F466" s="221" t="s">
        <v>4519</v>
      </c>
      <c r="G466" s="232">
        <v>1149695</v>
      </c>
      <c r="H466" s="16" t="s">
        <v>4935</v>
      </c>
      <c r="I466" s="209"/>
      <c r="J466" s="224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</row>
    <row r="467" spans="1:26" ht="15" customHeight="1">
      <c r="A467" s="230">
        <f t="shared" si="1"/>
        <v>464</v>
      </c>
      <c r="B467" s="231">
        <v>3164</v>
      </c>
      <c r="C467" s="221" t="s">
        <v>4936</v>
      </c>
      <c r="D467" s="221" t="str">
        <f t="shared" si="0"/>
        <v>KAZNIONICA U LEPOGLAVI (3164)</v>
      </c>
      <c r="E467" s="221" t="s">
        <v>4937</v>
      </c>
      <c r="F467" s="221" t="s">
        <v>4938</v>
      </c>
      <c r="G467" s="232">
        <v>3125971</v>
      </c>
      <c r="H467" s="16" t="s">
        <v>4939</v>
      </c>
      <c r="I467" s="209"/>
      <c r="J467" s="224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</row>
    <row r="468" spans="1:26" ht="15" customHeight="1">
      <c r="A468" s="230">
        <f t="shared" si="1"/>
        <v>465</v>
      </c>
      <c r="B468" s="231">
        <v>3172</v>
      </c>
      <c r="C468" s="221" t="s">
        <v>4940</v>
      </c>
      <c r="D468" s="221" t="str">
        <f t="shared" si="0"/>
        <v>KAZNIONICA U LIPOVICI - POPOVAČA (3172)</v>
      </c>
      <c r="E468" s="221" t="s">
        <v>4941</v>
      </c>
      <c r="F468" s="221" t="s">
        <v>4942</v>
      </c>
      <c r="G468" s="232">
        <v>3331482</v>
      </c>
      <c r="H468" s="16" t="s">
        <v>4943</v>
      </c>
      <c r="I468" s="209"/>
      <c r="J468" s="224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</row>
    <row r="469" spans="1:26" ht="15" customHeight="1">
      <c r="A469" s="230">
        <f t="shared" si="1"/>
        <v>466</v>
      </c>
      <c r="B469" s="231">
        <v>50395</v>
      </c>
      <c r="C469" s="221" t="s">
        <v>4944</v>
      </c>
      <c r="D469" s="221" t="str">
        <f t="shared" si="0"/>
        <v>KAZNIONICA U POŽEGI (50395)</v>
      </c>
      <c r="E469" s="221" t="s">
        <v>4945</v>
      </c>
      <c r="F469" s="221" t="s">
        <v>4296</v>
      </c>
      <c r="G469" s="232">
        <v>4982495</v>
      </c>
      <c r="H469" s="16" t="s">
        <v>4946</v>
      </c>
      <c r="I469" s="209"/>
      <c r="J469" s="224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</row>
    <row r="470" spans="1:26" ht="15" customHeight="1">
      <c r="A470" s="230">
        <f t="shared" si="1"/>
        <v>467</v>
      </c>
      <c r="B470" s="231">
        <v>3197</v>
      </c>
      <c r="C470" s="221" t="s">
        <v>4947</v>
      </c>
      <c r="D470" s="221" t="str">
        <f t="shared" si="0"/>
        <v>KAZNIONICA U TUROPOLJU (3197)</v>
      </c>
      <c r="E470" s="221" t="s">
        <v>4948</v>
      </c>
      <c r="F470" s="221" t="s">
        <v>3874</v>
      </c>
      <c r="G470" s="232">
        <v>3230015</v>
      </c>
      <c r="H470" s="16" t="s">
        <v>4949</v>
      </c>
      <c r="I470" s="209"/>
      <c r="J470" s="224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</row>
    <row r="471" spans="1:26" ht="15" customHeight="1">
      <c r="A471" s="230">
        <f t="shared" si="1"/>
        <v>468</v>
      </c>
      <c r="B471" s="231">
        <v>3201</v>
      </c>
      <c r="C471" s="221" t="s">
        <v>4950</v>
      </c>
      <c r="D471" s="221" t="str">
        <f t="shared" si="0"/>
        <v>KAZNIONICA U VALTURI (3201)</v>
      </c>
      <c r="E471" s="221" t="s">
        <v>4951</v>
      </c>
      <c r="F471" s="221" t="s">
        <v>108</v>
      </c>
      <c r="G471" s="232">
        <v>3221784</v>
      </c>
      <c r="H471" s="16" t="s">
        <v>4952</v>
      </c>
      <c r="I471" s="209"/>
      <c r="J471" s="224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</row>
    <row r="472" spans="1:26" ht="15" customHeight="1">
      <c r="A472" s="230">
        <f t="shared" si="1"/>
        <v>469</v>
      </c>
      <c r="B472" s="231">
        <v>3156</v>
      </c>
      <c r="C472" s="221" t="s">
        <v>4953</v>
      </c>
      <c r="D472" s="221" t="str">
        <f t="shared" si="0"/>
        <v>ODGOJNI ZAVOD TUROPOLJE (3156)</v>
      </c>
      <c r="E472" s="221" t="s">
        <v>4954</v>
      </c>
      <c r="F472" s="221" t="s">
        <v>3874</v>
      </c>
      <c r="G472" s="232">
        <v>3126498</v>
      </c>
      <c r="H472" s="16" t="s">
        <v>4955</v>
      </c>
      <c r="I472" s="209"/>
      <c r="J472" s="224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</row>
    <row r="473" spans="1:26" ht="15" customHeight="1">
      <c r="A473" s="230">
        <f t="shared" si="1"/>
        <v>470</v>
      </c>
      <c r="B473" s="231">
        <v>46614</v>
      </c>
      <c r="C473" s="221" t="s">
        <v>4956</v>
      </c>
      <c r="D473" s="221" t="str">
        <f t="shared" si="0"/>
        <v>ODGOJNI ZAVOD U POŽEGI (46614)</v>
      </c>
      <c r="E473" s="221" t="s">
        <v>4945</v>
      </c>
      <c r="F473" s="221" t="s">
        <v>4296</v>
      </c>
      <c r="G473" s="232">
        <v>3342719</v>
      </c>
      <c r="H473" s="16" t="s">
        <v>4957</v>
      </c>
      <c r="I473" s="209"/>
      <c r="J473" s="224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</row>
    <row r="474" spans="1:26" ht="15" customHeight="1">
      <c r="A474" s="230">
        <f t="shared" si="1"/>
        <v>471</v>
      </c>
      <c r="B474" s="231">
        <v>3210</v>
      </c>
      <c r="C474" s="221" t="s">
        <v>4958</v>
      </c>
      <c r="D474" s="221" t="str">
        <f t="shared" si="0"/>
        <v>ZATVOR U BJELOVARU (3210)</v>
      </c>
      <c r="E474" s="221" t="s">
        <v>4959</v>
      </c>
      <c r="F474" s="221" t="s">
        <v>3944</v>
      </c>
      <c r="G474" s="232">
        <v>3331369</v>
      </c>
      <c r="H474" s="16" t="s">
        <v>4960</v>
      </c>
      <c r="I474" s="209"/>
      <c r="J474" s="224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</row>
    <row r="475" spans="1:26" ht="15" customHeight="1">
      <c r="A475" s="230">
        <f t="shared" si="1"/>
        <v>472</v>
      </c>
      <c r="B475" s="231">
        <v>3228</v>
      </c>
      <c r="C475" s="221" t="s">
        <v>4961</v>
      </c>
      <c r="D475" s="221" t="str">
        <f t="shared" si="0"/>
        <v>ZATVOR U DUBROVNIKU  (3228)</v>
      </c>
      <c r="E475" s="221" t="s">
        <v>4962</v>
      </c>
      <c r="F475" s="221" t="s">
        <v>118</v>
      </c>
      <c r="G475" s="232">
        <v>3312062</v>
      </c>
      <c r="H475" s="16" t="s">
        <v>4963</v>
      </c>
      <c r="I475" s="209"/>
      <c r="J475" s="224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</row>
    <row r="476" spans="1:26" ht="15" customHeight="1">
      <c r="A476" s="230">
        <f t="shared" si="1"/>
        <v>473</v>
      </c>
      <c r="B476" s="231">
        <v>3236</v>
      </c>
      <c r="C476" s="221" t="s">
        <v>4964</v>
      </c>
      <c r="D476" s="221" t="str">
        <f t="shared" si="0"/>
        <v>ZATVOR U GOSPIĆU (3236)</v>
      </c>
      <c r="E476" s="221" t="s">
        <v>4965</v>
      </c>
      <c r="F476" s="221" t="s">
        <v>332</v>
      </c>
      <c r="G476" s="232">
        <v>3345971</v>
      </c>
      <c r="H476" s="16" t="s">
        <v>4966</v>
      </c>
      <c r="I476" s="209"/>
      <c r="J476" s="224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</row>
    <row r="477" spans="1:26" ht="15" customHeight="1">
      <c r="A477" s="230">
        <f t="shared" si="1"/>
        <v>474</v>
      </c>
      <c r="B477" s="231">
        <v>3244</v>
      </c>
      <c r="C477" s="221" t="s">
        <v>4967</v>
      </c>
      <c r="D477" s="221" t="str">
        <f t="shared" si="0"/>
        <v>ZATVOR U KARLOVCU (3244)</v>
      </c>
      <c r="E477" s="221" t="s">
        <v>4968</v>
      </c>
      <c r="F477" s="221" t="s">
        <v>336</v>
      </c>
      <c r="G477" s="232">
        <v>3141667</v>
      </c>
      <c r="H477" s="16" t="s">
        <v>4969</v>
      </c>
      <c r="I477" s="209"/>
      <c r="J477" s="224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</row>
    <row r="478" spans="1:26" ht="15" customHeight="1">
      <c r="A478" s="230">
        <f t="shared" si="1"/>
        <v>475</v>
      </c>
      <c r="B478" s="231">
        <v>3252</v>
      </c>
      <c r="C478" s="221" t="s">
        <v>4970</v>
      </c>
      <c r="D478" s="221" t="str">
        <f t="shared" si="0"/>
        <v>ZATVOR U OSIJEKU (3252)</v>
      </c>
      <c r="E478" s="221" t="s">
        <v>4971</v>
      </c>
      <c r="F478" s="221" t="s">
        <v>43</v>
      </c>
      <c r="G478" s="232">
        <v>3055264</v>
      </c>
      <c r="H478" s="16" t="s">
        <v>4972</v>
      </c>
      <c r="I478" s="209"/>
      <c r="J478" s="224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</row>
    <row r="479" spans="1:26" ht="15" customHeight="1">
      <c r="A479" s="230">
        <f t="shared" si="1"/>
        <v>476</v>
      </c>
      <c r="B479" s="231">
        <v>50400</v>
      </c>
      <c r="C479" s="221" t="s">
        <v>4973</v>
      </c>
      <c r="D479" s="221" t="str">
        <f t="shared" si="0"/>
        <v>ZATVOR U POŽEGI (50400)</v>
      </c>
      <c r="E479" s="221" t="s">
        <v>4974</v>
      </c>
      <c r="F479" s="221" t="s">
        <v>4296</v>
      </c>
      <c r="G479" s="232">
        <v>4982533</v>
      </c>
      <c r="H479" s="16" t="s">
        <v>4975</v>
      </c>
      <c r="I479" s="209"/>
      <c r="J479" s="224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</row>
    <row r="480" spans="1:26" ht="15" customHeight="1">
      <c r="A480" s="230">
        <f t="shared" si="1"/>
        <v>477</v>
      </c>
      <c r="B480" s="231">
        <v>3277</v>
      </c>
      <c r="C480" s="221" t="s">
        <v>4976</v>
      </c>
      <c r="D480" s="221" t="str">
        <f t="shared" si="0"/>
        <v>ZATVOR U PULI (3277)</v>
      </c>
      <c r="E480" s="221" t="s">
        <v>4977</v>
      </c>
      <c r="F480" s="221" t="s">
        <v>108</v>
      </c>
      <c r="G480" s="232">
        <v>3227693</v>
      </c>
      <c r="H480" s="16" t="s">
        <v>4978</v>
      </c>
      <c r="I480" s="209"/>
      <c r="J480" s="224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</row>
    <row r="481" spans="1:26" ht="15" customHeight="1">
      <c r="A481" s="230">
        <f t="shared" si="1"/>
        <v>478</v>
      </c>
      <c r="B481" s="231">
        <v>3285</v>
      </c>
      <c r="C481" s="221" t="s">
        <v>4979</v>
      </c>
      <c r="D481" s="221" t="str">
        <f t="shared" si="0"/>
        <v>ZATVOR U RIJECI (3285)</v>
      </c>
      <c r="E481" s="221" t="s">
        <v>4980</v>
      </c>
      <c r="F481" s="221" t="s">
        <v>124</v>
      </c>
      <c r="G481" s="232">
        <v>3341640</v>
      </c>
      <c r="H481" s="16" t="s">
        <v>4981</v>
      </c>
      <c r="I481" s="209"/>
      <c r="J481" s="224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</row>
    <row r="482" spans="1:26" ht="15" customHeight="1">
      <c r="A482" s="230">
        <f t="shared" si="1"/>
        <v>479</v>
      </c>
      <c r="B482" s="231">
        <v>3293</v>
      </c>
      <c r="C482" s="221" t="s">
        <v>4982</v>
      </c>
      <c r="D482" s="221" t="str">
        <f t="shared" si="0"/>
        <v>ZATVOR U SISKU (3293)</v>
      </c>
      <c r="E482" s="221" t="s">
        <v>4983</v>
      </c>
      <c r="F482" s="221" t="s">
        <v>286</v>
      </c>
      <c r="G482" s="232">
        <v>3314707</v>
      </c>
      <c r="H482" s="16" t="s">
        <v>4984</v>
      </c>
      <c r="I482" s="209"/>
      <c r="J482" s="224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</row>
    <row r="483" spans="1:26" ht="15" customHeight="1">
      <c r="A483" s="230">
        <f t="shared" si="1"/>
        <v>480</v>
      </c>
      <c r="B483" s="231">
        <v>3308</v>
      </c>
      <c r="C483" s="221" t="s">
        <v>4985</v>
      </c>
      <c r="D483" s="221" t="str">
        <f t="shared" si="0"/>
        <v>ZATVOR U SPLITU (3308)</v>
      </c>
      <c r="E483" s="221" t="s">
        <v>4986</v>
      </c>
      <c r="F483" s="221" t="s">
        <v>173</v>
      </c>
      <c r="G483" s="232">
        <v>3148262</v>
      </c>
      <c r="H483" s="16" t="s">
        <v>4987</v>
      </c>
      <c r="I483" s="209"/>
      <c r="J483" s="224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</row>
    <row r="484" spans="1:26" ht="15" customHeight="1">
      <c r="A484" s="230">
        <f t="shared" si="1"/>
        <v>481</v>
      </c>
      <c r="B484" s="231">
        <v>3316</v>
      </c>
      <c r="C484" s="221" t="s">
        <v>4988</v>
      </c>
      <c r="D484" s="221" t="str">
        <f t="shared" si="0"/>
        <v>ZATVOR U ŠIBENIKU (3316)</v>
      </c>
      <c r="E484" s="221" t="s">
        <v>4989</v>
      </c>
      <c r="F484" s="221" t="s">
        <v>343</v>
      </c>
      <c r="G484" s="232">
        <v>3060870</v>
      </c>
      <c r="H484" s="16" t="s">
        <v>4990</v>
      </c>
      <c r="I484" s="209"/>
      <c r="J484" s="224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</row>
    <row r="485" spans="1:26" ht="15" customHeight="1">
      <c r="A485" s="230">
        <f t="shared" si="1"/>
        <v>482</v>
      </c>
      <c r="B485" s="231">
        <v>3324</v>
      </c>
      <c r="C485" s="221" t="s">
        <v>4991</v>
      </c>
      <c r="D485" s="221" t="str">
        <f t="shared" si="0"/>
        <v>ZATVOR U VARAŽDINU (3324)</v>
      </c>
      <c r="E485" s="221" t="s">
        <v>4992</v>
      </c>
      <c r="F485" s="221" t="s">
        <v>30</v>
      </c>
      <c r="G485" s="232">
        <v>3048560</v>
      </c>
      <c r="H485" s="16" t="s">
        <v>4993</v>
      </c>
      <c r="I485" s="209"/>
      <c r="J485" s="224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</row>
    <row r="486" spans="1:26" ht="15" customHeight="1">
      <c r="A486" s="230">
        <f t="shared" si="1"/>
        <v>483</v>
      </c>
      <c r="B486" s="231">
        <v>3332</v>
      </c>
      <c r="C486" s="221" t="s">
        <v>4994</v>
      </c>
      <c r="D486" s="221" t="str">
        <f t="shared" si="0"/>
        <v>ZATVOR U ZADRU (3332)</v>
      </c>
      <c r="E486" s="221" t="s">
        <v>4995</v>
      </c>
      <c r="F486" s="221" t="s">
        <v>214</v>
      </c>
      <c r="G486" s="232">
        <v>3159973</v>
      </c>
      <c r="H486" s="16" t="s">
        <v>4996</v>
      </c>
      <c r="I486" s="209"/>
      <c r="J486" s="224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</row>
    <row r="487" spans="1:26" ht="15" customHeight="1">
      <c r="A487" s="230">
        <f t="shared" si="1"/>
        <v>484</v>
      </c>
      <c r="B487" s="231">
        <v>3349</v>
      </c>
      <c r="C487" s="221" t="s">
        <v>4997</v>
      </c>
      <c r="D487" s="221" t="str">
        <f t="shared" si="0"/>
        <v>ZATVOR U ZAGREBU (3349)</v>
      </c>
      <c r="E487" s="221" t="s">
        <v>4929</v>
      </c>
      <c r="F487" s="221" t="s">
        <v>23</v>
      </c>
      <c r="G487" s="232">
        <v>3226476</v>
      </c>
      <c r="H487" s="16" t="s">
        <v>4998</v>
      </c>
      <c r="I487" s="209"/>
      <c r="J487" s="224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</row>
    <row r="488" spans="1:26" ht="15" customHeight="1">
      <c r="A488" s="230">
        <f t="shared" si="1"/>
        <v>485</v>
      </c>
      <c r="B488" s="231">
        <v>3148</v>
      </c>
      <c r="C488" s="221" t="s">
        <v>4999</v>
      </c>
      <c r="D488" s="221" t="str">
        <f t="shared" si="0"/>
        <v>ZATVORSKA BOLNICA U ZAGREBU (3148)</v>
      </c>
      <c r="E488" s="221" t="s">
        <v>5000</v>
      </c>
      <c r="F488" s="221" t="s">
        <v>23</v>
      </c>
      <c r="G488" s="232">
        <v>3283089</v>
      </c>
      <c r="H488" s="16" t="s">
        <v>5001</v>
      </c>
      <c r="I488" s="209"/>
      <c r="J488" s="224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</row>
    <row r="489" spans="1:26" ht="15" customHeight="1">
      <c r="A489" s="230">
        <f t="shared" si="1"/>
        <v>486</v>
      </c>
      <c r="B489" s="231">
        <v>3357</v>
      </c>
      <c r="C489" s="221" t="s">
        <v>5002</v>
      </c>
      <c r="D489" s="221" t="str">
        <f t="shared" si="0"/>
        <v>VRHOVNI SUD REPUBLIKE HRVATSKE (3357)</v>
      </c>
      <c r="E489" s="221" t="s">
        <v>5003</v>
      </c>
      <c r="F489" s="221" t="s">
        <v>23</v>
      </c>
      <c r="G489" s="232">
        <v>3206050</v>
      </c>
      <c r="H489" s="16" t="s">
        <v>5004</v>
      </c>
      <c r="I489" s="209"/>
      <c r="J489" s="224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</row>
    <row r="490" spans="1:26" ht="15" customHeight="1">
      <c r="A490" s="230">
        <f t="shared" si="1"/>
        <v>487</v>
      </c>
      <c r="B490" s="231">
        <v>3582</v>
      </c>
      <c r="C490" s="221" t="s">
        <v>5005</v>
      </c>
      <c r="D490" s="221" t="str">
        <f t="shared" si="0"/>
        <v>VISOKI TRGOVAČKI SUD REPUBLIKE HRVATSKE (3582)</v>
      </c>
      <c r="E490" s="221" t="s">
        <v>5006</v>
      </c>
      <c r="F490" s="221" t="s">
        <v>23</v>
      </c>
      <c r="G490" s="232">
        <v>3271064</v>
      </c>
      <c r="H490" s="16" t="s">
        <v>5007</v>
      </c>
      <c r="I490" s="209"/>
      <c r="J490" s="224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</row>
    <row r="491" spans="1:26" ht="15" customHeight="1">
      <c r="A491" s="230">
        <f t="shared" si="1"/>
        <v>488</v>
      </c>
      <c r="B491" s="231">
        <v>20639</v>
      </c>
      <c r="C491" s="221" t="s">
        <v>5008</v>
      </c>
      <c r="D491" s="221" t="str">
        <f t="shared" si="0"/>
        <v>VISOKI UPRAVNI SUD REPUBLIKE HRVATSKE (20639)</v>
      </c>
      <c r="E491" s="221" t="s">
        <v>5009</v>
      </c>
      <c r="F491" s="221" t="s">
        <v>23</v>
      </c>
      <c r="G491" s="232">
        <v>3232719</v>
      </c>
      <c r="H491" s="16" t="s">
        <v>5010</v>
      </c>
      <c r="I491" s="209"/>
      <c r="J491" s="224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</row>
    <row r="492" spans="1:26" ht="15" customHeight="1">
      <c r="A492" s="230">
        <f t="shared" si="1"/>
        <v>489</v>
      </c>
      <c r="B492" s="231">
        <v>47140</v>
      </c>
      <c r="C492" s="221" t="s">
        <v>5011</v>
      </c>
      <c r="D492" s="221" t="str">
        <f t="shared" si="0"/>
        <v>UPRAVNI SUD U OSIJEKU (47140)</v>
      </c>
      <c r="E492" s="221" t="s">
        <v>5012</v>
      </c>
      <c r="F492" s="221" t="s">
        <v>43</v>
      </c>
      <c r="G492" s="232">
        <v>2790416</v>
      </c>
      <c r="H492" s="16" t="s">
        <v>5013</v>
      </c>
      <c r="I492" s="209"/>
      <c r="J492" s="224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</row>
    <row r="493" spans="1:26" ht="15" customHeight="1">
      <c r="A493" s="230">
        <f t="shared" si="1"/>
        <v>490</v>
      </c>
      <c r="B493" s="231">
        <v>47158</v>
      </c>
      <c r="C493" s="221" t="s">
        <v>5014</v>
      </c>
      <c r="D493" s="221" t="str">
        <f t="shared" si="0"/>
        <v>UPRAVNI SUD U RIJECI (47158)</v>
      </c>
      <c r="E493" s="221" t="s">
        <v>5015</v>
      </c>
      <c r="F493" s="221" t="s">
        <v>124</v>
      </c>
      <c r="G493" s="232">
        <v>2790424</v>
      </c>
      <c r="H493" s="16" t="s">
        <v>5016</v>
      </c>
      <c r="I493" s="209"/>
      <c r="J493" s="224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</row>
    <row r="494" spans="1:26" ht="15" customHeight="1">
      <c r="A494" s="230">
        <f t="shared" si="1"/>
        <v>491</v>
      </c>
      <c r="B494" s="231">
        <v>47203</v>
      </c>
      <c r="C494" s="221" t="s">
        <v>5017</v>
      </c>
      <c r="D494" s="221" t="str">
        <f t="shared" si="0"/>
        <v>UPRAVNI SUD U SPLITU (47203)</v>
      </c>
      <c r="E494" s="221" t="s">
        <v>5018</v>
      </c>
      <c r="F494" s="221" t="s">
        <v>173</v>
      </c>
      <c r="G494" s="232">
        <v>2790432</v>
      </c>
      <c r="H494" s="16" t="s">
        <v>5019</v>
      </c>
      <c r="I494" s="209"/>
      <c r="J494" s="224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</row>
    <row r="495" spans="1:26" ht="15" customHeight="1">
      <c r="A495" s="230">
        <f t="shared" si="1"/>
        <v>492</v>
      </c>
      <c r="B495" s="231">
        <v>47199</v>
      </c>
      <c r="C495" s="221" t="s">
        <v>5020</v>
      </c>
      <c r="D495" s="221" t="str">
        <f t="shared" si="0"/>
        <v>UPRAVNI SUD U ZAGREBU (47199)</v>
      </c>
      <c r="E495" s="221" t="s">
        <v>5021</v>
      </c>
      <c r="F495" s="221" t="s">
        <v>23</v>
      </c>
      <c r="G495" s="232">
        <v>2790467</v>
      </c>
      <c r="H495" s="16" t="s">
        <v>5022</v>
      </c>
      <c r="I495" s="209"/>
      <c r="J495" s="224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</row>
    <row r="496" spans="1:26" ht="15" customHeight="1">
      <c r="A496" s="230">
        <f t="shared" si="1"/>
        <v>493</v>
      </c>
      <c r="B496" s="231">
        <v>3365</v>
      </c>
      <c r="C496" s="221" t="s">
        <v>5023</v>
      </c>
      <c r="D496" s="221" t="str">
        <f t="shared" si="0"/>
        <v>DRŽAVNO ODVJETNIŠTVO REPUBLIKE HRVATSKE (3365)</v>
      </c>
      <c r="E496" s="221" t="s">
        <v>5024</v>
      </c>
      <c r="F496" s="221" t="s">
        <v>23</v>
      </c>
      <c r="G496" s="232">
        <v>3277151</v>
      </c>
      <c r="H496" s="16" t="s">
        <v>5025</v>
      </c>
      <c r="I496" s="209"/>
      <c r="J496" s="224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</row>
    <row r="497" spans="1:26" ht="15" customHeight="1">
      <c r="A497" s="230">
        <f t="shared" si="1"/>
        <v>494</v>
      </c>
      <c r="B497" s="231">
        <v>47287</v>
      </c>
      <c r="C497" s="221" t="s">
        <v>5026</v>
      </c>
      <c r="D497" s="221" t="str">
        <f t="shared" si="0"/>
        <v>DRŽAVNO ODVJETNIČKO VIJEĆE (47287)</v>
      </c>
      <c r="E497" s="221" t="s">
        <v>4923</v>
      </c>
      <c r="F497" s="221" t="s">
        <v>23</v>
      </c>
      <c r="G497" s="232">
        <v>2797712</v>
      </c>
      <c r="H497" s="16" t="s">
        <v>5027</v>
      </c>
      <c r="I497" s="209"/>
      <c r="J497" s="224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</row>
    <row r="498" spans="1:26" ht="15" customHeight="1">
      <c r="A498" s="230">
        <f t="shared" si="1"/>
        <v>495</v>
      </c>
      <c r="B498" s="231">
        <v>47295</v>
      </c>
      <c r="C498" s="221" t="s">
        <v>5028</v>
      </c>
      <c r="D498" s="221" t="str">
        <f t="shared" si="0"/>
        <v>DRŽAVNO SUDBENO VIJEĆE (47295)</v>
      </c>
      <c r="E498" s="221" t="s">
        <v>5029</v>
      </c>
      <c r="F498" s="221" t="s">
        <v>23</v>
      </c>
      <c r="G498" s="232">
        <v>2747987</v>
      </c>
      <c r="H498" s="16" t="s">
        <v>5030</v>
      </c>
      <c r="I498" s="209"/>
      <c r="J498" s="224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</row>
    <row r="499" spans="1:26" ht="15" customHeight="1">
      <c r="A499" s="230">
        <f t="shared" si="1"/>
        <v>496</v>
      </c>
      <c r="B499" s="231">
        <v>3381</v>
      </c>
      <c r="C499" s="221" t="s">
        <v>5031</v>
      </c>
      <c r="D499" s="221" t="str">
        <f t="shared" si="0"/>
        <v>VISOKI PREKRŠAJNII SUD REPUBLIKE HRVATSKE (3381)</v>
      </c>
      <c r="E499" s="221" t="s">
        <v>5032</v>
      </c>
      <c r="F499" s="221" t="s">
        <v>23</v>
      </c>
      <c r="G499" s="232">
        <v>3206068</v>
      </c>
      <c r="H499" s="16" t="s">
        <v>5033</v>
      </c>
      <c r="I499" s="209"/>
      <c r="J499" s="224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</row>
    <row r="500" spans="1:26" ht="15" customHeight="1">
      <c r="A500" s="230">
        <f t="shared" si="1"/>
        <v>497</v>
      </c>
      <c r="B500" s="231">
        <v>50928</v>
      </c>
      <c r="C500" s="221" t="s">
        <v>5034</v>
      </c>
      <c r="D500" s="221" t="str">
        <f t="shared" si="0"/>
        <v>VISOKI KAZNENI SUD REPUBLIKE HRVATSKE (50928)</v>
      </c>
      <c r="E500" s="221" t="s">
        <v>5035</v>
      </c>
      <c r="F500" s="221" t="s">
        <v>23</v>
      </c>
      <c r="G500" s="232">
        <v>5090890</v>
      </c>
      <c r="H500" s="16" t="s">
        <v>5036</v>
      </c>
      <c r="I500" s="209"/>
      <c r="J500" s="224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</row>
    <row r="501" spans="1:26" ht="15" customHeight="1">
      <c r="A501" s="230">
        <f t="shared" si="1"/>
        <v>498</v>
      </c>
      <c r="B501" s="231">
        <v>20743</v>
      </c>
      <c r="C501" s="221" t="s">
        <v>5037</v>
      </c>
      <c r="D501" s="221" t="str">
        <f t="shared" si="0"/>
        <v>ŽUPANIJSKI SUD U BJELOVARU (20743)</v>
      </c>
      <c r="E501" s="221" t="s">
        <v>5038</v>
      </c>
      <c r="F501" s="221" t="s">
        <v>3944</v>
      </c>
      <c r="G501" s="232">
        <v>3308677</v>
      </c>
      <c r="H501" s="16" t="s">
        <v>5039</v>
      </c>
      <c r="I501" s="209"/>
      <c r="J501" s="224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</row>
    <row r="502" spans="1:26" ht="15" customHeight="1">
      <c r="A502" s="230">
        <f t="shared" si="1"/>
        <v>499</v>
      </c>
      <c r="B502" s="231">
        <v>3390</v>
      </c>
      <c r="C502" s="221" t="s">
        <v>5040</v>
      </c>
      <c r="D502" s="221" t="str">
        <f t="shared" si="0"/>
        <v>ŽUPANIJSKI SUD U DUBROVNIKU (3390)</v>
      </c>
      <c r="E502" s="221" t="s">
        <v>5041</v>
      </c>
      <c r="F502" s="221" t="s">
        <v>118</v>
      </c>
      <c r="G502" s="232">
        <v>3304680</v>
      </c>
      <c r="H502" s="16" t="s">
        <v>5042</v>
      </c>
      <c r="I502" s="209"/>
      <c r="J502" s="224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</row>
    <row r="503" spans="1:26" ht="15" customHeight="1">
      <c r="A503" s="230">
        <f t="shared" si="1"/>
        <v>500</v>
      </c>
      <c r="B503" s="231">
        <v>3412</v>
      </c>
      <c r="C503" s="221" t="s">
        <v>5043</v>
      </c>
      <c r="D503" s="221" t="str">
        <f t="shared" si="0"/>
        <v>ŽUPANIJSKI SUD U KARLOVCU (3412)</v>
      </c>
      <c r="E503" s="221" t="s">
        <v>5044</v>
      </c>
      <c r="F503" s="221" t="s">
        <v>336</v>
      </c>
      <c r="G503" s="232">
        <v>3123502</v>
      </c>
      <c r="H503" s="16" t="s">
        <v>5045</v>
      </c>
      <c r="I503" s="209"/>
      <c r="J503" s="224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</row>
    <row r="504" spans="1:26" ht="15" customHeight="1">
      <c r="A504" s="230">
        <f t="shared" si="1"/>
        <v>501</v>
      </c>
      <c r="B504" s="231">
        <v>3429</v>
      </c>
      <c r="C504" s="221" t="s">
        <v>5046</v>
      </c>
      <c r="D504" s="221" t="str">
        <f t="shared" si="0"/>
        <v>ŽUPANIJSKI SUD U OSIJEKU (3429)</v>
      </c>
      <c r="E504" s="221" t="s">
        <v>5047</v>
      </c>
      <c r="F504" s="221" t="s">
        <v>43</v>
      </c>
      <c r="G504" s="232">
        <v>3014819</v>
      </c>
      <c r="H504" s="16" t="s">
        <v>5048</v>
      </c>
      <c r="I504" s="209"/>
      <c r="J504" s="224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</row>
    <row r="505" spans="1:26" ht="15" customHeight="1">
      <c r="A505" s="230">
        <f t="shared" si="1"/>
        <v>502</v>
      </c>
      <c r="B505" s="231">
        <v>3445</v>
      </c>
      <c r="C505" s="221" t="s">
        <v>5049</v>
      </c>
      <c r="D505" s="221" t="str">
        <f t="shared" si="0"/>
        <v>ŽUPANIJSKI SUD U PULI - POLA (3445)</v>
      </c>
      <c r="E505" s="221" t="s">
        <v>5050</v>
      </c>
      <c r="F505" s="221" t="s">
        <v>5051</v>
      </c>
      <c r="G505" s="232">
        <v>3204138</v>
      </c>
      <c r="H505" s="16" t="s">
        <v>5052</v>
      </c>
      <c r="I505" s="209"/>
      <c r="J505" s="224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</row>
    <row r="506" spans="1:26" ht="15" customHeight="1">
      <c r="A506" s="230">
        <f t="shared" si="1"/>
        <v>503</v>
      </c>
      <c r="B506" s="231">
        <v>3453</v>
      </c>
      <c r="C506" s="221" t="s">
        <v>5053</v>
      </c>
      <c r="D506" s="221" t="str">
        <f t="shared" si="0"/>
        <v>ŽUPANIJSKI SUD U RIJECI (3453)</v>
      </c>
      <c r="E506" s="221" t="s">
        <v>5054</v>
      </c>
      <c r="F506" s="221" t="s">
        <v>124</v>
      </c>
      <c r="G506" s="232">
        <v>3321401</v>
      </c>
      <c r="H506" s="16" t="s">
        <v>5055</v>
      </c>
      <c r="I506" s="209"/>
      <c r="J506" s="224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</row>
    <row r="507" spans="1:26" ht="15" customHeight="1">
      <c r="A507" s="230">
        <f t="shared" si="1"/>
        <v>504</v>
      </c>
      <c r="B507" s="231">
        <v>3461</v>
      </c>
      <c r="C507" s="221" t="s">
        <v>5056</v>
      </c>
      <c r="D507" s="221" t="str">
        <f t="shared" si="0"/>
        <v>ŽUPANIJSKI SUD U SISKU (3461)</v>
      </c>
      <c r="E507" s="221" t="s">
        <v>5057</v>
      </c>
      <c r="F507" s="221" t="s">
        <v>286</v>
      </c>
      <c r="G507" s="232">
        <v>3314731</v>
      </c>
      <c r="H507" s="16" t="s">
        <v>5058</v>
      </c>
      <c r="I507" s="209"/>
      <c r="J507" s="224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</row>
    <row r="508" spans="1:26" ht="15" customHeight="1">
      <c r="A508" s="230">
        <f t="shared" si="1"/>
        <v>505</v>
      </c>
      <c r="B508" s="231">
        <v>20778</v>
      </c>
      <c r="C508" s="221" t="s">
        <v>5059</v>
      </c>
      <c r="D508" s="221" t="str">
        <f t="shared" si="0"/>
        <v>ŽUPANIJSKI SUD U SLAVONSKOM BRODU (20778)</v>
      </c>
      <c r="E508" s="221" t="s">
        <v>5060</v>
      </c>
      <c r="F508" s="221" t="s">
        <v>169</v>
      </c>
      <c r="G508" s="232">
        <v>1228226</v>
      </c>
      <c r="H508" s="16" t="s">
        <v>5061</v>
      </c>
      <c r="I508" s="209"/>
      <c r="J508" s="224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</row>
    <row r="509" spans="1:26" ht="15" customHeight="1">
      <c r="A509" s="230">
        <f t="shared" si="1"/>
        <v>506</v>
      </c>
      <c r="B509" s="231">
        <v>3470</v>
      </c>
      <c r="C509" s="221" t="s">
        <v>5062</v>
      </c>
      <c r="D509" s="221" t="str">
        <f t="shared" si="0"/>
        <v>ŽUPANIJSKI SUD U SPLITU (3470)</v>
      </c>
      <c r="E509" s="221" t="s">
        <v>5063</v>
      </c>
      <c r="F509" s="221" t="s">
        <v>173</v>
      </c>
      <c r="G509" s="232">
        <v>3118673</v>
      </c>
      <c r="H509" s="16" t="s">
        <v>5064</v>
      </c>
      <c r="I509" s="209"/>
      <c r="J509" s="224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</row>
    <row r="510" spans="1:26" ht="15" customHeight="1">
      <c r="A510" s="230">
        <f t="shared" si="1"/>
        <v>507</v>
      </c>
      <c r="B510" s="231">
        <v>20786</v>
      </c>
      <c r="C510" s="221" t="s">
        <v>5065</v>
      </c>
      <c r="D510" s="221" t="str">
        <f t="shared" si="0"/>
        <v>ŽUPANIJSKI SUD U ŠIBENIKU (20786)</v>
      </c>
      <c r="E510" s="221" t="s">
        <v>5066</v>
      </c>
      <c r="F510" s="221" t="s">
        <v>343</v>
      </c>
      <c r="G510" s="232">
        <v>3019799</v>
      </c>
      <c r="H510" s="16" t="s">
        <v>5067</v>
      </c>
      <c r="I510" s="209"/>
      <c r="J510" s="224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</row>
    <row r="511" spans="1:26" ht="15" customHeight="1">
      <c r="A511" s="230">
        <f t="shared" si="1"/>
        <v>508</v>
      </c>
      <c r="B511" s="231">
        <v>3488</v>
      </c>
      <c r="C511" s="221" t="s">
        <v>5068</v>
      </c>
      <c r="D511" s="221" t="str">
        <f t="shared" si="0"/>
        <v>ŽUPANIJSKI SUD U VARAŽDINU (3488)</v>
      </c>
      <c r="E511" s="221" t="s">
        <v>4682</v>
      </c>
      <c r="F511" s="221" t="s">
        <v>30</v>
      </c>
      <c r="G511" s="232">
        <v>3006719</v>
      </c>
      <c r="H511" s="16" t="s">
        <v>5069</v>
      </c>
      <c r="I511" s="209"/>
      <c r="J511" s="224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</row>
    <row r="512" spans="1:26" ht="15" customHeight="1">
      <c r="A512" s="230">
        <f t="shared" si="1"/>
        <v>509</v>
      </c>
      <c r="B512" s="231">
        <v>23421</v>
      </c>
      <c r="C512" s="221" t="s">
        <v>5070</v>
      </c>
      <c r="D512" s="221" t="str">
        <f t="shared" si="0"/>
        <v>ŽUPANIJSKI SUD U VELIKOJ GORICI (23421)</v>
      </c>
      <c r="E512" s="221" t="s">
        <v>5071</v>
      </c>
      <c r="F512" s="221" t="s">
        <v>3874</v>
      </c>
      <c r="G512" s="232">
        <v>1476351</v>
      </c>
      <c r="H512" s="16" t="s">
        <v>5072</v>
      </c>
      <c r="I512" s="209"/>
      <c r="J512" s="224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</row>
    <row r="513" spans="1:26" ht="15" customHeight="1">
      <c r="A513" s="230">
        <f t="shared" si="1"/>
        <v>510</v>
      </c>
      <c r="B513" s="231">
        <v>20809</v>
      </c>
      <c r="C513" s="221" t="s">
        <v>5073</v>
      </c>
      <c r="D513" s="221" t="str">
        <f t="shared" si="0"/>
        <v>ŽUPANIJSKI SUD U VUKOVARU (20809)</v>
      </c>
      <c r="E513" s="221" t="s">
        <v>5074</v>
      </c>
      <c r="F513" s="221" t="s">
        <v>324</v>
      </c>
      <c r="G513" s="232">
        <v>1210696</v>
      </c>
      <c r="H513" s="16" t="s">
        <v>5075</v>
      </c>
      <c r="I513" s="209"/>
      <c r="J513" s="224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</row>
    <row r="514" spans="1:26" ht="15" customHeight="1">
      <c r="A514" s="230">
        <f t="shared" si="1"/>
        <v>511</v>
      </c>
      <c r="B514" s="231">
        <v>3496</v>
      </c>
      <c r="C514" s="221" t="s">
        <v>5076</v>
      </c>
      <c r="D514" s="221" t="str">
        <f t="shared" si="0"/>
        <v>ŽUPANIJSKI SUD U ZADRU (3496)</v>
      </c>
      <c r="E514" s="221" t="s">
        <v>5077</v>
      </c>
      <c r="F514" s="221" t="s">
        <v>214</v>
      </c>
      <c r="G514" s="232">
        <v>3142434</v>
      </c>
      <c r="H514" s="16" t="s">
        <v>5078</v>
      </c>
      <c r="I514" s="209"/>
      <c r="J514" s="224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</row>
    <row r="515" spans="1:26" ht="15" customHeight="1">
      <c r="A515" s="230">
        <f t="shared" si="1"/>
        <v>512</v>
      </c>
      <c r="B515" s="231">
        <v>3507</v>
      </c>
      <c r="C515" s="221" t="s">
        <v>5079</v>
      </c>
      <c r="D515" s="221" t="str">
        <f t="shared" si="0"/>
        <v>ŽUPANIJSKI SUD U ZAGREBU (3507)</v>
      </c>
      <c r="E515" s="221" t="s">
        <v>5035</v>
      </c>
      <c r="F515" s="221" t="s">
        <v>23</v>
      </c>
      <c r="G515" s="232">
        <v>3206076</v>
      </c>
      <c r="H515" s="16" t="s">
        <v>5080</v>
      </c>
      <c r="I515" s="209"/>
      <c r="J515" s="224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</row>
    <row r="516" spans="1:26" ht="15" customHeight="1">
      <c r="A516" s="230">
        <f t="shared" si="1"/>
        <v>513</v>
      </c>
      <c r="B516" s="231">
        <v>3515</v>
      </c>
      <c r="C516" s="221" t="s">
        <v>5081</v>
      </c>
      <c r="D516" s="221" t="str">
        <f t="shared" si="0"/>
        <v>TRGOVAČKI SUD U BJELOVARU (3515)</v>
      </c>
      <c r="E516" s="221" t="s">
        <v>5082</v>
      </c>
      <c r="F516" s="221" t="s">
        <v>3944</v>
      </c>
      <c r="G516" s="232">
        <v>3333299</v>
      </c>
      <c r="H516" s="16" t="s">
        <v>5083</v>
      </c>
      <c r="I516" s="209"/>
      <c r="J516" s="224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</row>
    <row r="517" spans="1:26" ht="15" customHeight="1">
      <c r="A517" s="230">
        <f t="shared" si="1"/>
        <v>514</v>
      </c>
      <c r="B517" s="231">
        <v>50598</v>
      </c>
      <c r="C517" s="221" t="s">
        <v>5084</v>
      </c>
      <c r="D517" s="221" t="str">
        <f t="shared" si="0"/>
        <v>TRGOVAČKI SUD U DUBROVNIKU (50598)</v>
      </c>
      <c r="E517" s="221" t="s">
        <v>5085</v>
      </c>
      <c r="F517" s="221" t="s">
        <v>118</v>
      </c>
      <c r="G517" s="233" t="s">
        <v>5086</v>
      </c>
      <c r="H517" s="16" t="s">
        <v>5087</v>
      </c>
      <c r="I517" s="209"/>
      <c r="J517" s="224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</row>
    <row r="518" spans="1:26" ht="15" customHeight="1">
      <c r="A518" s="230">
        <f t="shared" si="1"/>
        <v>515</v>
      </c>
      <c r="B518" s="231">
        <v>3531</v>
      </c>
      <c r="C518" s="221" t="s">
        <v>5088</v>
      </c>
      <c r="D518" s="221" t="str">
        <f t="shared" si="0"/>
        <v>TRGOVAČKI SUD U OSIJEKU (3531)</v>
      </c>
      <c r="E518" s="221" t="s">
        <v>5089</v>
      </c>
      <c r="F518" s="221" t="s">
        <v>43</v>
      </c>
      <c r="G518" s="232">
        <v>3014797</v>
      </c>
      <c r="H518" s="16" t="s">
        <v>5090</v>
      </c>
      <c r="I518" s="209"/>
      <c r="J518" s="224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</row>
    <row r="519" spans="1:26" ht="15" customHeight="1">
      <c r="A519" s="230">
        <f t="shared" si="1"/>
        <v>516</v>
      </c>
      <c r="B519" s="231">
        <v>48752</v>
      </c>
      <c r="C519" s="221" t="s">
        <v>5091</v>
      </c>
      <c r="D519" s="221" t="str">
        <f t="shared" si="0"/>
        <v>TRGOVAČKI SUD U PAZINU (48752)</v>
      </c>
      <c r="E519" s="221" t="s">
        <v>5092</v>
      </c>
      <c r="F519" s="221" t="s">
        <v>3960</v>
      </c>
      <c r="G519" s="232">
        <v>4344677</v>
      </c>
      <c r="H519" s="16" t="s">
        <v>5093</v>
      </c>
      <c r="I519" s="209"/>
      <c r="J519" s="224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</row>
    <row r="520" spans="1:26" ht="15" customHeight="1">
      <c r="A520" s="230">
        <f t="shared" si="1"/>
        <v>517</v>
      </c>
      <c r="B520" s="231">
        <v>3540</v>
      </c>
      <c r="C520" s="221" t="s">
        <v>5094</v>
      </c>
      <c r="D520" s="221" t="str">
        <f t="shared" si="0"/>
        <v>TRGOVAČKI SUD U RIJECI (3540)</v>
      </c>
      <c r="E520" s="221" t="s">
        <v>5095</v>
      </c>
      <c r="F520" s="221" t="s">
        <v>124</v>
      </c>
      <c r="G520" s="232">
        <v>3321410</v>
      </c>
      <c r="H520" s="16" t="s">
        <v>5096</v>
      </c>
      <c r="I520" s="209"/>
      <c r="J520" s="224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</row>
    <row r="521" spans="1:26" ht="15" customHeight="1">
      <c r="A521" s="230">
        <f t="shared" si="1"/>
        <v>518</v>
      </c>
      <c r="B521" s="231">
        <v>3566</v>
      </c>
      <c r="C521" s="221" t="s">
        <v>5097</v>
      </c>
      <c r="D521" s="221" t="str">
        <f t="shared" si="0"/>
        <v>TRGOVAČKI SUD U SPLITU (3566)</v>
      </c>
      <c r="E521" s="221" t="s">
        <v>5098</v>
      </c>
      <c r="F521" s="221" t="s">
        <v>173</v>
      </c>
      <c r="G521" s="232">
        <v>3119505</v>
      </c>
      <c r="H521" s="16" t="s">
        <v>5099</v>
      </c>
      <c r="I521" s="209"/>
      <c r="J521" s="224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</row>
    <row r="522" spans="1:26" ht="15" customHeight="1">
      <c r="A522" s="230">
        <f t="shared" si="1"/>
        <v>519</v>
      </c>
      <c r="B522" s="231">
        <v>3574</v>
      </c>
      <c r="C522" s="221" t="s">
        <v>5100</v>
      </c>
      <c r="D522" s="221" t="str">
        <f t="shared" si="0"/>
        <v>TRGOVAČKI SUD U VARAŽDINU (3574)</v>
      </c>
      <c r="E522" s="221" t="s">
        <v>4682</v>
      </c>
      <c r="F522" s="221" t="s">
        <v>5101</v>
      </c>
      <c r="G522" s="232">
        <v>3365042</v>
      </c>
      <c r="H522" s="16" t="s">
        <v>5102</v>
      </c>
      <c r="I522" s="209"/>
      <c r="J522" s="224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</row>
    <row r="523" spans="1:26" ht="15" customHeight="1">
      <c r="A523" s="230">
        <f t="shared" si="1"/>
        <v>520</v>
      </c>
      <c r="B523" s="231">
        <v>23405</v>
      </c>
      <c r="C523" s="221" t="s">
        <v>5103</v>
      </c>
      <c r="D523" s="221" t="str">
        <f t="shared" si="0"/>
        <v>TRGOVAČKI SUD U ZADRU (23405)</v>
      </c>
      <c r="E523" s="221" t="s">
        <v>5104</v>
      </c>
      <c r="F523" s="221" t="s">
        <v>214</v>
      </c>
      <c r="G523" s="232">
        <v>1476793</v>
      </c>
      <c r="H523" s="16" t="s">
        <v>5105</v>
      </c>
      <c r="I523" s="209"/>
      <c r="J523" s="224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</row>
    <row r="524" spans="1:26" ht="15" customHeight="1">
      <c r="A524" s="230">
        <f t="shared" si="1"/>
        <v>521</v>
      </c>
      <c r="B524" s="231">
        <v>20735</v>
      </c>
      <c r="C524" s="221" t="s">
        <v>5106</v>
      </c>
      <c r="D524" s="221" t="str">
        <f t="shared" si="0"/>
        <v>TRGOVAČKI SUD U ZAGREBU (20735)</v>
      </c>
      <c r="E524" s="221" t="s">
        <v>5107</v>
      </c>
      <c r="F524" s="221" t="s">
        <v>23</v>
      </c>
      <c r="G524" s="232">
        <v>3206092</v>
      </c>
      <c r="H524" s="16" t="s">
        <v>5108</v>
      </c>
      <c r="I524" s="209"/>
      <c r="J524" s="224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</row>
    <row r="525" spans="1:26" ht="15" customHeight="1">
      <c r="A525" s="230">
        <f t="shared" si="1"/>
        <v>522</v>
      </c>
      <c r="B525" s="231">
        <v>20647</v>
      </c>
      <c r="C525" s="221" t="s">
        <v>5109</v>
      </c>
      <c r="D525" s="221" t="str">
        <f t="shared" si="0"/>
        <v>ŽUPANIJSKO DRŽAVNO ODVJETNIŠTVO U BJELOVARU (20647)</v>
      </c>
      <c r="E525" s="221" t="s">
        <v>5110</v>
      </c>
      <c r="F525" s="221" t="s">
        <v>3944</v>
      </c>
      <c r="G525" s="232">
        <v>3308685</v>
      </c>
      <c r="H525" s="16" t="s">
        <v>5111</v>
      </c>
      <c r="I525" s="209"/>
      <c r="J525" s="224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</row>
    <row r="526" spans="1:26" ht="15" customHeight="1">
      <c r="A526" s="230">
        <f t="shared" si="1"/>
        <v>523</v>
      </c>
      <c r="B526" s="231">
        <v>3599</v>
      </c>
      <c r="C526" s="221" t="s">
        <v>5112</v>
      </c>
      <c r="D526" s="221" t="str">
        <f t="shared" si="0"/>
        <v>ŽUPANIJSKO DRŽAVNO ODVJETNIŠTVO U DUBROVNIKU (3599)</v>
      </c>
      <c r="E526" s="221" t="s">
        <v>5085</v>
      </c>
      <c r="F526" s="221" t="s">
        <v>118</v>
      </c>
      <c r="G526" s="232">
        <v>3304698</v>
      </c>
      <c r="H526" s="16" t="s">
        <v>5113</v>
      </c>
      <c r="I526" s="209"/>
      <c r="J526" s="224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</row>
    <row r="527" spans="1:26" ht="15" customHeight="1">
      <c r="A527" s="230">
        <f t="shared" si="1"/>
        <v>524</v>
      </c>
      <c r="B527" s="231">
        <v>3611</v>
      </c>
      <c r="C527" s="221" t="s">
        <v>5114</v>
      </c>
      <c r="D527" s="221" t="str">
        <f t="shared" si="0"/>
        <v>ŽUPANIJSKO DRŽAVNO ODVJETNIŠTVO U KARLOVCU (3611)</v>
      </c>
      <c r="E527" s="221" t="s">
        <v>5044</v>
      </c>
      <c r="F527" s="221" t="s">
        <v>336</v>
      </c>
      <c r="G527" s="232">
        <v>3123545</v>
      </c>
      <c r="H527" s="16" t="s">
        <v>5115</v>
      </c>
      <c r="I527" s="209"/>
      <c r="J527" s="224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</row>
    <row r="528" spans="1:26" ht="15" customHeight="1">
      <c r="A528" s="230">
        <f t="shared" si="1"/>
        <v>525</v>
      </c>
      <c r="B528" s="231">
        <v>3620</v>
      </c>
      <c r="C528" s="221" t="s">
        <v>5116</v>
      </c>
      <c r="D528" s="221" t="str">
        <f t="shared" si="0"/>
        <v>ŽUPANIJSKO DRŽAVNO ODVJETNIŠTVO U OSIJEKU (3620)</v>
      </c>
      <c r="E528" s="221" t="s">
        <v>5117</v>
      </c>
      <c r="F528" s="221" t="s">
        <v>43</v>
      </c>
      <c r="G528" s="232">
        <v>3014835</v>
      </c>
      <c r="H528" s="16" t="s">
        <v>5118</v>
      </c>
      <c r="I528" s="209"/>
      <c r="J528" s="224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</row>
    <row r="529" spans="1:26" ht="15" customHeight="1">
      <c r="A529" s="230">
        <f t="shared" si="1"/>
        <v>526</v>
      </c>
      <c r="B529" s="231">
        <v>3646</v>
      </c>
      <c r="C529" s="221" t="s">
        <v>5119</v>
      </c>
      <c r="D529" s="221" t="str">
        <f t="shared" si="0"/>
        <v>ŽUPANIJSKO DRŽAVNO ODVJETNIŠTVO U PULI - POLA (3646)</v>
      </c>
      <c r="E529" s="221" t="s">
        <v>5120</v>
      </c>
      <c r="F529" s="221" t="s">
        <v>108</v>
      </c>
      <c r="G529" s="232">
        <v>3204154</v>
      </c>
      <c r="H529" s="16" t="s">
        <v>5121</v>
      </c>
      <c r="I529" s="209"/>
      <c r="J529" s="224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</row>
    <row r="530" spans="1:26" ht="15" customHeight="1">
      <c r="A530" s="230">
        <f t="shared" si="1"/>
        <v>527</v>
      </c>
      <c r="B530" s="231">
        <v>3654</v>
      </c>
      <c r="C530" s="221" t="s">
        <v>5122</v>
      </c>
      <c r="D530" s="221" t="str">
        <f t="shared" si="0"/>
        <v>ŽUPANIJSKO DRŽAVNO ODVJETNIŠTVO U RIJECI (3654)</v>
      </c>
      <c r="E530" s="221" t="s">
        <v>5123</v>
      </c>
      <c r="F530" s="221" t="s">
        <v>124</v>
      </c>
      <c r="G530" s="232">
        <v>3332101</v>
      </c>
      <c r="H530" s="16" t="s">
        <v>5124</v>
      </c>
      <c r="I530" s="209"/>
      <c r="J530" s="224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</row>
    <row r="531" spans="1:26" ht="15" customHeight="1">
      <c r="A531" s="230">
        <f t="shared" si="1"/>
        <v>528</v>
      </c>
      <c r="B531" s="231">
        <v>3662</v>
      </c>
      <c r="C531" s="221" t="s">
        <v>5125</v>
      </c>
      <c r="D531" s="221" t="str">
        <f t="shared" si="0"/>
        <v>ŽUPANIJSKO DRŽAVNO ODVJETNIŠTVO U SISKU (3662)</v>
      </c>
      <c r="E531" s="221" t="s">
        <v>5126</v>
      </c>
      <c r="F531" s="221" t="s">
        <v>286</v>
      </c>
      <c r="G531" s="232">
        <v>3314758</v>
      </c>
      <c r="H531" s="16" t="s">
        <v>5127</v>
      </c>
      <c r="I531" s="209"/>
      <c r="J531" s="224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</row>
    <row r="532" spans="1:26" ht="15" customHeight="1">
      <c r="A532" s="230">
        <f t="shared" si="1"/>
        <v>529</v>
      </c>
      <c r="B532" s="231">
        <v>23456</v>
      </c>
      <c r="C532" s="221" t="s">
        <v>5128</v>
      </c>
      <c r="D532" s="221" t="str">
        <f t="shared" si="0"/>
        <v>ŽUPANIJSKO DRŽAVNO ODVJETNIŠTVO U SLAVONSKOM BRODU (23456)</v>
      </c>
      <c r="E532" s="221" t="s">
        <v>5129</v>
      </c>
      <c r="F532" s="221" t="s">
        <v>169</v>
      </c>
      <c r="G532" s="232">
        <v>1490141</v>
      </c>
      <c r="H532" s="16" t="s">
        <v>5130</v>
      </c>
      <c r="I532" s="209"/>
      <c r="J532" s="224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</row>
    <row r="533" spans="1:26" ht="15" customHeight="1">
      <c r="A533" s="230">
        <f t="shared" si="1"/>
        <v>530</v>
      </c>
      <c r="B533" s="231">
        <v>3679</v>
      </c>
      <c r="C533" s="221" t="s">
        <v>5131</v>
      </c>
      <c r="D533" s="221" t="str">
        <f t="shared" si="0"/>
        <v>ŽUPANIJSKO DRŽAVNO ODVJETNIŠTVO U SPLITU (3679)</v>
      </c>
      <c r="E533" s="221" t="s">
        <v>5132</v>
      </c>
      <c r="F533" s="221" t="s">
        <v>173</v>
      </c>
      <c r="G533" s="232">
        <v>3118681</v>
      </c>
      <c r="H533" s="16" t="s">
        <v>5133</v>
      </c>
      <c r="I533" s="209"/>
      <c r="J533" s="224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</row>
    <row r="534" spans="1:26" ht="15" customHeight="1">
      <c r="A534" s="230">
        <f t="shared" si="1"/>
        <v>531</v>
      </c>
      <c r="B534" s="231">
        <v>3687</v>
      </c>
      <c r="C534" s="221" t="s">
        <v>5134</v>
      </c>
      <c r="D534" s="221" t="str">
        <f t="shared" si="0"/>
        <v>ŽUPANIJSKO DRŽAVNO ODVJETNIŠTVO U ŠIBENIKU (3687)</v>
      </c>
      <c r="E534" s="221" t="s">
        <v>5066</v>
      </c>
      <c r="F534" s="221" t="s">
        <v>343</v>
      </c>
      <c r="G534" s="232">
        <v>3023508</v>
      </c>
      <c r="H534" s="16" t="s">
        <v>5135</v>
      </c>
      <c r="I534" s="209"/>
      <c r="J534" s="224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</row>
    <row r="535" spans="1:26" ht="15" customHeight="1">
      <c r="A535" s="230">
        <f t="shared" si="1"/>
        <v>532</v>
      </c>
      <c r="B535" s="231">
        <v>3695</v>
      </c>
      <c r="C535" s="221" t="s">
        <v>5136</v>
      </c>
      <c r="D535" s="221" t="str">
        <f t="shared" si="0"/>
        <v>ŽUPANIJSKO DRŽAVNO ODVJETNIŠTVO U VARAŽDINU (3695)</v>
      </c>
      <c r="E535" s="221" t="s">
        <v>4682</v>
      </c>
      <c r="F535" s="221" t="s">
        <v>30</v>
      </c>
      <c r="G535" s="232">
        <v>3006743</v>
      </c>
      <c r="H535" s="16" t="s">
        <v>5137</v>
      </c>
      <c r="I535" s="209"/>
      <c r="J535" s="224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</row>
    <row r="536" spans="1:26" ht="15" customHeight="1">
      <c r="A536" s="230">
        <f t="shared" si="1"/>
        <v>533</v>
      </c>
      <c r="B536" s="231">
        <v>23807</v>
      </c>
      <c r="C536" s="221" t="s">
        <v>5138</v>
      </c>
      <c r="D536" s="221" t="str">
        <f t="shared" si="0"/>
        <v>ŽUPANIJSKO DRŽAVNO ODVJETNIŠTVO U VELIKOJ GORICI (23807)</v>
      </c>
      <c r="E536" s="221" t="s">
        <v>5139</v>
      </c>
      <c r="F536" s="221" t="s">
        <v>3874</v>
      </c>
      <c r="G536" s="232">
        <v>1693646</v>
      </c>
      <c r="H536" s="16" t="s">
        <v>5140</v>
      </c>
      <c r="I536" s="209"/>
      <c r="J536" s="224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</row>
    <row r="537" spans="1:26" ht="15" customHeight="1">
      <c r="A537" s="230">
        <f t="shared" si="1"/>
        <v>534</v>
      </c>
      <c r="B537" s="231">
        <v>21949</v>
      </c>
      <c r="C537" s="221" t="s">
        <v>5141</v>
      </c>
      <c r="D537" s="221" t="str">
        <f t="shared" si="0"/>
        <v>ŽUPANIJSKO DRŽAVNO ODVJETNIŠTVO U VUKOVARU (21949)</v>
      </c>
      <c r="E537" s="221" t="s">
        <v>5142</v>
      </c>
      <c r="F537" s="221" t="s">
        <v>324</v>
      </c>
      <c r="G537" s="232">
        <v>1312278</v>
      </c>
      <c r="H537" s="16" t="s">
        <v>5143</v>
      </c>
      <c r="I537" s="209"/>
      <c r="J537" s="224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</row>
    <row r="538" spans="1:26" ht="15" customHeight="1">
      <c r="A538" s="230">
        <f t="shared" si="1"/>
        <v>535</v>
      </c>
      <c r="B538" s="231">
        <v>3700</v>
      </c>
      <c r="C538" s="221" t="s">
        <v>5144</v>
      </c>
      <c r="D538" s="221" t="str">
        <f t="shared" si="0"/>
        <v>ŽUPANIJSKO DRŽAVNO ODVJETNIŠTVO U ZADRU (3700)</v>
      </c>
      <c r="E538" s="221" t="s">
        <v>5077</v>
      </c>
      <c r="F538" s="221" t="s">
        <v>214</v>
      </c>
      <c r="G538" s="232">
        <v>3142469</v>
      </c>
      <c r="H538" s="16" t="s">
        <v>5145</v>
      </c>
      <c r="I538" s="209"/>
      <c r="J538" s="224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</row>
    <row r="539" spans="1:26" ht="15" customHeight="1">
      <c r="A539" s="230">
        <f t="shared" si="1"/>
        <v>536</v>
      </c>
      <c r="B539" s="231">
        <v>3718</v>
      </c>
      <c r="C539" s="221" t="s">
        <v>5146</v>
      </c>
      <c r="D539" s="221" t="str">
        <f t="shared" si="0"/>
        <v>ŽUPANIJSKO DRŽAVNO ODVJETNIŠTVO U ZAGREBU (3718)</v>
      </c>
      <c r="E539" s="221" t="s">
        <v>5147</v>
      </c>
      <c r="F539" s="221" t="s">
        <v>23</v>
      </c>
      <c r="G539" s="232">
        <v>3277143</v>
      </c>
      <c r="H539" s="16" t="s">
        <v>5148</v>
      </c>
      <c r="I539" s="209"/>
      <c r="J539" s="224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</row>
    <row r="540" spans="1:26" ht="15" customHeight="1">
      <c r="A540" s="230">
        <f t="shared" si="1"/>
        <v>537</v>
      </c>
      <c r="B540" s="231">
        <v>42910</v>
      </c>
      <c r="C540" s="221" t="s">
        <v>5149</v>
      </c>
      <c r="D540" s="221" t="str">
        <f t="shared" si="0"/>
        <v>OPĆINSKI GRAĐANSKI SUD U ZAGREBU (42910)</v>
      </c>
      <c r="E540" s="221" t="s">
        <v>5150</v>
      </c>
      <c r="F540" s="221" t="s">
        <v>23</v>
      </c>
      <c r="G540" s="232">
        <v>2279215</v>
      </c>
      <c r="H540" s="16" t="s">
        <v>5151</v>
      </c>
      <c r="I540" s="209"/>
      <c r="J540" s="224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</row>
    <row r="541" spans="1:26" ht="15" customHeight="1">
      <c r="A541" s="230">
        <f t="shared" si="1"/>
        <v>538</v>
      </c>
      <c r="B541" s="231">
        <v>42928</v>
      </c>
      <c r="C541" s="221" t="s">
        <v>5152</v>
      </c>
      <c r="D541" s="221" t="str">
        <f t="shared" si="0"/>
        <v>OPĆINSKI KAZNENI SUD U ZAGREBU (42928)</v>
      </c>
      <c r="E541" s="221" t="s">
        <v>5153</v>
      </c>
      <c r="F541" s="221" t="s">
        <v>23</v>
      </c>
      <c r="G541" s="232">
        <v>2279223</v>
      </c>
      <c r="H541" s="16" t="s">
        <v>5154</v>
      </c>
      <c r="I541" s="209"/>
      <c r="J541" s="224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</row>
    <row r="542" spans="1:26" ht="15" customHeight="1">
      <c r="A542" s="230">
        <f t="shared" si="1"/>
        <v>539</v>
      </c>
      <c r="B542" s="231">
        <v>20622</v>
      </c>
      <c r="C542" s="221" t="s">
        <v>5155</v>
      </c>
      <c r="D542" s="221" t="str">
        <f t="shared" si="0"/>
        <v>OPĆINSKI PREKRŠAJNI SUD U SPLITU (20622)</v>
      </c>
      <c r="E542" s="221" t="s">
        <v>5156</v>
      </c>
      <c r="F542" s="221" t="s">
        <v>173</v>
      </c>
      <c r="G542" s="232">
        <v>3133800</v>
      </c>
      <c r="H542" s="16" t="s">
        <v>5157</v>
      </c>
      <c r="I542" s="209"/>
      <c r="J542" s="224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</row>
    <row r="543" spans="1:26" ht="15" customHeight="1">
      <c r="A543" s="230">
        <f t="shared" si="1"/>
        <v>540</v>
      </c>
      <c r="B543" s="231">
        <v>20454</v>
      </c>
      <c r="C543" s="221" t="s">
        <v>5158</v>
      </c>
      <c r="D543" s="221" t="str">
        <f t="shared" si="0"/>
        <v>OPĆINSKI PREKRŠAJNI SUD U ZAGREBU (20454)</v>
      </c>
      <c r="E543" s="221" t="s">
        <v>5159</v>
      </c>
      <c r="F543" s="221" t="s">
        <v>23</v>
      </c>
      <c r="G543" s="232">
        <v>3206041</v>
      </c>
      <c r="H543" s="16" t="s">
        <v>5160</v>
      </c>
      <c r="I543" s="209"/>
      <c r="J543" s="224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</row>
    <row r="544" spans="1:26" ht="15" customHeight="1">
      <c r="A544" s="230">
        <f t="shared" si="1"/>
        <v>541</v>
      </c>
      <c r="B544" s="231">
        <v>46841</v>
      </c>
      <c r="C544" s="221" t="s">
        <v>5161</v>
      </c>
      <c r="D544" s="221" t="str">
        <f t="shared" si="0"/>
        <v>OPĆINSKI RADNI SUD U ZAGREBU (46841)</v>
      </c>
      <c r="E544" s="221" t="s">
        <v>5150</v>
      </c>
      <c r="F544" s="221" t="s">
        <v>23</v>
      </c>
      <c r="G544" s="232">
        <v>2808285</v>
      </c>
      <c r="H544" s="16" t="s">
        <v>5162</v>
      </c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</row>
    <row r="545" spans="1:26" ht="15" customHeight="1">
      <c r="A545" s="230">
        <f t="shared" si="1"/>
        <v>542</v>
      </c>
      <c r="B545" s="231">
        <v>3742</v>
      </c>
      <c r="C545" s="221" t="s">
        <v>5163</v>
      </c>
      <c r="D545" s="221" t="str">
        <f t="shared" si="0"/>
        <v>OPĆINSKI SUD U BJELOVARU (3742)</v>
      </c>
      <c r="E545" s="221" t="s">
        <v>5164</v>
      </c>
      <c r="F545" s="221" t="s">
        <v>3944</v>
      </c>
      <c r="G545" s="232">
        <v>3317072</v>
      </c>
      <c r="H545" s="16" t="s">
        <v>5165</v>
      </c>
      <c r="I545" s="209"/>
      <c r="J545" s="224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</row>
    <row r="546" spans="1:26" ht="15" customHeight="1">
      <c r="A546" s="230">
        <f t="shared" si="1"/>
        <v>543</v>
      </c>
      <c r="B546" s="231">
        <v>50514</v>
      </c>
      <c r="C546" s="221" t="s">
        <v>5166</v>
      </c>
      <c r="D546" s="221" t="str">
        <f t="shared" si="0"/>
        <v>OPĆINSKI SUD U CRIKVENICI (50514)</v>
      </c>
      <c r="E546" s="221" t="s">
        <v>5167</v>
      </c>
      <c r="F546" s="221" t="s">
        <v>4371</v>
      </c>
      <c r="G546" s="233" t="s">
        <v>5168</v>
      </c>
      <c r="H546" s="16" t="s">
        <v>5169</v>
      </c>
      <c r="I546" s="209"/>
      <c r="J546" s="224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</row>
    <row r="547" spans="1:26" ht="15" customHeight="1">
      <c r="A547" s="230">
        <f t="shared" si="1"/>
        <v>544</v>
      </c>
      <c r="B547" s="231">
        <v>3783</v>
      </c>
      <c r="C547" s="221" t="s">
        <v>5170</v>
      </c>
      <c r="D547" s="221" t="str">
        <f t="shared" si="0"/>
        <v>OPĆINSKI SUD U ČAKOVCU (3783)</v>
      </c>
      <c r="E547" s="221" t="s">
        <v>5171</v>
      </c>
      <c r="F547" s="221" t="s">
        <v>38</v>
      </c>
      <c r="G547" s="232">
        <v>3110761</v>
      </c>
      <c r="H547" s="16" t="s">
        <v>5172</v>
      </c>
      <c r="I547" s="209"/>
      <c r="J547" s="224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</row>
    <row r="548" spans="1:26" ht="15" customHeight="1">
      <c r="A548" s="230">
        <f t="shared" si="1"/>
        <v>545</v>
      </c>
      <c r="B548" s="231">
        <v>3847</v>
      </c>
      <c r="C548" s="221" t="s">
        <v>5173</v>
      </c>
      <c r="D548" s="221" t="str">
        <f t="shared" si="0"/>
        <v>OPĆINSKI SUD U DUBROVNIKU (3847)</v>
      </c>
      <c r="E548" s="221" t="s">
        <v>5085</v>
      </c>
      <c r="F548" s="221" t="s">
        <v>118</v>
      </c>
      <c r="G548" s="232">
        <v>3304671</v>
      </c>
      <c r="H548" s="16" t="s">
        <v>5174</v>
      </c>
      <c r="I548" s="209"/>
      <c r="J548" s="224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</row>
    <row r="549" spans="1:26" ht="15" customHeight="1">
      <c r="A549" s="230">
        <f t="shared" si="1"/>
        <v>546</v>
      </c>
      <c r="B549" s="231">
        <v>50522</v>
      </c>
      <c r="C549" s="221" t="s">
        <v>5175</v>
      </c>
      <c r="D549" s="221" t="str">
        <f t="shared" si="0"/>
        <v>OPĆINSKI SUD U ĐAKOVU (50522)</v>
      </c>
      <c r="E549" s="221" t="s">
        <v>5176</v>
      </c>
      <c r="F549" s="221" t="s">
        <v>85</v>
      </c>
      <c r="G549" s="233" t="s">
        <v>5177</v>
      </c>
      <c r="H549" s="16" t="s">
        <v>5178</v>
      </c>
      <c r="I549" s="209"/>
      <c r="J549" s="224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</row>
    <row r="550" spans="1:26" ht="15" customHeight="1">
      <c r="A550" s="230">
        <f t="shared" si="1"/>
        <v>547</v>
      </c>
      <c r="B550" s="231">
        <v>3919</v>
      </c>
      <c r="C550" s="221" t="s">
        <v>5179</v>
      </c>
      <c r="D550" s="221" t="str">
        <f t="shared" si="0"/>
        <v>OPĆINSKI SUD U GOSPIĆU (3919)</v>
      </c>
      <c r="E550" s="221" t="s">
        <v>5180</v>
      </c>
      <c r="F550" s="221" t="s">
        <v>332</v>
      </c>
      <c r="G550" s="232">
        <v>3315886</v>
      </c>
      <c r="H550" s="16" t="s">
        <v>5181</v>
      </c>
      <c r="I550" s="209"/>
      <c r="J550" s="224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</row>
    <row r="551" spans="1:26" ht="15" customHeight="1">
      <c r="A551" s="230">
        <f t="shared" si="1"/>
        <v>548</v>
      </c>
      <c r="B551" s="231">
        <v>20892</v>
      </c>
      <c r="C551" s="221" t="s">
        <v>5182</v>
      </c>
      <c r="D551" s="221" t="str">
        <f t="shared" si="0"/>
        <v>OPĆINSKI SUD U KARLOVCU (20892)</v>
      </c>
      <c r="E551" s="221" t="s">
        <v>5044</v>
      </c>
      <c r="F551" s="221" t="s">
        <v>336</v>
      </c>
      <c r="G551" s="232">
        <v>3123499</v>
      </c>
      <c r="H551" s="16" t="s">
        <v>5183</v>
      </c>
      <c r="I551" s="209"/>
      <c r="J551" s="224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</row>
    <row r="552" spans="1:26" ht="15" customHeight="1">
      <c r="A552" s="230">
        <f t="shared" si="1"/>
        <v>549</v>
      </c>
      <c r="B552" s="231">
        <v>3994</v>
      </c>
      <c r="C552" s="221" t="s">
        <v>5184</v>
      </c>
      <c r="D552" s="221" t="str">
        <f t="shared" si="0"/>
        <v>OPĆINSKI SUD U KOPRIVNICI (3994)</v>
      </c>
      <c r="E552" s="221" t="s">
        <v>5185</v>
      </c>
      <c r="F552" s="221" t="s">
        <v>113</v>
      </c>
      <c r="G552" s="232">
        <v>3010805</v>
      </c>
      <c r="H552" s="16" t="s">
        <v>5186</v>
      </c>
      <c r="I552" s="209"/>
      <c r="J552" s="224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</row>
    <row r="553" spans="1:26" ht="15" customHeight="1">
      <c r="A553" s="230">
        <f t="shared" si="1"/>
        <v>550</v>
      </c>
      <c r="B553" s="231">
        <v>50539</v>
      </c>
      <c r="C553" s="221" t="s">
        <v>5187</v>
      </c>
      <c r="D553" s="221" t="str">
        <f t="shared" si="0"/>
        <v>OPĆINSKI SUD U KUTINI (50539)</v>
      </c>
      <c r="E553" s="221" t="s">
        <v>5188</v>
      </c>
      <c r="F553" s="221" t="s">
        <v>4572</v>
      </c>
      <c r="G553" s="233" t="s">
        <v>5189</v>
      </c>
      <c r="H553" s="16" t="s">
        <v>5190</v>
      </c>
      <c r="I553" s="209"/>
      <c r="J553" s="224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</row>
    <row r="554" spans="1:26" ht="15" customHeight="1">
      <c r="A554" s="230">
        <f t="shared" si="1"/>
        <v>551</v>
      </c>
      <c r="B554" s="231">
        <v>50547</v>
      </c>
      <c r="C554" s="221" t="s">
        <v>5191</v>
      </c>
      <c r="D554" s="221" t="str">
        <f t="shared" si="0"/>
        <v>OPĆINSKI SUD U MAKARSKOJ (50547)</v>
      </c>
      <c r="E554" s="221" t="s">
        <v>5192</v>
      </c>
      <c r="F554" s="221" t="s">
        <v>4227</v>
      </c>
      <c r="G554" s="233" t="s">
        <v>5193</v>
      </c>
      <c r="H554" s="16" t="s">
        <v>5194</v>
      </c>
      <c r="I554" s="209"/>
      <c r="J554" s="224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</row>
    <row r="555" spans="1:26" ht="15" customHeight="1">
      <c r="A555" s="230">
        <f t="shared" si="1"/>
        <v>552</v>
      </c>
      <c r="B555" s="231">
        <v>50555</v>
      </c>
      <c r="C555" s="221" t="s">
        <v>5195</v>
      </c>
      <c r="D555" s="221" t="str">
        <f t="shared" si="0"/>
        <v>OPĆINSKI SUD U METKOVIĆU (50555)</v>
      </c>
      <c r="E555" s="221" t="s">
        <v>5196</v>
      </c>
      <c r="F555" s="221" t="s">
        <v>4587</v>
      </c>
      <c r="G555" s="233" t="s">
        <v>5197</v>
      </c>
      <c r="H555" s="16" t="s">
        <v>5198</v>
      </c>
      <c r="I555" s="209"/>
      <c r="J555" s="224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</row>
    <row r="556" spans="1:26" ht="15" customHeight="1">
      <c r="A556" s="230">
        <f t="shared" si="1"/>
        <v>553</v>
      </c>
      <c r="B556" s="231">
        <v>48769</v>
      </c>
      <c r="C556" s="221" t="s">
        <v>5199</v>
      </c>
      <c r="D556" s="221" t="str">
        <f t="shared" si="0"/>
        <v>OPĆINSKI SUD U NOVOM ZAGREBU (48769)</v>
      </c>
      <c r="E556" s="221" t="s">
        <v>5200</v>
      </c>
      <c r="F556" s="221" t="s">
        <v>23</v>
      </c>
      <c r="G556" s="232">
        <v>4341872</v>
      </c>
      <c r="H556" s="16" t="s">
        <v>5201</v>
      </c>
      <c r="I556" s="209"/>
      <c r="J556" s="224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</row>
    <row r="557" spans="1:26" ht="15" customHeight="1">
      <c r="A557" s="230">
        <f t="shared" si="1"/>
        <v>554</v>
      </c>
      <c r="B557" s="231">
        <v>4132</v>
      </c>
      <c r="C557" s="221" t="s">
        <v>5202</v>
      </c>
      <c r="D557" s="221" t="str">
        <f t="shared" si="0"/>
        <v>OPĆINSKI SUD U OSIJEKU (4132)</v>
      </c>
      <c r="E557" s="221" t="s">
        <v>5203</v>
      </c>
      <c r="F557" s="221" t="s">
        <v>43</v>
      </c>
      <c r="G557" s="232">
        <v>3014789</v>
      </c>
      <c r="H557" s="16" t="s">
        <v>5204</v>
      </c>
      <c r="I557" s="209"/>
      <c r="J557" s="224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</row>
    <row r="558" spans="1:26" ht="15" customHeight="1">
      <c r="A558" s="230">
        <f t="shared" si="1"/>
        <v>555</v>
      </c>
      <c r="B558" s="231">
        <v>50563</v>
      </c>
      <c r="C558" s="221" t="s">
        <v>5205</v>
      </c>
      <c r="D558" s="221" t="str">
        <f t="shared" si="0"/>
        <v>OPĆINSKI SUD U PAZINU (50563)</v>
      </c>
      <c r="E558" s="221" t="s">
        <v>5206</v>
      </c>
      <c r="F558" s="221" t="s">
        <v>3960</v>
      </c>
      <c r="G558" s="233" t="s">
        <v>5207</v>
      </c>
      <c r="H558" s="16" t="s">
        <v>5208</v>
      </c>
      <c r="I558" s="209"/>
      <c r="J558" s="224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</row>
    <row r="559" spans="1:26" ht="15" customHeight="1">
      <c r="A559" s="230">
        <f t="shared" si="1"/>
        <v>556</v>
      </c>
      <c r="B559" s="231">
        <v>4212</v>
      </c>
      <c r="C559" s="221" t="s">
        <v>5209</v>
      </c>
      <c r="D559" s="221" t="str">
        <f t="shared" si="0"/>
        <v>OPĆINSKI SUD U POŽEGI (4212)</v>
      </c>
      <c r="E559" s="221" t="s">
        <v>5210</v>
      </c>
      <c r="F559" s="221" t="s">
        <v>4296</v>
      </c>
      <c r="G559" s="232">
        <v>3310302</v>
      </c>
      <c r="H559" s="16" t="s">
        <v>5211</v>
      </c>
      <c r="I559" s="209"/>
      <c r="J559" s="224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</row>
    <row r="560" spans="1:26" ht="15" customHeight="1">
      <c r="A560" s="230">
        <f t="shared" si="1"/>
        <v>557</v>
      </c>
      <c r="B560" s="231">
        <v>4237</v>
      </c>
      <c r="C560" s="221" t="s">
        <v>5212</v>
      </c>
      <c r="D560" s="221" t="str">
        <f t="shared" si="0"/>
        <v>OPĆINSKI SUD U PULI - POLA (4237)</v>
      </c>
      <c r="E560" s="221" t="s">
        <v>5213</v>
      </c>
      <c r="F560" s="221" t="s">
        <v>108</v>
      </c>
      <c r="G560" s="232">
        <v>3204120</v>
      </c>
      <c r="H560" s="16" t="s">
        <v>5214</v>
      </c>
      <c r="I560" s="209"/>
      <c r="J560" s="224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</row>
    <row r="561" spans="1:26" ht="15" customHeight="1">
      <c r="A561" s="230">
        <f t="shared" si="1"/>
        <v>558</v>
      </c>
      <c r="B561" s="231">
        <v>4253</v>
      </c>
      <c r="C561" s="221" t="s">
        <v>5215</v>
      </c>
      <c r="D561" s="221" t="str">
        <f t="shared" si="0"/>
        <v>OPĆINSKI SUD U RIJECI (4253)</v>
      </c>
      <c r="E561" s="221" t="s">
        <v>5054</v>
      </c>
      <c r="F561" s="221" t="s">
        <v>124</v>
      </c>
      <c r="G561" s="232">
        <v>3321428</v>
      </c>
      <c r="H561" s="16" t="s">
        <v>5216</v>
      </c>
      <c r="I561" s="209"/>
      <c r="J561" s="224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</row>
    <row r="562" spans="1:26" ht="15" customHeight="1">
      <c r="A562" s="230">
        <f t="shared" si="1"/>
        <v>559</v>
      </c>
      <c r="B562" s="231">
        <v>50571</v>
      </c>
      <c r="C562" s="221" t="s">
        <v>5217</v>
      </c>
      <c r="D562" s="221" t="str">
        <f t="shared" si="0"/>
        <v>OPĆINSKI SUD U SESVETAMA (50571)</v>
      </c>
      <c r="E562" s="221" t="s">
        <v>5218</v>
      </c>
      <c r="F562" s="221" t="s">
        <v>5219</v>
      </c>
      <c r="G562" s="233" t="s">
        <v>5220</v>
      </c>
      <c r="H562" s="16" t="s">
        <v>5221</v>
      </c>
      <c r="I562" s="209"/>
      <c r="J562" s="224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</row>
    <row r="563" spans="1:26" ht="15" customHeight="1">
      <c r="A563" s="230">
        <f t="shared" si="1"/>
        <v>560</v>
      </c>
      <c r="B563" s="231">
        <v>4307</v>
      </c>
      <c r="C563" s="221" t="s">
        <v>5222</v>
      </c>
      <c r="D563" s="221" t="str">
        <f t="shared" si="0"/>
        <v>OPĆINSKI SUD U SISKU (4307)</v>
      </c>
      <c r="E563" s="221" t="s">
        <v>5057</v>
      </c>
      <c r="F563" s="221" t="s">
        <v>286</v>
      </c>
      <c r="G563" s="232">
        <v>3314723</v>
      </c>
      <c r="H563" s="16" t="s">
        <v>5223</v>
      </c>
      <c r="I563" s="209"/>
      <c r="J563" s="224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</row>
    <row r="564" spans="1:26" ht="15" customHeight="1">
      <c r="A564" s="230">
        <f t="shared" si="1"/>
        <v>561</v>
      </c>
      <c r="B564" s="231">
        <v>4323</v>
      </c>
      <c r="C564" s="221" t="s">
        <v>5224</v>
      </c>
      <c r="D564" s="221" t="str">
        <f t="shared" si="0"/>
        <v>OPĆINSKI SUD U SLAVONSKOM BRODU (4323)</v>
      </c>
      <c r="E564" s="221" t="s">
        <v>5225</v>
      </c>
      <c r="F564" s="221" t="s">
        <v>169</v>
      </c>
      <c r="G564" s="232">
        <v>3071456</v>
      </c>
      <c r="H564" s="16" t="s">
        <v>5226</v>
      </c>
      <c r="I564" s="209"/>
      <c r="J564" s="224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</row>
    <row r="565" spans="1:26" ht="15" customHeight="1">
      <c r="A565" s="230">
        <f t="shared" si="1"/>
        <v>562</v>
      </c>
      <c r="B565" s="231">
        <v>21004</v>
      </c>
      <c r="C565" s="221" t="s">
        <v>5227</v>
      </c>
      <c r="D565" s="221" t="str">
        <f t="shared" si="0"/>
        <v>OPĆINSKI SUD U SPLITU (21004)</v>
      </c>
      <c r="E565" s="221" t="s">
        <v>5228</v>
      </c>
      <c r="F565" s="221" t="s">
        <v>173</v>
      </c>
      <c r="G565" s="232">
        <v>3118665</v>
      </c>
      <c r="H565" s="16" t="s">
        <v>5229</v>
      </c>
      <c r="I565" s="209"/>
      <c r="J565" s="224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</row>
    <row r="566" spans="1:26" ht="15" customHeight="1">
      <c r="A566" s="230">
        <f t="shared" si="1"/>
        <v>563</v>
      </c>
      <c r="B566" s="231">
        <v>4340</v>
      </c>
      <c r="C566" s="221" t="s">
        <v>5230</v>
      </c>
      <c r="D566" s="221" t="str">
        <f t="shared" si="0"/>
        <v>OPĆINSKI SUD U ŠIBENIKU (4340)</v>
      </c>
      <c r="E566" s="221" t="s">
        <v>5066</v>
      </c>
      <c r="F566" s="221" t="s">
        <v>343</v>
      </c>
      <c r="G566" s="232">
        <v>3019772</v>
      </c>
      <c r="H566" s="16" t="s">
        <v>5231</v>
      </c>
      <c r="I566" s="209"/>
      <c r="J566" s="224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</row>
    <row r="567" spans="1:26" ht="15" customHeight="1">
      <c r="A567" s="230">
        <f t="shared" si="1"/>
        <v>564</v>
      </c>
      <c r="B567" s="231">
        <v>4366</v>
      </c>
      <c r="C567" s="221" t="s">
        <v>5232</v>
      </c>
      <c r="D567" s="221" t="str">
        <f t="shared" si="0"/>
        <v>OPĆINSKI SUD U VARAŽDINU (4366)</v>
      </c>
      <c r="E567" s="221" t="s">
        <v>4682</v>
      </c>
      <c r="F567" s="221" t="s">
        <v>30</v>
      </c>
      <c r="G567" s="232">
        <v>3006697</v>
      </c>
      <c r="H567" s="16" t="s">
        <v>5233</v>
      </c>
      <c r="I567" s="209"/>
      <c r="J567" s="224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</row>
    <row r="568" spans="1:26" ht="15" customHeight="1">
      <c r="A568" s="230">
        <f t="shared" si="1"/>
        <v>565</v>
      </c>
      <c r="B568" s="231">
        <v>4374</v>
      </c>
      <c r="C568" s="221" t="s">
        <v>5234</v>
      </c>
      <c r="D568" s="221" t="str">
        <f t="shared" si="0"/>
        <v>OPĆINSKI SUD U VELIKOJ GORICI (4374)</v>
      </c>
      <c r="E568" s="221" t="s">
        <v>5235</v>
      </c>
      <c r="F568" s="221" t="s">
        <v>3874</v>
      </c>
      <c r="G568" s="232">
        <v>3216365</v>
      </c>
      <c r="H568" s="16" t="s">
        <v>5236</v>
      </c>
      <c r="I568" s="209"/>
      <c r="J568" s="224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</row>
    <row r="569" spans="1:26" ht="15" customHeight="1">
      <c r="A569" s="230">
        <f t="shared" si="1"/>
        <v>566</v>
      </c>
      <c r="B569" s="231">
        <v>50580</v>
      </c>
      <c r="C569" s="221" t="s">
        <v>5237</v>
      </c>
      <c r="D569" s="221" t="str">
        <f t="shared" si="0"/>
        <v>OPĆINSKI SUD U VINKOVCIMA (50580)</v>
      </c>
      <c r="E569" s="221" t="s">
        <v>5238</v>
      </c>
      <c r="F569" s="221" t="s">
        <v>4742</v>
      </c>
      <c r="G569" s="233" t="s">
        <v>5239</v>
      </c>
      <c r="H569" s="16" t="s">
        <v>5240</v>
      </c>
      <c r="I569" s="209"/>
      <c r="J569" s="224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</row>
    <row r="570" spans="1:26" ht="15" customHeight="1">
      <c r="A570" s="230">
        <f t="shared" si="1"/>
        <v>567</v>
      </c>
      <c r="B570" s="231">
        <v>4399</v>
      </c>
      <c r="C570" s="221" t="s">
        <v>5241</v>
      </c>
      <c r="D570" s="221" t="str">
        <f t="shared" si="0"/>
        <v>OPĆINSKI SUD U VIROVITICI (4399)</v>
      </c>
      <c r="E570" s="221" t="s">
        <v>5242</v>
      </c>
      <c r="F570" s="221" t="s">
        <v>347</v>
      </c>
      <c r="G570" s="232">
        <v>3106071</v>
      </c>
      <c r="H570" s="16" t="s">
        <v>5243</v>
      </c>
      <c r="I570" s="209"/>
      <c r="J570" s="224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</row>
    <row r="571" spans="1:26" ht="15" customHeight="1">
      <c r="A571" s="230">
        <f t="shared" si="1"/>
        <v>568</v>
      </c>
      <c r="B571" s="231">
        <v>4420</v>
      </c>
      <c r="C571" s="221" t="s">
        <v>5244</v>
      </c>
      <c r="D571" s="221" t="str">
        <f t="shared" si="0"/>
        <v>OPĆINSKI SUD U VUKOVARU (4420)</v>
      </c>
      <c r="E571" s="221" t="s">
        <v>5245</v>
      </c>
      <c r="F571" s="221" t="s">
        <v>324</v>
      </c>
      <c r="G571" s="232">
        <v>3008886</v>
      </c>
      <c r="H571" s="16" t="s">
        <v>5246</v>
      </c>
      <c r="I571" s="209"/>
      <c r="J571" s="224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</row>
    <row r="572" spans="1:26" ht="15" customHeight="1">
      <c r="A572" s="230">
        <f t="shared" si="1"/>
        <v>569</v>
      </c>
      <c r="B572" s="231">
        <v>4446</v>
      </c>
      <c r="C572" s="221" t="s">
        <v>5247</v>
      </c>
      <c r="D572" s="221" t="str">
        <f t="shared" si="0"/>
        <v>OPĆINSKI SUD U ZADRU (4446)</v>
      </c>
      <c r="E572" s="221" t="s">
        <v>5077</v>
      </c>
      <c r="F572" s="221" t="s">
        <v>214</v>
      </c>
      <c r="G572" s="232">
        <v>3142442</v>
      </c>
      <c r="H572" s="16" t="s">
        <v>5248</v>
      </c>
      <c r="I572" s="209"/>
      <c r="J572" s="224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</row>
    <row r="573" spans="1:26" ht="15" customHeight="1">
      <c r="A573" s="230">
        <f t="shared" si="1"/>
        <v>570</v>
      </c>
      <c r="B573" s="231">
        <v>4462</v>
      </c>
      <c r="C573" s="221" t="s">
        <v>5249</v>
      </c>
      <c r="D573" s="221" t="str">
        <f t="shared" si="0"/>
        <v>OPĆINSKI SUD U ZLATARU (4462)</v>
      </c>
      <c r="E573" s="221" t="s">
        <v>5250</v>
      </c>
      <c r="F573" s="221" t="s">
        <v>5251</v>
      </c>
      <c r="G573" s="232">
        <v>3100952</v>
      </c>
      <c r="H573" s="16" t="s">
        <v>5252</v>
      </c>
      <c r="I573" s="209"/>
      <c r="J573" s="224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</row>
    <row r="574" spans="1:26" ht="15" customHeight="1">
      <c r="A574" s="230">
        <f t="shared" si="1"/>
        <v>571</v>
      </c>
      <c r="B574" s="231">
        <v>4500</v>
      </c>
      <c r="C574" s="221" t="s">
        <v>5253</v>
      </c>
      <c r="D574" s="221" t="str">
        <f t="shared" si="0"/>
        <v>OPĆINSKO DRŽAVNO ODVJETNIŠTVO U BJELOVARU (4500)</v>
      </c>
      <c r="E574" s="221" t="s">
        <v>5038</v>
      </c>
      <c r="F574" s="221" t="s">
        <v>3944</v>
      </c>
      <c r="G574" s="232">
        <v>3308693</v>
      </c>
      <c r="H574" s="16" t="s">
        <v>5254</v>
      </c>
      <c r="I574" s="209"/>
      <c r="J574" s="224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</row>
    <row r="575" spans="1:26" ht="15" customHeight="1">
      <c r="A575" s="230">
        <f t="shared" si="1"/>
        <v>572</v>
      </c>
      <c r="B575" s="231">
        <v>4526</v>
      </c>
      <c r="C575" s="221" t="s">
        <v>5255</v>
      </c>
      <c r="D575" s="221" t="str">
        <f t="shared" si="0"/>
        <v>OPĆINSKO DRŽAVNO ODVJETNIŠTVO U ČAKOVCU (4526)</v>
      </c>
      <c r="E575" s="221" t="s">
        <v>5171</v>
      </c>
      <c r="F575" s="221" t="s">
        <v>38</v>
      </c>
      <c r="G575" s="232">
        <v>3110770</v>
      </c>
      <c r="H575" s="16" t="s">
        <v>5256</v>
      </c>
      <c r="I575" s="209"/>
      <c r="J575" s="224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</row>
    <row r="576" spans="1:26" ht="15" customHeight="1">
      <c r="A576" s="230">
        <f t="shared" si="1"/>
        <v>573</v>
      </c>
      <c r="B576" s="231">
        <v>4567</v>
      </c>
      <c r="C576" s="221" t="s">
        <v>5257</v>
      </c>
      <c r="D576" s="221" t="str">
        <f t="shared" si="0"/>
        <v>OPĆINSKO DRŽAVNO ODVJETNIŠTVO U DUBROVNIKU (4567)</v>
      </c>
      <c r="E576" s="221" t="s">
        <v>5085</v>
      </c>
      <c r="F576" s="221" t="s">
        <v>118</v>
      </c>
      <c r="G576" s="232">
        <v>3364968</v>
      </c>
      <c r="H576" s="16" t="s">
        <v>5258</v>
      </c>
      <c r="I576" s="209"/>
      <c r="J576" s="224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</row>
    <row r="577" spans="1:26" ht="15" customHeight="1">
      <c r="A577" s="230">
        <f t="shared" si="1"/>
        <v>574</v>
      </c>
      <c r="B577" s="231">
        <v>4606</v>
      </c>
      <c r="C577" s="221" t="s">
        <v>5259</v>
      </c>
      <c r="D577" s="221" t="str">
        <f t="shared" si="0"/>
        <v>OPĆINSKO DRŽAVNO ODVJETNIŠTVO U GOSPIĆU (4606)</v>
      </c>
      <c r="E577" s="221" t="s">
        <v>5180</v>
      </c>
      <c r="F577" s="221" t="s">
        <v>332</v>
      </c>
      <c r="G577" s="232">
        <v>3315908</v>
      </c>
      <c r="H577" s="16" t="s">
        <v>5260</v>
      </c>
      <c r="I577" s="209"/>
      <c r="J577" s="224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</row>
    <row r="578" spans="1:26" ht="15" customHeight="1">
      <c r="A578" s="230">
        <f t="shared" si="1"/>
        <v>575</v>
      </c>
      <c r="B578" s="231">
        <v>20270</v>
      </c>
      <c r="C578" s="221" t="s">
        <v>5261</v>
      </c>
      <c r="D578" s="221" t="str">
        <f t="shared" si="0"/>
        <v>OPĆINSKO DRŽAVNO ODVJETNIŠTVO U KARLOVCU (20270)</v>
      </c>
      <c r="E578" s="221" t="s">
        <v>5044</v>
      </c>
      <c r="F578" s="221" t="s">
        <v>336</v>
      </c>
      <c r="G578" s="232">
        <v>3123537</v>
      </c>
      <c r="H578" s="16" t="s">
        <v>5262</v>
      </c>
      <c r="I578" s="209"/>
      <c r="J578" s="224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</row>
    <row r="579" spans="1:26" ht="15" customHeight="1">
      <c r="A579" s="230">
        <f t="shared" si="1"/>
        <v>576</v>
      </c>
      <c r="B579" s="231">
        <v>4655</v>
      </c>
      <c r="C579" s="221" t="s">
        <v>5263</v>
      </c>
      <c r="D579" s="221" t="str">
        <f t="shared" si="0"/>
        <v>OPĆINSKO DRŽAVNO ODVJETNIŠTVO U KOPRIVNICI (4655)</v>
      </c>
      <c r="E579" s="221" t="s">
        <v>5264</v>
      </c>
      <c r="F579" s="221" t="s">
        <v>113</v>
      </c>
      <c r="G579" s="232">
        <v>3010813</v>
      </c>
      <c r="H579" s="16" t="s">
        <v>5265</v>
      </c>
      <c r="I579" s="209"/>
      <c r="J579" s="224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</row>
    <row r="580" spans="1:26" ht="15" customHeight="1">
      <c r="A580" s="230">
        <f t="shared" si="1"/>
        <v>577</v>
      </c>
      <c r="B580" s="231">
        <v>50483</v>
      </c>
      <c r="C580" s="221" t="s">
        <v>5266</v>
      </c>
      <c r="D580" s="221" t="str">
        <f t="shared" si="0"/>
        <v>OPĆINSKO DRŽAVNO ODVJETNIŠTVO U METKOVIĆU (50483)</v>
      </c>
      <c r="E580" s="221" t="s">
        <v>5196</v>
      </c>
      <c r="F580" s="221" t="s">
        <v>4587</v>
      </c>
      <c r="G580" s="233" t="s">
        <v>5267</v>
      </c>
      <c r="H580" s="16" t="s">
        <v>5268</v>
      </c>
      <c r="I580" s="209"/>
      <c r="J580" s="224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</row>
    <row r="581" spans="1:26" ht="15" customHeight="1">
      <c r="A581" s="230">
        <f t="shared" si="1"/>
        <v>578</v>
      </c>
      <c r="B581" s="231">
        <v>48785</v>
      </c>
      <c r="C581" s="221" t="s">
        <v>5269</v>
      </c>
      <c r="D581" s="221" t="str">
        <f t="shared" si="0"/>
        <v>OPĆINSKO DRŽAVNO ODVJETNIŠTVO U NOVOM ZAGREBU (48785)</v>
      </c>
      <c r="E581" s="221" t="s">
        <v>5200</v>
      </c>
      <c r="F581" s="221" t="s">
        <v>23</v>
      </c>
      <c r="G581" s="232">
        <v>4355784</v>
      </c>
      <c r="H581" s="16" t="s">
        <v>5270</v>
      </c>
      <c r="I581" s="209"/>
      <c r="J581" s="224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</row>
    <row r="582" spans="1:26" ht="15" customHeight="1">
      <c r="A582" s="230">
        <f t="shared" si="1"/>
        <v>579</v>
      </c>
      <c r="B582" s="231">
        <v>4760</v>
      </c>
      <c r="C582" s="221" t="s">
        <v>5271</v>
      </c>
      <c r="D582" s="221" t="str">
        <f t="shared" si="0"/>
        <v>OPĆINSKO DRŽAVNO ODVJETNIŠTVO U OSIJEKU (4760)</v>
      </c>
      <c r="E582" s="221" t="s">
        <v>5272</v>
      </c>
      <c r="F582" s="221" t="s">
        <v>43</v>
      </c>
      <c r="G582" s="232">
        <v>3014827</v>
      </c>
      <c r="H582" s="16" t="s">
        <v>5273</v>
      </c>
      <c r="I582" s="209"/>
      <c r="J582" s="224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</row>
    <row r="583" spans="1:26" ht="15" customHeight="1">
      <c r="A583" s="230">
        <f t="shared" si="1"/>
        <v>580</v>
      </c>
      <c r="B583" s="231">
        <v>50491</v>
      </c>
      <c r="C583" s="221" t="s">
        <v>5274</v>
      </c>
      <c r="D583" s="221" t="str">
        <f t="shared" si="0"/>
        <v>OPĆINSKO DRŽAVNO ODVJETNIŠTVO U PAZINU (50491)</v>
      </c>
      <c r="E583" s="221" t="s">
        <v>5275</v>
      </c>
      <c r="F583" s="221" t="s">
        <v>3960</v>
      </c>
      <c r="G583" s="233" t="s">
        <v>5276</v>
      </c>
      <c r="H583" s="245" t="s">
        <v>5277</v>
      </c>
      <c r="I583" s="209"/>
      <c r="J583" s="224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</row>
    <row r="584" spans="1:26" ht="15" customHeight="1">
      <c r="A584" s="230">
        <f t="shared" si="1"/>
        <v>581</v>
      </c>
      <c r="B584" s="231">
        <v>4809</v>
      </c>
      <c r="C584" s="221" t="s">
        <v>5278</v>
      </c>
      <c r="D584" s="221" t="str">
        <f t="shared" si="0"/>
        <v>OPĆINSKO DRŽAVNO ODVJETNIŠTVO U POŽEGI (4809)</v>
      </c>
      <c r="E584" s="221" t="s">
        <v>5210</v>
      </c>
      <c r="F584" s="221" t="s">
        <v>4296</v>
      </c>
      <c r="G584" s="232">
        <v>3310744</v>
      </c>
      <c r="H584" s="16" t="s">
        <v>5279</v>
      </c>
      <c r="I584" s="209"/>
      <c r="J584" s="224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</row>
    <row r="585" spans="1:26" ht="15" customHeight="1">
      <c r="A585" s="230">
        <f t="shared" si="1"/>
        <v>582</v>
      </c>
      <c r="B585" s="231">
        <v>4817</v>
      </c>
      <c r="C585" s="221" t="s">
        <v>5280</v>
      </c>
      <c r="D585" s="221" t="str">
        <f t="shared" si="0"/>
        <v>OPĆINSKO DRŽAVNO ODVJETNIŠTVO U PULI - POLA (4817)</v>
      </c>
      <c r="E585" s="221" t="s">
        <v>5120</v>
      </c>
      <c r="F585" s="221" t="s">
        <v>108</v>
      </c>
      <c r="G585" s="232">
        <v>3204146</v>
      </c>
      <c r="H585" s="16" t="s">
        <v>5281</v>
      </c>
      <c r="I585" s="209"/>
      <c r="J585" s="224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</row>
    <row r="586" spans="1:26" ht="15" customHeight="1">
      <c r="A586" s="230">
        <f t="shared" si="1"/>
        <v>583</v>
      </c>
      <c r="B586" s="231">
        <v>4825</v>
      </c>
      <c r="C586" s="221" t="s">
        <v>5282</v>
      </c>
      <c r="D586" s="221" t="str">
        <f t="shared" si="0"/>
        <v>OPĆINSKO DRŽAVNO ODVJETNIŠTVO U RIJECI (4825)</v>
      </c>
      <c r="E586" s="221" t="s">
        <v>5283</v>
      </c>
      <c r="F586" s="221" t="s">
        <v>124</v>
      </c>
      <c r="G586" s="232">
        <v>3321436</v>
      </c>
      <c r="H586" s="16" t="s">
        <v>5284</v>
      </c>
      <c r="I586" s="209"/>
      <c r="J586" s="224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</row>
    <row r="587" spans="1:26" ht="15" customHeight="1">
      <c r="A587" s="230">
        <f t="shared" si="1"/>
        <v>584</v>
      </c>
      <c r="B587" s="231">
        <v>4868</v>
      </c>
      <c r="C587" s="221" t="s">
        <v>5285</v>
      </c>
      <c r="D587" s="221" t="str">
        <f t="shared" si="0"/>
        <v>OPĆINSKO DRŽAVNO ODVJETNIŠTVO U SISKU (4868)</v>
      </c>
      <c r="E587" s="221" t="s">
        <v>5126</v>
      </c>
      <c r="F587" s="221" t="s">
        <v>286</v>
      </c>
      <c r="G587" s="232">
        <v>3314740</v>
      </c>
      <c r="H587" s="16" t="s">
        <v>5286</v>
      </c>
      <c r="I587" s="209"/>
      <c r="J587" s="224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</row>
    <row r="588" spans="1:26" ht="15" customHeight="1">
      <c r="A588" s="230">
        <f t="shared" si="1"/>
        <v>585</v>
      </c>
      <c r="B588" s="231">
        <v>4876</v>
      </c>
      <c r="C588" s="221" t="s">
        <v>5287</v>
      </c>
      <c r="D588" s="221" t="str">
        <f t="shared" si="0"/>
        <v>OPĆINSKO DRŽAVNO ODVJETNIŠTVO U SLAVONSKOM BRODU (4876)</v>
      </c>
      <c r="E588" s="221" t="s">
        <v>5288</v>
      </c>
      <c r="F588" s="221" t="s">
        <v>169</v>
      </c>
      <c r="G588" s="232">
        <v>3071472</v>
      </c>
      <c r="H588" s="16" t="s">
        <v>5289</v>
      </c>
      <c r="I588" s="209"/>
      <c r="J588" s="224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</row>
    <row r="589" spans="1:26" ht="15" customHeight="1">
      <c r="A589" s="230">
        <f t="shared" si="1"/>
        <v>586</v>
      </c>
      <c r="B589" s="231">
        <v>4884</v>
      </c>
      <c r="C589" s="221" t="s">
        <v>5290</v>
      </c>
      <c r="D589" s="221" t="str">
        <f t="shared" si="0"/>
        <v>OPĆINSKO DRŽAVNO ODVJETNIŠTVO U SPLITU (4884)</v>
      </c>
      <c r="E589" s="221" t="s">
        <v>5291</v>
      </c>
      <c r="F589" s="221" t="s">
        <v>173</v>
      </c>
      <c r="G589" s="232">
        <v>3161242</v>
      </c>
      <c r="H589" s="16" t="s">
        <v>5292</v>
      </c>
      <c r="I589" s="209"/>
      <c r="J589" s="224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</row>
    <row r="590" spans="1:26" ht="15" customHeight="1">
      <c r="A590" s="230">
        <f t="shared" si="1"/>
        <v>587</v>
      </c>
      <c r="B590" s="231">
        <v>4892</v>
      </c>
      <c r="C590" s="221" t="s">
        <v>5293</v>
      </c>
      <c r="D590" s="221" t="str">
        <f t="shared" si="0"/>
        <v>OPĆINSKO DRŽAVNO ODVJETNIŠTVO U ŠIBENIKU (4892)</v>
      </c>
      <c r="E590" s="221" t="s">
        <v>5294</v>
      </c>
      <c r="F590" s="221" t="s">
        <v>343</v>
      </c>
      <c r="G590" s="232">
        <v>3019829</v>
      </c>
      <c r="H590" s="16" t="s">
        <v>5295</v>
      </c>
      <c r="I590" s="209"/>
      <c r="J590" s="224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</row>
    <row r="591" spans="1:26" ht="15" customHeight="1">
      <c r="A591" s="230">
        <f t="shared" si="1"/>
        <v>588</v>
      </c>
      <c r="B591" s="231">
        <v>4913</v>
      </c>
      <c r="C591" s="221" t="s">
        <v>5296</v>
      </c>
      <c r="D591" s="221" t="str">
        <f t="shared" si="0"/>
        <v>OPĆINSKO DRŽAVNO ODVJETNIŠTVO U VARAŽDINU (4913)</v>
      </c>
      <c r="E591" s="221" t="s">
        <v>5297</v>
      </c>
      <c r="F591" s="221" t="s">
        <v>5101</v>
      </c>
      <c r="G591" s="232">
        <v>3006735</v>
      </c>
      <c r="H591" s="16" t="s">
        <v>5298</v>
      </c>
      <c r="I591" s="209"/>
      <c r="J591" s="224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</row>
    <row r="592" spans="1:26" ht="15" customHeight="1">
      <c r="A592" s="230">
        <f t="shared" si="1"/>
        <v>589</v>
      </c>
      <c r="B592" s="231">
        <v>4921</v>
      </c>
      <c r="C592" s="221" t="s">
        <v>5299</v>
      </c>
      <c r="D592" s="221" t="str">
        <f t="shared" si="0"/>
        <v>OPĆINSKO DRŽAVNO ODVJETNIŠTVO U VELIKOJ GORICI (4921)</v>
      </c>
      <c r="E592" s="221" t="s">
        <v>5235</v>
      </c>
      <c r="F592" s="221" t="s">
        <v>3874</v>
      </c>
      <c r="G592" s="232">
        <v>3216373</v>
      </c>
      <c r="H592" s="16" t="s">
        <v>5300</v>
      </c>
      <c r="I592" s="209"/>
      <c r="J592" s="224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</row>
    <row r="593" spans="1:26" ht="15" customHeight="1">
      <c r="A593" s="230">
        <f t="shared" si="1"/>
        <v>590</v>
      </c>
      <c r="B593" s="231">
        <v>50506</v>
      </c>
      <c r="C593" s="221" t="s">
        <v>5301</v>
      </c>
      <c r="D593" s="221" t="str">
        <f t="shared" si="0"/>
        <v>OPĆINSKO DRŽAVNO ODVJETNIŠTVO U VINKOVCIMA (50506)</v>
      </c>
      <c r="E593" s="221" t="s">
        <v>5176</v>
      </c>
      <c r="F593" s="221" t="s">
        <v>4742</v>
      </c>
      <c r="G593" s="233" t="s">
        <v>5302</v>
      </c>
      <c r="H593" s="16" t="s">
        <v>5303</v>
      </c>
      <c r="I593" s="209"/>
      <c r="J593" s="224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</row>
    <row r="594" spans="1:26" ht="15" customHeight="1">
      <c r="A594" s="230">
        <f t="shared" si="1"/>
        <v>591</v>
      </c>
      <c r="B594" s="231">
        <v>4948</v>
      </c>
      <c r="C594" s="221" t="s">
        <v>5304</v>
      </c>
      <c r="D594" s="221" t="str">
        <f t="shared" si="0"/>
        <v>OPĆINSKO DRŽAVNO ODVJETNIŠTVO U VIROVITICI (4948)</v>
      </c>
      <c r="E594" s="221" t="s">
        <v>5305</v>
      </c>
      <c r="F594" s="221" t="s">
        <v>347</v>
      </c>
      <c r="G594" s="232">
        <v>3149625</v>
      </c>
      <c r="H594" s="16" t="s">
        <v>5306</v>
      </c>
      <c r="I594" s="209"/>
      <c r="J594" s="224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</row>
    <row r="595" spans="1:26" ht="15" customHeight="1">
      <c r="A595" s="230">
        <f t="shared" si="1"/>
        <v>592</v>
      </c>
      <c r="B595" s="231">
        <v>4956</v>
      </c>
      <c r="C595" s="221" t="s">
        <v>5307</v>
      </c>
      <c r="D595" s="221" t="str">
        <f t="shared" si="0"/>
        <v>OPĆINSKO DRŽAVNO ODVJETNIŠTVO U VUKOVARU (4956)</v>
      </c>
      <c r="E595" s="221" t="s">
        <v>5142</v>
      </c>
      <c r="F595" s="221" t="s">
        <v>324</v>
      </c>
      <c r="G595" s="232">
        <v>3008894</v>
      </c>
      <c r="H595" s="16" t="s">
        <v>5308</v>
      </c>
      <c r="I595" s="209"/>
      <c r="J595" s="224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</row>
    <row r="596" spans="1:26" ht="15" customHeight="1">
      <c r="A596" s="230">
        <f t="shared" si="1"/>
        <v>593</v>
      </c>
      <c r="B596" s="231">
        <v>4972</v>
      </c>
      <c r="C596" s="221" t="s">
        <v>5309</v>
      </c>
      <c r="D596" s="221" t="str">
        <f t="shared" si="0"/>
        <v>OPĆINSKO DRŽAVNO ODVJETNIŠTVO U ZADRU (4972)</v>
      </c>
      <c r="E596" s="221" t="s">
        <v>5310</v>
      </c>
      <c r="F596" s="221" t="s">
        <v>214</v>
      </c>
      <c r="G596" s="232">
        <v>3174786</v>
      </c>
      <c r="H596" s="16" t="s">
        <v>5311</v>
      </c>
      <c r="I596" s="209"/>
      <c r="J596" s="224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</row>
    <row r="597" spans="1:26" ht="15" customHeight="1">
      <c r="A597" s="230">
        <f t="shared" si="1"/>
        <v>594</v>
      </c>
      <c r="B597" s="231">
        <v>4989</v>
      </c>
      <c r="C597" s="221" t="s">
        <v>5312</v>
      </c>
      <c r="D597" s="221" t="str">
        <f t="shared" si="0"/>
        <v>OPĆINSKO KAZNENO DRŽAVNO ODVJETNIŠTVO U ZAGREBU (4989)</v>
      </c>
      <c r="E597" s="221" t="s">
        <v>5313</v>
      </c>
      <c r="F597" s="221" t="s">
        <v>23</v>
      </c>
      <c r="G597" s="232">
        <v>3277135</v>
      </c>
      <c r="H597" s="16" t="s">
        <v>5314</v>
      </c>
      <c r="I597" s="209"/>
      <c r="J597" s="224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</row>
    <row r="598" spans="1:26" ht="15" customHeight="1">
      <c r="A598" s="230">
        <f t="shared" si="1"/>
        <v>595</v>
      </c>
      <c r="B598" s="231">
        <v>4997</v>
      </c>
      <c r="C598" s="221" t="s">
        <v>5315</v>
      </c>
      <c r="D598" s="221" t="str">
        <f t="shared" si="0"/>
        <v>OPĆINSKO DRŽAVNO ODVJETNIŠTVO U ZLATARU (4997)</v>
      </c>
      <c r="E598" s="221" t="s">
        <v>5250</v>
      </c>
      <c r="F598" s="221" t="s">
        <v>5251</v>
      </c>
      <c r="G598" s="232">
        <v>3433811</v>
      </c>
      <c r="H598" s="16" t="s">
        <v>5316</v>
      </c>
      <c r="I598" s="209"/>
      <c r="J598" s="224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</row>
    <row r="599" spans="1:26" ht="15" customHeight="1">
      <c r="A599" s="230">
        <f t="shared" si="1"/>
        <v>596</v>
      </c>
      <c r="B599" s="231">
        <v>52356</v>
      </c>
      <c r="C599" s="221" t="s">
        <v>5317</v>
      </c>
      <c r="D599" s="221" t="str">
        <f t="shared" si="0"/>
        <v>OPĆINSKO GRAĐANSKO DRŽAVNO ODVJETNIŠTVO U ZAGREBU (52356)</v>
      </c>
      <c r="E599" s="221" t="s">
        <v>5318</v>
      </c>
      <c r="F599" s="221" t="s">
        <v>23</v>
      </c>
      <c r="G599" s="232">
        <v>5545471</v>
      </c>
      <c r="H599" s="16" t="s">
        <v>5319</v>
      </c>
      <c r="I599" s="209"/>
      <c r="J599" s="224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</row>
    <row r="600" spans="1:26" ht="15" customHeight="1">
      <c r="A600" s="230">
        <f t="shared" si="1"/>
        <v>597</v>
      </c>
      <c r="B600" s="231">
        <v>23649</v>
      </c>
      <c r="C600" s="221" t="s">
        <v>5320</v>
      </c>
      <c r="D600" s="221" t="str">
        <f t="shared" si="0"/>
        <v>DRŽAVNO ODVJETNIŠTVO URED ZA SUZBIJANJE KORUPCIJE I ORGANIZIRANOG KRIMINALITETA  (23649)</v>
      </c>
      <c r="E600" s="221" t="s">
        <v>5321</v>
      </c>
      <c r="F600" s="221" t="s">
        <v>23</v>
      </c>
      <c r="G600" s="232">
        <v>1597965</v>
      </c>
      <c r="H600" s="16" t="s">
        <v>5322</v>
      </c>
      <c r="I600" s="209"/>
      <c r="J600" s="224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</row>
    <row r="601" spans="1:26" ht="15" customHeight="1">
      <c r="A601" s="230">
        <f t="shared" si="1"/>
        <v>598</v>
      </c>
      <c r="B601" s="231">
        <v>46420</v>
      </c>
      <c r="C601" s="248" t="s">
        <v>5323</v>
      </c>
      <c r="D601" s="221" t="str">
        <f t="shared" si="0"/>
        <v>DRŽAVNA ŠKOLA ZA JAVNU UPRAVU (46420)</v>
      </c>
      <c r="E601" s="221" t="s">
        <v>5324</v>
      </c>
      <c r="F601" s="221" t="s">
        <v>23</v>
      </c>
      <c r="G601" s="232">
        <v>2720736</v>
      </c>
      <c r="H601" s="16" t="s">
        <v>5325</v>
      </c>
      <c r="I601" s="209"/>
      <c r="J601" s="224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</row>
    <row r="602" spans="1:26" ht="15" customHeight="1">
      <c r="A602" s="219">
        <f t="shared" si="1"/>
        <v>599</v>
      </c>
      <c r="B602" s="226">
        <v>6040</v>
      </c>
      <c r="C602" s="227" t="s">
        <v>5326</v>
      </c>
      <c r="D602" s="221" t="str">
        <f t="shared" si="0"/>
        <v>URED PUČKOG PRAVOBRANITELJA (6040)</v>
      </c>
      <c r="E602" s="227" t="s">
        <v>5327</v>
      </c>
      <c r="F602" s="227" t="s">
        <v>23</v>
      </c>
      <c r="G602" s="228">
        <v>515655</v>
      </c>
      <c r="H602" s="229" t="s">
        <v>5328</v>
      </c>
      <c r="I602" s="209"/>
      <c r="J602" s="224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</row>
    <row r="603" spans="1:26" ht="15" customHeight="1">
      <c r="A603" s="219">
        <f t="shared" si="1"/>
        <v>600</v>
      </c>
      <c r="B603" s="226">
        <v>24027</v>
      </c>
      <c r="C603" s="227" t="s">
        <v>5329</v>
      </c>
      <c r="D603" s="221" t="str">
        <f t="shared" si="0"/>
        <v>PRAVOBRANITELJ ZA DJECU (24027)</v>
      </c>
      <c r="E603" s="227" t="s">
        <v>5330</v>
      </c>
      <c r="F603" s="227" t="s">
        <v>23</v>
      </c>
      <c r="G603" s="228">
        <v>1748068</v>
      </c>
      <c r="H603" s="229" t="s">
        <v>5331</v>
      </c>
      <c r="I603" s="209"/>
      <c r="J603" s="224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</row>
    <row r="604" spans="1:26" ht="15" customHeight="1">
      <c r="A604" s="219">
        <f t="shared" si="1"/>
        <v>601</v>
      </c>
      <c r="B604" s="226">
        <v>24060</v>
      </c>
      <c r="C604" s="227" t="s">
        <v>5332</v>
      </c>
      <c r="D604" s="221" t="str">
        <f t="shared" si="0"/>
        <v>PRAVOBRANITELJ/ICA ZA RAVNOPRAVNOST SPOLOVA (24060)</v>
      </c>
      <c r="E604" s="227" t="s">
        <v>5333</v>
      </c>
      <c r="F604" s="227" t="s">
        <v>23</v>
      </c>
      <c r="G604" s="228">
        <v>1768832</v>
      </c>
      <c r="H604" s="229" t="s">
        <v>5334</v>
      </c>
      <c r="I604" s="209"/>
      <c r="J604" s="224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</row>
    <row r="605" spans="1:26" ht="15" customHeight="1">
      <c r="A605" s="219">
        <f t="shared" si="1"/>
        <v>602</v>
      </c>
      <c r="B605" s="226">
        <v>43564</v>
      </c>
      <c r="C605" s="227" t="s">
        <v>5335</v>
      </c>
      <c r="D605" s="221" t="str">
        <f t="shared" si="0"/>
        <v>PRAVOBRANITELJICA ZA OSOBE S INVALIDITETOM (43564)</v>
      </c>
      <c r="E605" s="227" t="s">
        <v>5336</v>
      </c>
      <c r="F605" s="227" t="s">
        <v>23</v>
      </c>
      <c r="G605" s="228">
        <v>2397161</v>
      </c>
      <c r="H605" s="229" t="s">
        <v>5337</v>
      </c>
      <c r="I605" s="209"/>
      <c r="J605" s="224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</row>
    <row r="606" spans="1:26" ht="15" customHeight="1">
      <c r="A606" s="219">
        <f t="shared" si="1"/>
        <v>603</v>
      </c>
      <c r="B606" s="226">
        <v>6099</v>
      </c>
      <c r="C606" s="227" t="s">
        <v>5338</v>
      </c>
      <c r="D606" s="221" t="str">
        <f t="shared" si="0"/>
        <v>DRŽAVNI ZAVOD ZA STATISTIKU (6099)</v>
      </c>
      <c r="E606" s="227" t="s">
        <v>5339</v>
      </c>
      <c r="F606" s="227" t="s">
        <v>23</v>
      </c>
      <c r="G606" s="228">
        <v>3220338</v>
      </c>
      <c r="H606" s="229" t="s">
        <v>5340</v>
      </c>
      <c r="I606" s="209"/>
      <c r="J606" s="224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</row>
    <row r="607" spans="1:26" ht="15" customHeight="1">
      <c r="A607" s="219">
        <f t="shared" si="1"/>
        <v>604</v>
      </c>
      <c r="B607" s="226">
        <v>6138</v>
      </c>
      <c r="C607" s="227" t="s">
        <v>5341</v>
      </c>
      <c r="D607" s="221" t="str">
        <f t="shared" si="0"/>
        <v>DRŽAVNI URED ZA REVIZIJU (6138)</v>
      </c>
      <c r="E607" s="227" t="s">
        <v>5342</v>
      </c>
      <c r="F607" s="227" t="s">
        <v>23</v>
      </c>
      <c r="G607" s="228">
        <v>687979</v>
      </c>
      <c r="H607" s="229" t="s">
        <v>5343</v>
      </c>
      <c r="I607" s="209"/>
      <c r="J607" s="224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</row>
    <row r="608" spans="1:26" ht="15" customHeight="1">
      <c r="A608" s="219">
        <f t="shared" si="1"/>
        <v>605</v>
      </c>
      <c r="B608" s="226">
        <v>24094</v>
      </c>
      <c r="C608" s="227" t="s">
        <v>5344</v>
      </c>
      <c r="D608" s="221" t="str">
        <f t="shared" si="0"/>
        <v>DRŽAVNA KOMISIJA ZA KONTROLU POSTUPAKA JAVNE NABAVE (24094)</v>
      </c>
      <c r="E608" s="227" t="s">
        <v>5345</v>
      </c>
      <c r="F608" s="227" t="s">
        <v>23</v>
      </c>
      <c r="G608" s="228">
        <v>1777831</v>
      </c>
      <c r="H608" s="229" t="s">
        <v>5346</v>
      </c>
      <c r="I608" s="209"/>
      <c r="J608" s="224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</row>
    <row r="609" spans="1:26" ht="15" customHeight="1">
      <c r="A609" s="219">
        <f t="shared" si="1"/>
        <v>606</v>
      </c>
      <c r="B609" s="226">
        <v>50709</v>
      </c>
      <c r="C609" s="227" t="s">
        <v>5347</v>
      </c>
      <c r="D609" s="221" t="str">
        <f t="shared" si="0"/>
        <v>DRŽAVNI INSPEKTORAT (50709)</v>
      </c>
      <c r="E609" s="227" t="s">
        <v>5348</v>
      </c>
      <c r="F609" s="227" t="s">
        <v>23</v>
      </c>
      <c r="G609" s="228">
        <v>5068711</v>
      </c>
      <c r="H609" s="229" t="s">
        <v>5349</v>
      </c>
      <c r="I609" s="209"/>
      <c r="J609" s="224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</row>
    <row r="610" spans="1:26" ht="15" customHeight="1">
      <c r="A610" s="219">
        <f t="shared" si="1"/>
        <v>607</v>
      </c>
      <c r="B610" s="226">
        <v>23987</v>
      </c>
      <c r="C610" s="227" t="s">
        <v>5350</v>
      </c>
      <c r="D610" s="221" t="str">
        <f t="shared" si="0"/>
        <v>URED VIJEĆA ZA NACIONALNU SIGURNOST (23987)</v>
      </c>
      <c r="E610" s="227" t="s">
        <v>5351</v>
      </c>
      <c r="F610" s="227" t="s">
        <v>23</v>
      </c>
      <c r="G610" s="228">
        <v>1730100</v>
      </c>
      <c r="H610" s="229" t="s">
        <v>5352</v>
      </c>
      <c r="I610" s="209"/>
      <c r="J610" s="224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</row>
    <row r="611" spans="1:26" ht="15" customHeight="1">
      <c r="A611" s="219">
        <f t="shared" si="1"/>
        <v>608</v>
      </c>
      <c r="B611" s="226">
        <v>42750</v>
      </c>
      <c r="C611" s="227" t="s">
        <v>5353</v>
      </c>
      <c r="D611" s="221" t="str">
        <f t="shared" si="0"/>
        <v>OPERATIVNO-TEHNIČKI CENTAR ZA NADZOR TELEKOMUNIKACIJA (42750)</v>
      </c>
      <c r="E611" s="227" t="s">
        <v>5354</v>
      </c>
      <c r="F611" s="227" t="s">
        <v>23</v>
      </c>
      <c r="G611" s="228">
        <v>2255308</v>
      </c>
      <c r="H611" s="229" t="s">
        <v>5355</v>
      </c>
      <c r="I611" s="209"/>
      <c r="J611" s="224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</row>
    <row r="612" spans="1:26" ht="15" customHeight="1">
      <c r="A612" s="219">
        <f t="shared" si="1"/>
        <v>609</v>
      </c>
      <c r="B612" s="226">
        <v>42768</v>
      </c>
      <c r="C612" s="227" t="s">
        <v>5356</v>
      </c>
      <c r="D612" s="221" t="str">
        <f t="shared" si="0"/>
        <v>ZAVOD ZA SIGURNOST INFORMACIJSKIH SUSTAVA (42768)</v>
      </c>
      <c r="E612" s="227" t="s">
        <v>5357</v>
      </c>
      <c r="F612" s="227" t="s">
        <v>23</v>
      </c>
      <c r="G612" s="228">
        <v>2255294</v>
      </c>
      <c r="H612" s="229" t="s">
        <v>5358</v>
      </c>
      <c r="I612" s="209"/>
      <c r="J612" s="224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</row>
    <row r="613" spans="1:26" ht="15" customHeight="1">
      <c r="A613" s="219">
        <f t="shared" si="1"/>
        <v>610</v>
      </c>
      <c r="B613" s="226">
        <v>25860</v>
      </c>
      <c r="C613" s="227" t="s">
        <v>5359</v>
      </c>
      <c r="D613" s="221" t="str">
        <f t="shared" si="0"/>
        <v>AGENCIJA ZA ZAŠTITU OSOBNIH PODATAKA (25860)</v>
      </c>
      <c r="E613" s="227" t="s">
        <v>5360</v>
      </c>
      <c r="F613" s="227" t="s">
        <v>23</v>
      </c>
      <c r="G613" s="228">
        <v>1837907</v>
      </c>
      <c r="H613" s="229" t="s">
        <v>5361</v>
      </c>
      <c r="I613" s="209"/>
      <c r="J613" s="224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</row>
    <row r="614" spans="1:26" ht="15" customHeight="1">
      <c r="A614" s="219">
        <f t="shared" si="1"/>
        <v>611</v>
      </c>
      <c r="B614" s="226">
        <v>48226</v>
      </c>
      <c r="C614" s="249" t="s">
        <v>5362</v>
      </c>
      <c r="D614" s="221" t="str">
        <f t="shared" si="0"/>
        <v>POVJERENIK ZA INFORMIRANJE (48226)</v>
      </c>
      <c r="E614" s="249" t="s">
        <v>5363</v>
      </c>
      <c r="F614" s="249" t="s">
        <v>23</v>
      </c>
      <c r="G614" s="250">
        <v>4126904</v>
      </c>
      <c r="H614" s="251">
        <v>68011638990</v>
      </c>
      <c r="I614" s="209"/>
      <c r="J614" s="224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</row>
    <row r="615" spans="1:26" ht="29.25" customHeight="1">
      <c r="A615" s="319" t="s">
        <v>5364</v>
      </c>
      <c r="B615" s="320"/>
      <c r="C615" s="320"/>
      <c r="D615" s="320"/>
      <c r="E615" s="320"/>
      <c r="F615" s="320"/>
      <c r="G615" s="320"/>
      <c r="H615" s="320"/>
      <c r="I615" s="209"/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</row>
    <row r="616" spans="1:26" ht="15" customHeight="1">
      <c r="A616" s="252"/>
      <c r="B616" s="253"/>
      <c r="C616" s="253"/>
      <c r="D616" s="253"/>
      <c r="E616" s="253"/>
      <c r="F616" s="254"/>
      <c r="G616" s="253"/>
      <c r="H616" s="255"/>
      <c r="I616" s="209"/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</row>
    <row r="617" spans="1:26" ht="15" customHeight="1">
      <c r="A617" s="252"/>
      <c r="B617" s="253"/>
      <c r="C617" s="253"/>
      <c r="D617" s="253"/>
      <c r="E617" s="253"/>
      <c r="F617" s="254"/>
      <c r="G617" s="253"/>
      <c r="H617" s="255"/>
      <c r="I617" s="209"/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</row>
    <row r="618" spans="1:26" ht="15" customHeight="1">
      <c r="A618" s="252"/>
      <c r="B618" s="253"/>
      <c r="C618" s="253"/>
      <c r="D618" s="253"/>
      <c r="E618" s="253"/>
      <c r="F618" s="254"/>
      <c r="G618" s="253"/>
      <c r="H618" s="255"/>
      <c r="I618" s="209"/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</row>
    <row r="619" spans="1:26" ht="15" customHeight="1">
      <c r="A619" s="252"/>
      <c r="B619" s="253"/>
      <c r="C619" s="253"/>
      <c r="D619" s="253"/>
      <c r="E619" s="253"/>
      <c r="F619" s="254"/>
      <c r="G619" s="253"/>
      <c r="H619" s="255"/>
      <c r="I619" s="209"/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</row>
    <row r="620" spans="1:26" ht="15" customHeight="1">
      <c r="A620" s="252"/>
      <c r="B620" s="253"/>
      <c r="C620" s="253"/>
      <c r="D620" s="253"/>
      <c r="E620" s="253"/>
      <c r="F620" s="254"/>
      <c r="G620" s="253"/>
      <c r="H620" s="255"/>
      <c r="I620" s="209"/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</row>
    <row r="621" spans="1:26" ht="15" customHeight="1">
      <c r="A621" s="209"/>
      <c r="B621" s="253"/>
      <c r="C621" s="253"/>
      <c r="D621" s="253"/>
      <c r="E621" s="253"/>
      <c r="F621" s="254"/>
      <c r="G621" s="253"/>
      <c r="H621" s="255"/>
      <c r="I621" s="209"/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</row>
    <row r="622" spans="1:26" ht="15" customHeight="1">
      <c r="A622" s="209"/>
      <c r="B622" s="253"/>
      <c r="C622" s="253"/>
      <c r="D622" s="253"/>
      <c r="E622" s="253"/>
      <c r="F622" s="254"/>
      <c r="G622" s="253"/>
      <c r="H622" s="255"/>
      <c r="I622" s="209"/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</row>
    <row r="623" spans="1:26" ht="15" customHeight="1">
      <c r="A623" s="209"/>
      <c r="B623" s="253"/>
      <c r="C623" s="253"/>
      <c r="D623" s="253"/>
      <c r="E623" s="253"/>
      <c r="F623" s="254"/>
      <c r="G623" s="253"/>
      <c r="H623" s="255"/>
      <c r="I623" s="209"/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</row>
    <row r="624" spans="1:26" ht="15" customHeight="1">
      <c r="A624" s="209"/>
      <c r="B624" s="253"/>
      <c r="C624" s="253"/>
      <c r="D624" s="253"/>
      <c r="E624" s="253"/>
      <c r="F624" s="254"/>
      <c r="G624" s="253"/>
      <c r="H624" s="255"/>
      <c r="I624" s="209"/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</row>
    <row r="625" spans="1:26" ht="15" customHeight="1">
      <c r="A625" s="209"/>
      <c r="B625" s="253"/>
      <c r="C625" s="253"/>
      <c r="D625" s="253"/>
      <c r="E625" s="253"/>
      <c r="F625" s="254"/>
      <c r="G625" s="253"/>
      <c r="H625" s="255"/>
      <c r="I625" s="209"/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</row>
    <row r="626" spans="1:26" ht="15" customHeight="1">
      <c r="A626" s="209"/>
      <c r="B626" s="253"/>
      <c r="C626" s="253"/>
      <c r="D626" s="253"/>
      <c r="E626" s="253"/>
      <c r="F626" s="254"/>
      <c r="G626" s="253"/>
      <c r="H626" s="255"/>
      <c r="I626" s="209"/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</row>
    <row r="627" spans="1:26" ht="15" customHeight="1">
      <c r="A627" s="209"/>
      <c r="B627" s="253"/>
      <c r="C627" s="253"/>
      <c r="D627" s="253"/>
      <c r="E627" s="253"/>
      <c r="F627" s="254"/>
      <c r="G627" s="253"/>
      <c r="H627" s="255"/>
      <c r="I627" s="209"/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</row>
    <row r="628" spans="1:26" ht="15" customHeight="1">
      <c r="A628" s="209"/>
      <c r="B628" s="253"/>
      <c r="C628" s="253"/>
      <c r="D628" s="253"/>
      <c r="E628" s="253"/>
      <c r="F628" s="254"/>
      <c r="G628" s="253"/>
      <c r="H628" s="255"/>
      <c r="I628" s="209"/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</row>
    <row r="629" spans="1:26" ht="15" customHeight="1">
      <c r="A629" s="209"/>
      <c r="B629" s="253"/>
      <c r="C629" s="253"/>
      <c r="D629" s="253"/>
      <c r="E629" s="253"/>
      <c r="F629" s="254"/>
      <c r="G629" s="253"/>
      <c r="H629" s="255"/>
      <c r="I629" s="209"/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</row>
    <row r="630" spans="1:26" ht="15" customHeight="1">
      <c r="A630" s="209"/>
      <c r="B630" s="253"/>
      <c r="C630" s="253"/>
      <c r="D630" s="253"/>
      <c r="E630" s="253"/>
      <c r="F630" s="254"/>
      <c r="G630" s="253"/>
      <c r="H630" s="255"/>
      <c r="I630" s="209"/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</row>
    <row r="631" spans="1:26" ht="15" customHeight="1">
      <c r="A631" s="209"/>
      <c r="B631" s="253"/>
      <c r="C631" s="253"/>
      <c r="D631" s="253"/>
      <c r="E631" s="253"/>
      <c r="F631" s="254"/>
      <c r="G631" s="253"/>
      <c r="H631" s="255"/>
      <c r="I631" s="209"/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</row>
    <row r="632" spans="1:26" ht="15" customHeight="1">
      <c r="A632" s="209"/>
      <c r="B632" s="253"/>
      <c r="C632" s="253"/>
      <c r="D632" s="253"/>
      <c r="E632" s="253"/>
      <c r="F632" s="254"/>
      <c r="G632" s="253"/>
      <c r="H632" s="255"/>
      <c r="I632" s="209"/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</row>
    <row r="633" spans="1:26" ht="15" customHeight="1">
      <c r="A633" s="209"/>
      <c r="B633" s="253"/>
      <c r="C633" s="253"/>
      <c r="D633" s="253"/>
      <c r="E633" s="253"/>
      <c r="F633" s="254"/>
      <c r="G633" s="253"/>
      <c r="H633" s="255"/>
      <c r="I633" s="209"/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</row>
    <row r="634" spans="1:26" ht="15" customHeight="1">
      <c r="A634" s="209"/>
      <c r="B634" s="253"/>
      <c r="C634" s="253"/>
      <c r="D634" s="253"/>
      <c r="E634" s="253"/>
      <c r="F634" s="254"/>
      <c r="G634" s="253"/>
      <c r="H634" s="255"/>
      <c r="I634" s="209"/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</row>
    <row r="635" spans="1:26" ht="15" customHeight="1">
      <c r="A635" s="209"/>
      <c r="B635" s="253"/>
      <c r="C635" s="253"/>
      <c r="D635" s="253"/>
      <c r="E635" s="253"/>
      <c r="F635" s="254"/>
      <c r="G635" s="253"/>
      <c r="H635" s="255"/>
      <c r="I635" s="209"/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</row>
    <row r="636" spans="1:26" ht="15" customHeight="1">
      <c r="A636" s="209"/>
      <c r="B636" s="253"/>
      <c r="C636" s="253"/>
      <c r="D636" s="253"/>
      <c r="E636" s="253"/>
      <c r="F636" s="254"/>
      <c r="G636" s="253"/>
      <c r="H636" s="255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</row>
    <row r="637" spans="1:26" ht="15" customHeight="1">
      <c r="A637" s="209"/>
      <c r="B637" s="253"/>
      <c r="C637" s="253"/>
      <c r="D637" s="253"/>
      <c r="E637" s="253"/>
      <c r="F637" s="254"/>
      <c r="G637" s="253"/>
      <c r="H637" s="255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</row>
    <row r="638" spans="1:26" ht="15" customHeight="1">
      <c r="A638" s="209"/>
      <c r="B638" s="253"/>
      <c r="C638" s="253"/>
      <c r="D638" s="253"/>
      <c r="E638" s="253"/>
      <c r="F638" s="254"/>
      <c r="G638" s="253"/>
      <c r="H638" s="255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</row>
    <row r="639" spans="1:26" ht="15" customHeight="1">
      <c r="A639" s="209"/>
      <c r="B639" s="253"/>
      <c r="C639" s="253"/>
      <c r="D639" s="253"/>
      <c r="E639" s="253"/>
      <c r="F639" s="254"/>
      <c r="G639" s="253"/>
      <c r="H639" s="255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</row>
    <row r="640" spans="1:26" ht="15" customHeight="1">
      <c r="A640" s="209"/>
      <c r="B640" s="253"/>
      <c r="C640" s="253"/>
      <c r="D640" s="253"/>
      <c r="E640" s="253"/>
      <c r="F640" s="254"/>
      <c r="G640" s="253"/>
      <c r="H640" s="255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</row>
    <row r="641" spans="1:26" ht="15" customHeight="1">
      <c r="A641" s="209"/>
      <c r="B641" s="253"/>
      <c r="C641" s="253"/>
      <c r="D641" s="253"/>
      <c r="E641" s="253"/>
      <c r="F641" s="254"/>
      <c r="G641" s="253"/>
      <c r="H641" s="255"/>
      <c r="I641" s="209"/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</row>
    <row r="642" spans="1:26" ht="15" customHeight="1">
      <c r="A642" s="209"/>
      <c r="B642" s="253"/>
      <c r="C642" s="253"/>
      <c r="D642" s="253"/>
      <c r="E642" s="253"/>
      <c r="F642" s="254"/>
      <c r="G642" s="253"/>
      <c r="H642" s="255"/>
      <c r="I642" s="209"/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</row>
    <row r="643" spans="1:26" ht="15" customHeight="1">
      <c r="A643" s="209"/>
      <c r="B643" s="253"/>
      <c r="C643" s="253"/>
      <c r="D643" s="253"/>
      <c r="E643" s="253"/>
      <c r="F643" s="254"/>
      <c r="G643" s="253"/>
      <c r="H643" s="255"/>
      <c r="I643" s="209"/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</row>
    <row r="644" spans="1:26" ht="15" customHeight="1">
      <c r="A644" s="209"/>
      <c r="B644" s="253"/>
      <c r="C644" s="253"/>
      <c r="D644" s="253"/>
      <c r="E644" s="253"/>
      <c r="F644" s="254"/>
      <c r="G644" s="253"/>
      <c r="H644" s="255"/>
      <c r="I644" s="209"/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</row>
    <row r="645" spans="1:26" ht="15" customHeight="1">
      <c r="A645" s="209"/>
      <c r="B645" s="253"/>
      <c r="C645" s="253"/>
      <c r="D645" s="253"/>
      <c r="E645" s="253"/>
      <c r="F645" s="254"/>
      <c r="G645" s="253"/>
      <c r="H645" s="255"/>
      <c r="I645" s="209"/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</row>
    <row r="646" spans="1:26" ht="15" customHeight="1">
      <c r="A646" s="209"/>
      <c r="B646" s="253"/>
      <c r="C646" s="253"/>
      <c r="D646" s="253"/>
      <c r="E646" s="253"/>
      <c r="F646" s="254"/>
      <c r="G646" s="253"/>
      <c r="H646" s="255"/>
      <c r="I646" s="209"/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</row>
    <row r="647" spans="1:26" ht="15" customHeight="1">
      <c r="A647" s="209"/>
      <c r="B647" s="253"/>
      <c r="C647" s="253"/>
      <c r="D647" s="253"/>
      <c r="E647" s="253"/>
      <c r="F647" s="254"/>
      <c r="G647" s="253"/>
      <c r="H647" s="255"/>
      <c r="I647" s="209"/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</row>
    <row r="648" spans="1:26" ht="15" customHeight="1">
      <c r="A648" s="209"/>
      <c r="B648" s="253"/>
      <c r="C648" s="253"/>
      <c r="D648" s="253"/>
      <c r="E648" s="253"/>
      <c r="F648" s="254"/>
      <c r="G648" s="253"/>
      <c r="H648" s="255"/>
      <c r="I648" s="209"/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</row>
    <row r="649" spans="1:26" ht="15" customHeight="1">
      <c r="A649" s="209"/>
      <c r="B649" s="253"/>
      <c r="C649" s="253"/>
      <c r="D649" s="253"/>
      <c r="E649" s="253"/>
      <c r="F649" s="254"/>
      <c r="G649" s="253"/>
      <c r="H649" s="255"/>
      <c r="I649" s="209"/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</row>
    <row r="650" spans="1:26" ht="15" customHeight="1">
      <c r="A650" s="209"/>
      <c r="B650" s="253"/>
      <c r="C650" s="253"/>
      <c r="D650" s="253"/>
      <c r="E650" s="253"/>
      <c r="F650" s="254"/>
      <c r="G650" s="253"/>
      <c r="H650" s="255"/>
      <c r="I650" s="209"/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</row>
    <row r="651" spans="1:26" ht="15" customHeight="1">
      <c r="A651" s="209"/>
      <c r="B651" s="253"/>
      <c r="C651" s="253"/>
      <c r="D651" s="253"/>
      <c r="E651" s="253"/>
      <c r="F651" s="254"/>
      <c r="G651" s="253"/>
      <c r="H651" s="255"/>
      <c r="I651" s="209"/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</row>
    <row r="652" spans="1:26" ht="15" customHeight="1">
      <c r="A652" s="209"/>
      <c r="B652" s="253"/>
      <c r="C652" s="253"/>
      <c r="D652" s="253"/>
      <c r="E652" s="253"/>
      <c r="F652" s="254"/>
      <c r="G652" s="253"/>
      <c r="H652" s="255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</row>
    <row r="653" spans="1:26" ht="15" customHeight="1">
      <c r="A653" s="209"/>
      <c r="B653" s="253"/>
      <c r="C653" s="253"/>
      <c r="D653" s="253"/>
      <c r="E653" s="253"/>
      <c r="F653" s="254"/>
      <c r="G653" s="253"/>
      <c r="H653" s="255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</row>
    <row r="654" spans="1:26" ht="15" customHeight="1">
      <c r="A654" s="209"/>
      <c r="B654" s="253"/>
      <c r="C654" s="253"/>
      <c r="D654" s="253"/>
      <c r="E654" s="253"/>
      <c r="F654" s="254"/>
      <c r="G654" s="253"/>
      <c r="H654" s="255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</row>
    <row r="655" spans="1:26" ht="15" customHeight="1">
      <c r="A655" s="209"/>
      <c r="B655" s="253"/>
      <c r="C655" s="253"/>
      <c r="D655" s="253"/>
      <c r="E655" s="253"/>
      <c r="F655" s="254"/>
      <c r="G655" s="253"/>
      <c r="H655" s="255"/>
      <c r="I655" s="209"/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</row>
    <row r="656" spans="1:26" ht="15" customHeight="1">
      <c r="A656" s="209"/>
      <c r="B656" s="253"/>
      <c r="C656" s="253"/>
      <c r="D656" s="253"/>
      <c r="E656" s="253"/>
      <c r="F656" s="254"/>
      <c r="G656" s="253"/>
      <c r="H656" s="255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</row>
    <row r="657" spans="1:26" ht="15" customHeight="1">
      <c r="A657" s="209"/>
      <c r="B657" s="253"/>
      <c r="C657" s="253"/>
      <c r="D657" s="253"/>
      <c r="E657" s="253"/>
      <c r="F657" s="254"/>
      <c r="G657" s="253"/>
      <c r="H657" s="255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</row>
    <row r="658" spans="1:26" ht="15" customHeight="1">
      <c r="A658" s="209"/>
      <c r="B658" s="253"/>
      <c r="C658" s="253"/>
      <c r="D658" s="253"/>
      <c r="E658" s="253"/>
      <c r="F658" s="254"/>
      <c r="G658" s="253"/>
      <c r="H658" s="255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</row>
    <row r="659" spans="1:26" ht="15" customHeight="1">
      <c r="A659" s="209"/>
      <c r="B659" s="253"/>
      <c r="C659" s="253"/>
      <c r="D659" s="253"/>
      <c r="E659" s="253"/>
      <c r="F659" s="254"/>
      <c r="G659" s="253"/>
      <c r="H659" s="255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</row>
    <row r="660" spans="1:26" ht="15" customHeight="1">
      <c r="A660" s="209"/>
      <c r="B660" s="253"/>
      <c r="C660" s="253"/>
      <c r="D660" s="253"/>
      <c r="E660" s="253"/>
      <c r="F660" s="254"/>
      <c r="G660" s="253"/>
      <c r="H660" s="255"/>
      <c r="I660" s="209"/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</row>
    <row r="661" spans="1:26" ht="15" customHeight="1">
      <c r="A661" s="209"/>
      <c r="B661" s="253"/>
      <c r="C661" s="253"/>
      <c r="D661" s="253"/>
      <c r="E661" s="253"/>
      <c r="F661" s="254"/>
      <c r="G661" s="253"/>
      <c r="H661" s="255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</row>
    <row r="662" spans="1:26" ht="15" customHeight="1">
      <c r="A662" s="209"/>
      <c r="B662" s="253"/>
      <c r="C662" s="253"/>
      <c r="D662" s="253"/>
      <c r="E662" s="253"/>
      <c r="F662" s="254"/>
      <c r="G662" s="253"/>
      <c r="H662" s="255"/>
      <c r="I662" s="209"/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</row>
    <row r="663" spans="1:26" ht="15" customHeight="1">
      <c r="A663" s="209"/>
      <c r="B663" s="253"/>
      <c r="C663" s="253"/>
      <c r="D663" s="253"/>
      <c r="E663" s="253"/>
      <c r="F663" s="254"/>
      <c r="G663" s="253"/>
      <c r="H663" s="255"/>
      <c r="I663" s="209"/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</row>
    <row r="664" spans="1:26" ht="15" customHeight="1">
      <c r="A664" s="209"/>
      <c r="B664" s="253"/>
      <c r="C664" s="253"/>
      <c r="D664" s="253"/>
      <c r="E664" s="253"/>
      <c r="F664" s="254"/>
      <c r="G664" s="253"/>
      <c r="H664" s="255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</row>
    <row r="665" spans="1:26" ht="15" customHeight="1">
      <c r="A665" s="209"/>
      <c r="B665" s="253"/>
      <c r="C665" s="253"/>
      <c r="D665" s="253"/>
      <c r="E665" s="253"/>
      <c r="F665" s="254"/>
      <c r="G665" s="253"/>
      <c r="H665" s="255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</row>
    <row r="666" spans="1:26" ht="15" customHeight="1">
      <c r="A666" s="209"/>
      <c r="B666" s="253"/>
      <c r="C666" s="253"/>
      <c r="D666" s="253"/>
      <c r="E666" s="253"/>
      <c r="F666" s="254"/>
      <c r="G666" s="253"/>
      <c r="H666" s="255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</row>
    <row r="667" spans="1:26" ht="15" customHeight="1">
      <c r="A667" s="209"/>
      <c r="B667" s="253"/>
      <c r="C667" s="253"/>
      <c r="D667" s="253"/>
      <c r="E667" s="253"/>
      <c r="F667" s="254"/>
      <c r="G667" s="253"/>
      <c r="H667" s="255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</row>
    <row r="668" spans="1:26" ht="15" customHeight="1">
      <c r="A668" s="209"/>
      <c r="B668" s="253"/>
      <c r="C668" s="253"/>
      <c r="D668" s="253"/>
      <c r="E668" s="253"/>
      <c r="F668" s="254"/>
      <c r="G668" s="253"/>
      <c r="H668" s="255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</row>
    <row r="669" spans="1:26" ht="15" customHeight="1">
      <c r="A669" s="209"/>
      <c r="B669" s="253"/>
      <c r="C669" s="253"/>
      <c r="D669" s="253"/>
      <c r="E669" s="253"/>
      <c r="F669" s="254"/>
      <c r="G669" s="253"/>
      <c r="H669" s="255"/>
      <c r="I669" s="209"/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</row>
    <row r="670" spans="1:26" ht="15" customHeight="1">
      <c r="A670" s="209"/>
      <c r="B670" s="253"/>
      <c r="C670" s="253"/>
      <c r="D670" s="253"/>
      <c r="E670" s="253"/>
      <c r="F670" s="254"/>
      <c r="G670" s="253"/>
      <c r="H670" s="255"/>
      <c r="I670" s="209"/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</row>
    <row r="671" spans="1:26" ht="15" customHeight="1">
      <c r="A671" s="209"/>
      <c r="B671" s="253"/>
      <c r="C671" s="253"/>
      <c r="D671" s="253"/>
      <c r="E671" s="253"/>
      <c r="F671" s="254"/>
      <c r="G671" s="253"/>
      <c r="H671" s="255"/>
      <c r="I671" s="209"/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</row>
    <row r="672" spans="1:26" ht="15" customHeight="1">
      <c r="A672" s="209"/>
      <c r="B672" s="253"/>
      <c r="C672" s="253"/>
      <c r="D672" s="253"/>
      <c r="E672" s="253"/>
      <c r="F672" s="254"/>
      <c r="G672" s="253"/>
      <c r="H672" s="255"/>
      <c r="I672" s="209"/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</row>
    <row r="673" spans="1:26" ht="15" customHeight="1">
      <c r="A673" s="209"/>
      <c r="B673" s="253"/>
      <c r="C673" s="253"/>
      <c r="D673" s="253"/>
      <c r="E673" s="253"/>
      <c r="F673" s="254"/>
      <c r="G673" s="253"/>
      <c r="H673" s="255"/>
      <c r="I673" s="209"/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</row>
    <row r="674" spans="1:26" ht="15" customHeight="1">
      <c r="A674" s="209"/>
      <c r="B674" s="253"/>
      <c r="C674" s="253"/>
      <c r="D674" s="253"/>
      <c r="E674" s="253"/>
      <c r="F674" s="254"/>
      <c r="G674" s="253"/>
      <c r="H674" s="255"/>
      <c r="I674" s="209"/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</row>
    <row r="675" spans="1:26" ht="15" customHeight="1">
      <c r="A675" s="209"/>
      <c r="B675" s="253"/>
      <c r="C675" s="253"/>
      <c r="D675" s="253"/>
      <c r="E675" s="253"/>
      <c r="F675" s="254"/>
      <c r="G675" s="253"/>
      <c r="H675" s="255"/>
      <c r="I675" s="209"/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</row>
    <row r="676" spans="1:26" ht="15" customHeight="1">
      <c r="A676" s="209"/>
      <c r="B676" s="253"/>
      <c r="C676" s="253"/>
      <c r="D676" s="253"/>
      <c r="E676" s="253"/>
      <c r="F676" s="254"/>
      <c r="G676" s="253"/>
      <c r="H676" s="255"/>
      <c r="I676" s="209"/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</row>
    <row r="677" spans="1:26" ht="15" customHeight="1">
      <c r="A677" s="209"/>
      <c r="B677" s="253"/>
      <c r="C677" s="253"/>
      <c r="D677" s="253"/>
      <c r="E677" s="253"/>
      <c r="F677" s="254"/>
      <c r="G677" s="253"/>
      <c r="H677" s="255"/>
      <c r="I677" s="209"/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</row>
    <row r="678" spans="1:26" ht="15" customHeight="1">
      <c r="A678" s="209"/>
      <c r="B678" s="253"/>
      <c r="C678" s="253"/>
      <c r="D678" s="253"/>
      <c r="E678" s="253"/>
      <c r="F678" s="254"/>
      <c r="G678" s="253"/>
      <c r="H678" s="255"/>
      <c r="I678" s="209"/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</row>
    <row r="679" spans="1:26" ht="15" customHeight="1">
      <c r="A679" s="209"/>
      <c r="B679" s="253"/>
      <c r="C679" s="253"/>
      <c r="D679" s="253"/>
      <c r="E679" s="253"/>
      <c r="F679" s="254"/>
      <c r="G679" s="253"/>
      <c r="H679" s="255"/>
      <c r="I679" s="209"/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</row>
    <row r="680" spans="1:26" ht="15" customHeight="1">
      <c r="A680" s="209"/>
      <c r="B680" s="253"/>
      <c r="C680" s="253"/>
      <c r="D680" s="253"/>
      <c r="E680" s="253"/>
      <c r="F680" s="254"/>
      <c r="G680" s="253"/>
      <c r="H680" s="255"/>
      <c r="I680" s="209"/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</row>
    <row r="681" spans="1:26" ht="15" customHeight="1">
      <c r="A681" s="209"/>
      <c r="B681" s="253"/>
      <c r="C681" s="253"/>
      <c r="D681" s="253"/>
      <c r="E681" s="253"/>
      <c r="F681" s="254"/>
      <c r="G681" s="253"/>
      <c r="H681" s="255"/>
      <c r="I681" s="209"/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</row>
    <row r="682" spans="1:26" ht="15" customHeight="1">
      <c r="A682" s="209"/>
      <c r="B682" s="253"/>
      <c r="C682" s="253"/>
      <c r="D682" s="253"/>
      <c r="E682" s="253"/>
      <c r="F682" s="254"/>
      <c r="G682" s="253"/>
      <c r="H682" s="255"/>
      <c r="I682" s="209"/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</row>
    <row r="683" spans="1:26" ht="15" customHeight="1">
      <c r="A683" s="209"/>
      <c r="B683" s="253"/>
      <c r="C683" s="253"/>
      <c r="D683" s="253"/>
      <c r="E683" s="253"/>
      <c r="F683" s="254"/>
      <c r="G683" s="253"/>
      <c r="H683" s="255"/>
      <c r="I683" s="209"/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</row>
    <row r="684" spans="1:26" ht="15" customHeight="1">
      <c r="A684" s="209"/>
      <c r="B684" s="253"/>
      <c r="C684" s="253"/>
      <c r="D684" s="253"/>
      <c r="E684" s="253"/>
      <c r="F684" s="254"/>
      <c r="G684" s="253"/>
      <c r="H684" s="255"/>
      <c r="I684" s="209"/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</row>
    <row r="685" spans="1:26" ht="15" customHeight="1">
      <c r="A685" s="252"/>
      <c r="B685" s="253"/>
      <c r="C685" s="253"/>
      <c r="D685" s="253"/>
      <c r="E685" s="253"/>
      <c r="F685" s="254"/>
      <c r="G685" s="253"/>
      <c r="H685" s="255"/>
      <c r="I685" s="209"/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</row>
    <row r="686" spans="1:26" ht="15" customHeight="1">
      <c r="A686" s="252"/>
      <c r="B686" s="253"/>
      <c r="C686" s="253"/>
      <c r="D686" s="253"/>
      <c r="E686" s="253"/>
      <c r="F686" s="254"/>
      <c r="G686" s="253"/>
      <c r="H686" s="255"/>
      <c r="I686" s="224"/>
      <c r="J686" s="224"/>
      <c r="K686" s="224"/>
      <c r="L686" s="224"/>
      <c r="M686" s="224"/>
      <c r="N686" s="224"/>
      <c r="O686" s="224"/>
      <c r="P686" s="224"/>
      <c r="Q686" s="224"/>
      <c r="R686" s="224"/>
      <c r="S686" s="224"/>
      <c r="T686" s="224"/>
      <c r="U686" s="224"/>
      <c r="V686" s="224"/>
      <c r="W686" s="224"/>
      <c r="X686" s="224"/>
      <c r="Y686" s="224"/>
      <c r="Z686" s="224"/>
    </row>
    <row r="687" spans="1:26" ht="15" customHeight="1">
      <c r="A687" s="252"/>
      <c r="B687" s="253"/>
      <c r="C687" s="253"/>
      <c r="D687" s="253"/>
      <c r="E687" s="253"/>
      <c r="F687" s="254"/>
      <c r="G687" s="253"/>
      <c r="H687" s="256"/>
      <c r="I687" s="224"/>
      <c r="J687" s="224"/>
      <c r="K687" s="224"/>
      <c r="L687" s="224"/>
      <c r="M687" s="224"/>
      <c r="N687" s="224"/>
      <c r="O687" s="224"/>
      <c r="P687" s="224"/>
      <c r="Q687" s="224"/>
      <c r="R687" s="224"/>
      <c r="S687" s="224"/>
      <c r="T687" s="224"/>
      <c r="U687" s="224"/>
      <c r="V687" s="224"/>
      <c r="W687" s="224"/>
      <c r="X687" s="224"/>
      <c r="Y687" s="224"/>
      <c r="Z687" s="224"/>
    </row>
    <row r="688" spans="1:26" ht="15" customHeight="1">
      <c r="A688" s="252"/>
      <c r="B688" s="253"/>
      <c r="C688" s="253"/>
      <c r="D688" s="253"/>
      <c r="E688" s="253"/>
      <c r="F688" s="254"/>
      <c r="G688" s="253"/>
      <c r="H688" s="256"/>
      <c r="I688" s="224"/>
      <c r="J688" s="224"/>
      <c r="K688" s="224"/>
      <c r="L688" s="224"/>
      <c r="M688" s="224"/>
      <c r="N688" s="224"/>
      <c r="O688" s="224"/>
      <c r="P688" s="224"/>
      <c r="Q688" s="224"/>
      <c r="R688" s="224"/>
      <c r="S688" s="224"/>
      <c r="T688" s="224"/>
      <c r="U688" s="224"/>
      <c r="V688" s="224"/>
      <c r="W688" s="224"/>
      <c r="X688" s="224"/>
      <c r="Y688" s="224"/>
      <c r="Z688" s="224"/>
    </row>
    <row r="689" spans="1:26" ht="15" customHeight="1">
      <c r="A689" s="252"/>
      <c r="B689" s="253"/>
      <c r="C689" s="253"/>
      <c r="D689" s="253"/>
      <c r="E689" s="253"/>
      <c r="F689" s="254"/>
      <c r="G689" s="253"/>
      <c r="H689" s="256"/>
      <c r="I689" s="224"/>
      <c r="J689" s="224"/>
      <c r="K689" s="224"/>
      <c r="L689" s="224"/>
      <c r="M689" s="224"/>
      <c r="N689" s="224"/>
      <c r="O689" s="224"/>
      <c r="P689" s="224"/>
      <c r="Q689" s="224"/>
      <c r="R689" s="224"/>
      <c r="S689" s="224"/>
      <c r="T689" s="224"/>
      <c r="U689" s="224"/>
      <c r="V689" s="224"/>
      <c r="W689" s="224"/>
      <c r="X689" s="224"/>
      <c r="Y689" s="224"/>
      <c r="Z689" s="224"/>
    </row>
    <row r="690" spans="1:26" ht="15" customHeight="1">
      <c r="A690" s="252"/>
      <c r="B690" s="253"/>
      <c r="C690" s="253"/>
      <c r="D690" s="253"/>
      <c r="E690" s="253"/>
      <c r="F690" s="254"/>
      <c r="G690" s="253"/>
      <c r="H690" s="256"/>
      <c r="I690" s="224"/>
      <c r="J690" s="224"/>
      <c r="K690" s="224"/>
      <c r="L690" s="224"/>
      <c r="M690" s="224"/>
      <c r="N690" s="224"/>
      <c r="O690" s="224"/>
      <c r="P690" s="224"/>
      <c r="Q690" s="224"/>
      <c r="R690" s="224"/>
      <c r="S690" s="224"/>
      <c r="T690" s="224"/>
      <c r="U690" s="224"/>
      <c r="V690" s="224"/>
      <c r="W690" s="224"/>
      <c r="X690" s="224"/>
      <c r="Y690" s="224"/>
      <c r="Z690" s="224"/>
    </row>
    <row r="691" spans="1:26" ht="15" customHeight="1">
      <c r="A691" s="252"/>
      <c r="B691" s="253"/>
      <c r="C691" s="253"/>
      <c r="D691" s="253"/>
      <c r="E691" s="253"/>
      <c r="F691" s="254"/>
      <c r="G691" s="253"/>
      <c r="H691" s="256"/>
      <c r="I691" s="224"/>
      <c r="J691" s="224"/>
      <c r="K691" s="224"/>
      <c r="L691" s="224"/>
      <c r="M691" s="224"/>
      <c r="N691" s="224"/>
      <c r="O691" s="224"/>
      <c r="P691" s="224"/>
      <c r="Q691" s="224"/>
      <c r="R691" s="224"/>
      <c r="S691" s="224"/>
      <c r="T691" s="224"/>
      <c r="U691" s="224"/>
      <c r="V691" s="224"/>
      <c r="W691" s="224"/>
      <c r="X691" s="224"/>
      <c r="Y691" s="224"/>
      <c r="Z691" s="224"/>
    </row>
    <row r="692" spans="1:26" ht="15" customHeight="1">
      <c r="A692" s="252"/>
      <c r="B692" s="253"/>
      <c r="C692" s="253"/>
      <c r="D692" s="253"/>
      <c r="E692" s="253"/>
      <c r="F692" s="254"/>
      <c r="G692" s="253"/>
      <c r="H692" s="256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</row>
    <row r="693" spans="1:26" ht="15" customHeight="1">
      <c r="A693" s="252"/>
      <c r="B693" s="253"/>
      <c r="C693" s="253"/>
      <c r="D693" s="253"/>
      <c r="E693" s="253"/>
      <c r="F693" s="254"/>
      <c r="G693" s="253"/>
      <c r="H693" s="256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</row>
    <row r="694" spans="1:26" ht="15" customHeight="1">
      <c r="A694" s="252"/>
      <c r="B694" s="253"/>
      <c r="C694" s="253"/>
      <c r="D694" s="253"/>
      <c r="E694" s="253"/>
      <c r="F694" s="254"/>
      <c r="G694" s="253"/>
      <c r="H694" s="256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</row>
    <row r="695" spans="1:26" ht="15" customHeight="1">
      <c r="A695" s="252"/>
      <c r="B695" s="253"/>
      <c r="C695" s="253"/>
      <c r="D695" s="253"/>
      <c r="E695" s="253"/>
      <c r="F695" s="254"/>
      <c r="G695" s="253"/>
      <c r="H695" s="256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</row>
    <row r="696" spans="1:26" ht="15" customHeight="1">
      <c r="A696" s="252"/>
      <c r="B696" s="253"/>
      <c r="C696" s="253"/>
      <c r="D696" s="253"/>
      <c r="E696" s="253"/>
      <c r="F696" s="254"/>
      <c r="G696" s="253"/>
      <c r="H696" s="256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</row>
    <row r="697" spans="1:26" ht="15" customHeight="1">
      <c r="A697" s="252"/>
      <c r="B697" s="253"/>
      <c r="C697" s="253"/>
      <c r="D697" s="253"/>
      <c r="E697" s="253"/>
      <c r="F697" s="254"/>
      <c r="G697" s="253"/>
      <c r="H697" s="256"/>
      <c r="I697" s="224"/>
      <c r="J697" s="224"/>
      <c r="K697" s="224"/>
      <c r="L697" s="224"/>
      <c r="M697" s="224"/>
      <c r="N697" s="224"/>
      <c r="O697" s="224"/>
      <c r="P697" s="224"/>
      <c r="Q697" s="224"/>
      <c r="R697" s="224"/>
      <c r="S697" s="224"/>
      <c r="T697" s="224"/>
      <c r="U697" s="224"/>
      <c r="V697" s="224"/>
      <c r="W697" s="224"/>
      <c r="X697" s="224"/>
      <c r="Y697" s="224"/>
      <c r="Z697" s="224"/>
    </row>
    <row r="698" spans="1:26" ht="15" customHeight="1">
      <c r="A698" s="252"/>
      <c r="B698" s="253"/>
      <c r="C698" s="253"/>
      <c r="D698" s="253"/>
      <c r="E698" s="253"/>
      <c r="F698" s="254"/>
      <c r="G698" s="253"/>
      <c r="H698" s="256"/>
      <c r="I698" s="224"/>
      <c r="J698" s="224"/>
      <c r="K698" s="224"/>
      <c r="L698" s="224"/>
      <c r="M698" s="224"/>
      <c r="N698" s="224"/>
      <c r="O698" s="224"/>
      <c r="P698" s="224"/>
      <c r="Q698" s="224"/>
      <c r="R698" s="224"/>
      <c r="S698" s="224"/>
      <c r="T698" s="224"/>
      <c r="U698" s="224"/>
      <c r="V698" s="224"/>
      <c r="W698" s="224"/>
      <c r="X698" s="224"/>
      <c r="Y698" s="224"/>
      <c r="Z698" s="224"/>
    </row>
    <row r="699" spans="1:26" ht="15" customHeight="1">
      <c r="A699" s="252"/>
      <c r="B699" s="253"/>
      <c r="C699" s="253"/>
      <c r="D699" s="253"/>
      <c r="E699" s="253"/>
      <c r="F699" s="254"/>
      <c r="G699" s="253"/>
      <c r="H699" s="256"/>
      <c r="I699" s="209"/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</row>
    <row r="700" spans="1:26" ht="15" customHeight="1">
      <c r="A700" s="252"/>
      <c r="B700" s="253"/>
      <c r="C700" s="253"/>
      <c r="D700" s="253"/>
      <c r="E700" s="253"/>
      <c r="F700" s="254"/>
      <c r="G700" s="253"/>
      <c r="H700" s="255"/>
      <c r="I700" s="224"/>
      <c r="J700" s="224"/>
      <c r="K700" s="224"/>
      <c r="L700" s="224"/>
      <c r="M700" s="224"/>
      <c r="N700" s="224"/>
      <c r="O700" s="224"/>
      <c r="P700" s="224"/>
      <c r="Q700" s="224"/>
      <c r="R700" s="224"/>
      <c r="S700" s="224"/>
      <c r="T700" s="224"/>
      <c r="U700" s="224"/>
      <c r="V700" s="224"/>
      <c r="W700" s="224"/>
      <c r="X700" s="224"/>
      <c r="Y700" s="224"/>
      <c r="Z700" s="224"/>
    </row>
    <row r="701" spans="1:26" ht="15" customHeight="1">
      <c r="A701" s="252"/>
      <c r="B701" s="253"/>
      <c r="C701" s="253"/>
      <c r="D701" s="253"/>
      <c r="E701" s="253"/>
      <c r="F701" s="254"/>
      <c r="G701" s="253"/>
      <c r="H701" s="256"/>
      <c r="I701" s="224"/>
      <c r="J701" s="224"/>
      <c r="K701" s="224"/>
      <c r="L701" s="224"/>
      <c r="M701" s="224"/>
      <c r="N701" s="224"/>
      <c r="O701" s="224"/>
      <c r="P701" s="224"/>
      <c r="Q701" s="224"/>
      <c r="R701" s="224"/>
      <c r="S701" s="224"/>
      <c r="T701" s="224"/>
      <c r="U701" s="224"/>
      <c r="V701" s="224"/>
      <c r="W701" s="224"/>
      <c r="X701" s="224"/>
      <c r="Y701" s="224"/>
      <c r="Z701" s="224"/>
    </row>
    <row r="702" spans="1:26" ht="15" customHeight="1">
      <c r="A702" s="252"/>
      <c r="B702" s="253"/>
      <c r="C702" s="253"/>
      <c r="D702" s="253"/>
      <c r="E702" s="253"/>
      <c r="F702" s="254"/>
      <c r="G702" s="253"/>
      <c r="H702" s="256"/>
      <c r="I702" s="224"/>
      <c r="J702" s="224"/>
      <c r="K702" s="224"/>
      <c r="L702" s="224"/>
      <c r="M702" s="224"/>
      <c r="N702" s="224"/>
      <c r="O702" s="224"/>
      <c r="P702" s="224"/>
      <c r="Q702" s="224"/>
      <c r="R702" s="224"/>
      <c r="S702" s="224"/>
      <c r="T702" s="224"/>
      <c r="U702" s="224"/>
      <c r="V702" s="224"/>
      <c r="W702" s="224"/>
      <c r="X702" s="224"/>
      <c r="Y702" s="224"/>
      <c r="Z702" s="224"/>
    </row>
    <row r="703" spans="1:26" ht="15" customHeight="1">
      <c r="A703" s="252"/>
      <c r="B703" s="253"/>
      <c r="C703" s="253"/>
      <c r="D703" s="253"/>
      <c r="E703" s="253"/>
      <c r="F703" s="254"/>
      <c r="G703" s="253"/>
      <c r="H703" s="256"/>
      <c r="I703" s="224"/>
      <c r="J703" s="224"/>
      <c r="K703" s="224"/>
      <c r="L703" s="224"/>
      <c r="M703" s="224"/>
      <c r="N703" s="224"/>
      <c r="O703" s="224"/>
      <c r="P703" s="224"/>
      <c r="Q703" s="224"/>
      <c r="R703" s="224"/>
      <c r="S703" s="224"/>
      <c r="T703" s="224"/>
      <c r="U703" s="224"/>
      <c r="V703" s="224"/>
      <c r="W703" s="224"/>
      <c r="X703" s="224"/>
      <c r="Y703" s="224"/>
      <c r="Z703" s="224"/>
    </row>
    <row r="704" spans="1:26" ht="15" customHeight="1">
      <c r="A704" s="252"/>
      <c r="B704" s="253"/>
      <c r="C704" s="253"/>
      <c r="D704" s="253"/>
      <c r="E704" s="253"/>
      <c r="F704" s="254"/>
      <c r="G704" s="253"/>
      <c r="H704" s="256"/>
      <c r="I704" s="224"/>
      <c r="J704" s="224"/>
      <c r="K704" s="224"/>
      <c r="L704" s="224"/>
      <c r="M704" s="224"/>
      <c r="N704" s="224"/>
      <c r="O704" s="224"/>
      <c r="P704" s="224"/>
      <c r="Q704" s="224"/>
      <c r="R704" s="224"/>
      <c r="S704" s="224"/>
      <c r="T704" s="224"/>
      <c r="U704" s="224"/>
      <c r="V704" s="224"/>
      <c r="W704" s="224"/>
      <c r="X704" s="224"/>
      <c r="Y704" s="224"/>
      <c r="Z704" s="224"/>
    </row>
    <row r="705" spans="1:26" ht="15" customHeight="1">
      <c r="A705" s="252"/>
      <c r="B705" s="253"/>
      <c r="C705" s="253"/>
      <c r="D705" s="253"/>
      <c r="E705" s="253"/>
      <c r="F705" s="254"/>
      <c r="G705" s="253"/>
      <c r="H705" s="256"/>
      <c r="I705" s="224"/>
      <c r="J705" s="224"/>
      <c r="K705" s="224"/>
      <c r="L705" s="224"/>
      <c r="M705" s="224"/>
      <c r="N705" s="224"/>
      <c r="O705" s="224"/>
      <c r="P705" s="224"/>
      <c r="Q705" s="224"/>
      <c r="R705" s="224"/>
      <c r="S705" s="224"/>
      <c r="T705" s="224"/>
      <c r="U705" s="224"/>
      <c r="V705" s="224"/>
      <c r="W705" s="224"/>
      <c r="X705" s="224"/>
      <c r="Y705" s="224"/>
      <c r="Z705" s="224"/>
    </row>
    <row r="706" spans="1:26" ht="15" customHeight="1">
      <c r="A706" s="252"/>
      <c r="B706" s="253"/>
      <c r="C706" s="253"/>
      <c r="D706" s="253"/>
      <c r="E706" s="253"/>
      <c r="F706" s="254"/>
      <c r="G706" s="253"/>
      <c r="H706" s="256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</row>
    <row r="707" spans="1:26" ht="15" customHeight="1">
      <c r="A707" s="252"/>
      <c r="B707" s="252"/>
      <c r="C707" s="253"/>
      <c r="D707" s="253"/>
      <c r="E707" s="253"/>
      <c r="F707" s="254"/>
      <c r="G707" s="253"/>
      <c r="H707" s="256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</row>
    <row r="708" spans="1:26" ht="15" customHeight="1">
      <c r="A708" s="252"/>
      <c r="B708" s="252"/>
      <c r="C708" s="253"/>
      <c r="D708" s="253"/>
      <c r="E708" s="253"/>
      <c r="F708" s="254"/>
      <c r="G708" s="253"/>
      <c r="H708" s="256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</row>
    <row r="709" spans="1:26" ht="15" customHeight="1">
      <c r="A709" s="252"/>
      <c r="B709" s="252"/>
      <c r="C709" s="253"/>
      <c r="D709" s="253"/>
      <c r="E709" s="253"/>
      <c r="F709" s="254"/>
      <c r="G709" s="253"/>
      <c r="H709" s="256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</row>
    <row r="710" spans="1:26" ht="15" customHeight="1">
      <c r="A710" s="252"/>
      <c r="B710" s="252"/>
      <c r="C710" s="253"/>
      <c r="D710" s="253"/>
      <c r="E710" s="253"/>
      <c r="F710" s="254"/>
      <c r="G710" s="253"/>
      <c r="H710" s="256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</row>
    <row r="711" spans="1:26" ht="15" customHeight="1">
      <c r="A711" s="252"/>
      <c r="B711" s="252"/>
      <c r="C711" s="253"/>
      <c r="D711" s="253"/>
      <c r="E711" s="253"/>
      <c r="F711" s="254"/>
      <c r="G711" s="253"/>
      <c r="H711" s="256"/>
      <c r="I711" s="224"/>
      <c r="J711" s="224"/>
      <c r="K711" s="224"/>
      <c r="L711" s="224"/>
      <c r="M711" s="224"/>
      <c r="N711" s="224"/>
      <c r="O711" s="224"/>
      <c r="P711" s="224"/>
      <c r="Q711" s="224"/>
      <c r="R711" s="224"/>
      <c r="S711" s="224"/>
      <c r="T711" s="224"/>
      <c r="U711" s="224"/>
      <c r="V711" s="224"/>
      <c r="W711" s="224"/>
      <c r="X711" s="224"/>
      <c r="Y711" s="224"/>
      <c r="Z711" s="224"/>
    </row>
    <row r="712" spans="1:26" ht="15" customHeight="1">
      <c r="A712" s="252"/>
      <c r="B712" s="252"/>
      <c r="C712" s="253"/>
      <c r="D712" s="253"/>
      <c r="E712" s="253"/>
      <c r="F712" s="254"/>
      <c r="G712" s="253"/>
      <c r="H712" s="256"/>
      <c r="I712" s="209"/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</row>
    <row r="713" spans="1:26" ht="15" customHeight="1">
      <c r="A713" s="252"/>
      <c r="B713" s="252"/>
      <c r="C713" s="253"/>
      <c r="D713" s="253"/>
      <c r="E713" s="253"/>
      <c r="F713" s="254"/>
      <c r="G713" s="253"/>
      <c r="H713" s="255"/>
      <c r="I713" s="209"/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</row>
    <row r="714" spans="1:26" ht="15.75" customHeight="1">
      <c r="A714" s="252"/>
      <c r="B714" s="252"/>
      <c r="C714" s="253"/>
      <c r="D714" s="253"/>
      <c r="E714" s="253"/>
      <c r="F714" s="254"/>
      <c r="G714" s="253"/>
      <c r="H714" s="257"/>
      <c r="I714" s="209"/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</row>
    <row r="715" spans="1:26" ht="15.75" customHeight="1">
      <c r="A715" s="252"/>
      <c r="B715" s="252"/>
      <c r="C715" s="253"/>
      <c r="D715" s="253"/>
      <c r="E715" s="253"/>
      <c r="F715" s="254"/>
      <c r="G715" s="253"/>
      <c r="H715" s="257"/>
      <c r="I715" s="209"/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</row>
    <row r="716" spans="1:26" ht="15.75" customHeight="1">
      <c r="A716" s="252"/>
      <c r="B716" s="252"/>
      <c r="C716" s="253"/>
      <c r="D716" s="253"/>
      <c r="E716" s="253"/>
      <c r="F716" s="254"/>
      <c r="G716" s="253"/>
      <c r="H716" s="257"/>
      <c r="I716" s="209"/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</row>
    <row r="717" spans="1:26" ht="15.75" customHeight="1">
      <c r="A717" s="252"/>
      <c r="B717" s="252"/>
      <c r="C717" s="253"/>
      <c r="D717" s="253"/>
      <c r="E717" s="253"/>
      <c r="F717" s="254"/>
      <c r="G717" s="253"/>
      <c r="H717" s="257"/>
      <c r="I717" s="209"/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</row>
    <row r="718" spans="1:26" ht="15.75" customHeight="1">
      <c r="A718" s="252"/>
      <c r="B718" s="252"/>
      <c r="C718" s="253"/>
      <c r="D718" s="253"/>
      <c r="E718" s="253"/>
      <c r="F718" s="254"/>
      <c r="G718" s="253"/>
      <c r="H718" s="257"/>
      <c r="I718" s="209"/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</row>
    <row r="719" spans="1:26" ht="15.75" customHeight="1">
      <c r="A719" s="252"/>
      <c r="B719" s="252"/>
      <c r="C719" s="253"/>
      <c r="D719" s="253"/>
      <c r="E719" s="253"/>
      <c r="F719" s="254"/>
      <c r="G719" s="253"/>
      <c r="H719" s="257"/>
      <c r="I719" s="209"/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</row>
    <row r="720" spans="1:26" ht="15.75" customHeight="1">
      <c r="A720" s="252"/>
      <c r="B720" s="252"/>
      <c r="C720" s="253"/>
      <c r="D720" s="253"/>
      <c r="E720" s="253"/>
      <c r="F720" s="254"/>
      <c r="G720" s="253"/>
      <c r="H720" s="257"/>
      <c r="I720" s="209"/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</row>
    <row r="721" spans="1:26" ht="15.75" customHeight="1">
      <c r="A721" s="252"/>
      <c r="B721" s="252"/>
      <c r="C721" s="253"/>
      <c r="D721" s="253"/>
      <c r="E721" s="253"/>
      <c r="F721" s="254"/>
      <c r="G721" s="253"/>
      <c r="H721" s="257"/>
      <c r="I721" s="209"/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</row>
    <row r="722" spans="1:26" ht="15.75" customHeight="1">
      <c r="A722" s="252"/>
      <c r="B722" s="252"/>
      <c r="C722" s="253"/>
      <c r="D722" s="253"/>
      <c r="E722" s="253"/>
      <c r="F722" s="254"/>
      <c r="G722" s="253"/>
      <c r="H722" s="257"/>
      <c r="I722" s="209"/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</row>
    <row r="723" spans="1:26" ht="15.75" customHeight="1">
      <c r="A723" s="252"/>
      <c r="B723" s="252"/>
      <c r="C723" s="253"/>
      <c r="D723" s="253"/>
      <c r="E723" s="253"/>
      <c r="F723" s="254"/>
      <c r="G723" s="253"/>
      <c r="H723" s="257"/>
      <c r="I723" s="209"/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</row>
    <row r="724" spans="1:26" ht="15.75" customHeight="1">
      <c r="A724" s="252"/>
      <c r="B724" s="252"/>
      <c r="C724" s="253"/>
      <c r="D724" s="253"/>
      <c r="E724" s="253"/>
      <c r="F724" s="254"/>
      <c r="G724" s="253"/>
      <c r="H724" s="257"/>
      <c r="I724" s="209"/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</row>
    <row r="725" spans="1:26" ht="15.75" customHeight="1">
      <c r="A725" s="252"/>
      <c r="B725" s="252"/>
      <c r="C725" s="253"/>
      <c r="D725" s="253"/>
      <c r="E725" s="253"/>
      <c r="F725" s="254"/>
      <c r="G725" s="253"/>
      <c r="H725" s="257"/>
      <c r="I725" s="209"/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</row>
    <row r="726" spans="1:26" ht="15.75" customHeight="1">
      <c r="A726" s="252"/>
      <c r="B726" s="252"/>
      <c r="C726" s="253"/>
      <c r="D726" s="253"/>
      <c r="E726" s="253"/>
      <c r="F726" s="254"/>
      <c r="G726" s="253"/>
      <c r="H726" s="257"/>
      <c r="I726" s="209"/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</row>
    <row r="727" spans="1:26" ht="15.75" customHeight="1">
      <c r="A727" s="252"/>
      <c r="B727" s="252"/>
      <c r="C727" s="253"/>
      <c r="D727" s="253"/>
      <c r="E727" s="253"/>
      <c r="F727" s="254"/>
      <c r="G727" s="253"/>
      <c r="H727" s="257"/>
      <c r="I727" s="209"/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</row>
    <row r="728" spans="1:26" ht="15.75" customHeight="1">
      <c r="A728" s="252"/>
      <c r="B728" s="252"/>
      <c r="C728" s="253"/>
      <c r="D728" s="253"/>
      <c r="E728" s="253"/>
      <c r="F728" s="254"/>
      <c r="G728" s="253"/>
      <c r="H728" s="257"/>
      <c r="I728" s="209"/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</row>
    <row r="729" spans="1:26" ht="15.75" customHeight="1">
      <c r="A729" s="252"/>
      <c r="B729" s="252"/>
      <c r="C729" s="253"/>
      <c r="D729" s="253"/>
      <c r="E729" s="253"/>
      <c r="F729" s="254"/>
      <c r="G729" s="253"/>
      <c r="H729" s="257"/>
      <c r="I729" s="209"/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</row>
    <row r="730" spans="1:26" ht="15.75" customHeight="1">
      <c r="A730" s="252"/>
      <c r="B730" s="252"/>
      <c r="C730" s="253"/>
      <c r="D730" s="253"/>
      <c r="E730" s="253"/>
      <c r="F730" s="254"/>
      <c r="G730" s="253"/>
      <c r="H730" s="257"/>
      <c r="I730" s="209"/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</row>
    <row r="731" spans="1:26" ht="15.75" customHeight="1">
      <c r="A731" s="252"/>
      <c r="B731" s="252"/>
      <c r="C731" s="253"/>
      <c r="D731" s="253"/>
      <c r="E731" s="253"/>
      <c r="F731" s="254"/>
      <c r="G731" s="253"/>
      <c r="H731" s="257"/>
      <c r="I731" s="209"/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</row>
    <row r="732" spans="1:26" ht="15.75" customHeight="1">
      <c r="A732" s="252"/>
      <c r="B732" s="252"/>
      <c r="C732" s="253"/>
      <c r="D732" s="253"/>
      <c r="E732" s="253"/>
      <c r="F732" s="254"/>
      <c r="G732" s="253"/>
      <c r="H732" s="257"/>
      <c r="I732" s="209"/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</row>
    <row r="733" spans="1:26" ht="15.75" customHeight="1">
      <c r="A733" s="252"/>
      <c r="B733" s="252"/>
      <c r="C733" s="253"/>
      <c r="D733" s="253"/>
      <c r="E733" s="253"/>
      <c r="F733" s="254"/>
      <c r="G733" s="253"/>
      <c r="H733" s="257"/>
      <c r="I733" s="209"/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</row>
    <row r="734" spans="1:26" ht="15.75" customHeight="1">
      <c r="A734" s="252"/>
      <c r="B734" s="252"/>
      <c r="C734" s="253"/>
      <c r="D734" s="253"/>
      <c r="E734" s="253"/>
      <c r="F734" s="254"/>
      <c r="G734" s="253"/>
      <c r="H734" s="257"/>
      <c r="I734" s="209"/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</row>
    <row r="735" spans="1:26" ht="15.75" customHeight="1">
      <c r="A735" s="252"/>
      <c r="B735" s="252"/>
      <c r="C735" s="253"/>
      <c r="D735" s="253"/>
      <c r="E735" s="253"/>
      <c r="F735" s="254"/>
      <c r="G735" s="253"/>
      <c r="H735" s="257"/>
      <c r="I735" s="209"/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</row>
    <row r="736" spans="1:26" ht="15.75" customHeight="1">
      <c r="A736" s="252"/>
      <c r="B736" s="252"/>
      <c r="C736" s="253"/>
      <c r="D736" s="253"/>
      <c r="E736" s="253"/>
      <c r="F736" s="254"/>
      <c r="G736" s="253"/>
      <c r="H736" s="257"/>
      <c r="I736" s="209"/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</row>
    <row r="737" spans="1:26" ht="15.75" customHeight="1">
      <c r="A737" s="252"/>
      <c r="B737" s="252"/>
      <c r="C737" s="253"/>
      <c r="D737" s="253"/>
      <c r="E737" s="253"/>
      <c r="F737" s="254"/>
      <c r="G737" s="253"/>
      <c r="H737" s="257"/>
      <c r="I737" s="209"/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</row>
    <row r="738" spans="1:26" ht="15.75" customHeight="1">
      <c r="A738" s="252"/>
      <c r="B738" s="252"/>
      <c r="C738" s="253"/>
      <c r="D738" s="253"/>
      <c r="E738" s="253"/>
      <c r="F738" s="254"/>
      <c r="G738" s="253"/>
      <c r="H738" s="257"/>
      <c r="I738" s="209"/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</row>
    <row r="739" spans="1:26" ht="15.75" customHeight="1">
      <c r="A739" s="252"/>
      <c r="B739" s="252"/>
      <c r="C739" s="253"/>
      <c r="D739" s="253"/>
      <c r="E739" s="253"/>
      <c r="F739" s="254"/>
      <c r="G739" s="253"/>
      <c r="H739" s="257"/>
      <c r="I739" s="209"/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</row>
    <row r="740" spans="1:26" ht="15.75" customHeight="1">
      <c r="A740" s="252"/>
      <c r="B740" s="252"/>
      <c r="C740" s="253"/>
      <c r="D740" s="253"/>
      <c r="E740" s="253"/>
      <c r="F740" s="254"/>
      <c r="G740" s="253"/>
      <c r="H740" s="257"/>
      <c r="I740" s="209"/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</row>
    <row r="741" spans="1:26" ht="15.75" customHeight="1">
      <c r="A741" s="252"/>
      <c r="B741" s="252"/>
      <c r="C741" s="253"/>
      <c r="D741" s="253"/>
      <c r="E741" s="253"/>
      <c r="F741" s="254"/>
      <c r="G741" s="253"/>
      <c r="H741" s="257"/>
      <c r="I741" s="209"/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</row>
    <row r="742" spans="1:26" ht="15.75" customHeight="1">
      <c r="A742" s="252"/>
      <c r="B742" s="252"/>
      <c r="C742" s="253"/>
      <c r="D742" s="253"/>
      <c r="E742" s="253"/>
      <c r="F742" s="254"/>
      <c r="G742" s="253"/>
      <c r="H742" s="257"/>
      <c r="I742" s="209"/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</row>
    <row r="743" spans="1:26" ht="15.75" customHeight="1">
      <c r="A743" s="252"/>
      <c r="B743" s="252"/>
      <c r="C743" s="253"/>
      <c r="D743" s="253"/>
      <c r="E743" s="253"/>
      <c r="F743" s="254"/>
      <c r="G743" s="253"/>
      <c r="H743" s="257"/>
      <c r="I743" s="209"/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</row>
    <row r="744" spans="1:26" ht="15.75" customHeight="1">
      <c r="A744" s="252"/>
      <c r="B744" s="252"/>
      <c r="C744" s="253"/>
      <c r="D744" s="253"/>
      <c r="E744" s="253"/>
      <c r="F744" s="254"/>
      <c r="G744" s="253"/>
      <c r="H744" s="257"/>
      <c r="I744" s="209"/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</row>
    <row r="745" spans="1:26" ht="15.75" customHeight="1">
      <c r="A745" s="252"/>
      <c r="B745" s="252"/>
      <c r="C745" s="253"/>
      <c r="D745" s="253"/>
      <c r="E745" s="253"/>
      <c r="F745" s="254"/>
      <c r="G745" s="253"/>
      <c r="H745" s="257"/>
      <c r="I745" s="209"/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</row>
    <row r="746" spans="1:26" ht="15.75" customHeight="1">
      <c r="A746" s="252"/>
      <c r="B746" s="252"/>
      <c r="C746" s="253"/>
      <c r="D746" s="253"/>
      <c r="E746" s="253"/>
      <c r="F746" s="254"/>
      <c r="G746" s="253"/>
      <c r="H746" s="257"/>
      <c r="I746" s="209"/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</row>
    <row r="747" spans="1:26" ht="15.75" customHeight="1">
      <c r="A747" s="252"/>
      <c r="B747" s="252"/>
      <c r="C747" s="253"/>
      <c r="D747" s="253"/>
      <c r="E747" s="253"/>
      <c r="F747" s="254"/>
      <c r="G747" s="253"/>
      <c r="H747" s="257"/>
      <c r="I747" s="209"/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</row>
    <row r="748" spans="1:26" ht="15.75" customHeight="1">
      <c r="A748" s="252"/>
      <c r="B748" s="252"/>
      <c r="C748" s="253"/>
      <c r="D748" s="253"/>
      <c r="E748" s="253"/>
      <c r="F748" s="254"/>
      <c r="G748" s="253"/>
      <c r="H748" s="257"/>
      <c r="I748" s="209"/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</row>
    <row r="749" spans="1:26" ht="15.75" customHeight="1">
      <c r="A749" s="252"/>
      <c r="B749" s="252"/>
      <c r="C749" s="253"/>
      <c r="D749" s="253"/>
      <c r="E749" s="253"/>
      <c r="F749" s="254"/>
      <c r="G749" s="253"/>
      <c r="H749" s="257"/>
      <c r="I749" s="209"/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</row>
    <row r="750" spans="1:26" ht="15.75" customHeight="1">
      <c r="A750" s="252"/>
      <c r="B750" s="252"/>
      <c r="C750" s="253"/>
      <c r="D750" s="253"/>
      <c r="E750" s="253"/>
      <c r="F750" s="254"/>
      <c r="G750" s="253"/>
      <c r="H750" s="257"/>
      <c r="I750" s="209"/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</row>
    <row r="751" spans="1:26" ht="15.75" customHeight="1">
      <c r="A751" s="252"/>
      <c r="B751" s="252"/>
      <c r="C751" s="253"/>
      <c r="D751" s="253"/>
      <c r="E751" s="253"/>
      <c r="F751" s="254"/>
      <c r="G751" s="253"/>
      <c r="H751" s="257"/>
      <c r="I751" s="209"/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</row>
    <row r="752" spans="1:26" ht="15.75" customHeight="1">
      <c r="A752" s="252"/>
      <c r="B752" s="252"/>
      <c r="C752" s="253"/>
      <c r="D752" s="253"/>
      <c r="E752" s="253"/>
      <c r="F752" s="254"/>
      <c r="G752" s="253"/>
      <c r="H752" s="257"/>
      <c r="I752" s="209"/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</row>
    <row r="753" spans="1:26" ht="15.75" customHeight="1">
      <c r="A753" s="252"/>
      <c r="B753" s="252"/>
      <c r="C753" s="253"/>
      <c r="D753" s="253"/>
      <c r="E753" s="253"/>
      <c r="F753" s="254"/>
      <c r="G753" s="253"/>
      <c r="H753" s="257"/>
      <c r="I753" s="209"/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</row>
    <row r="754" spans="1:26" ht="15.75" customHeight="1">
      <c r="A754" s="252"/>
      <c r="B754" s="252"/>
      <c r="C754" s="253"/>
      <c r="D754" s="253"/>
      <c r="E754" s="253"/>
      <c r="F754" s="254"/>
      <c r="G754" s="253"/>
      <c r="H754" s="257"/>
      <c r="I754" s="209"/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</row>
    <row r="755" spans="1:26" ht="15.75" customHeight="1">
      <c r="A755" s="252"/>
      <c r="B755" s="252"/>
      <c r="C755" s="253"/>
      <c r="D755" s="253"/>
      <c r="E755" s="253"/>
      <c r="F755" s="254"/>
      <c r="G755" s="253"/>
      <c r="H755" s="257"/>
      <c r="I755" s="209"/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</row>
    <row r="756" spans="1:26" ht="15.75" customHeight="1">
      <c r="A756" s="252"/>
      <c r="B756" s="252"/>
      <c r="C756" s="253"/>
      <c r="D756" s="253"/>
      <c r="E756" s="253"/>
      <c r="F756" s="254"/>
      <c r="G756" s="253"/>
      <c r="H756" s="257"/>
      <c r="I756" s="209"/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</row>
    <row r="757" spans="1:26" ht="15.75" customHeight="1">
      <c r="A757" s="252"/>
      <c r="B757" s="252"/>
      <c r="C757" s="253"/>
      <c r="D757" s="253"/>
      <c r="E757" s="253"/>
      <c r="F757" s="254"/>
      <c r="G757" s="253"/>
      <c r="H757" s="257"/>
      <c r="I757" s="209"/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</row>
    <row r="758" spans="1:26" ht="15.75" customHeight="1">
      <c r="A758" s="252"/>
      <c r="B758" s="252"/>
      <c r="C758" s="253"/>
      <c r="D758" s="253"/>
      <c r="E758" s="253"/>
      <c r="F758" s="254"/>
      <c r="G758" s="253"/>
      <c r="H758" s="257"/>
      <c r="I758" s="209"/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</row>
    <row r="759" spans="1:26" ht="15.75" customHeight="1">
      <c r="A759" s="252"/>
      <c r="B759" s="252"/>
      <c r="C759" s="253"/>
      <c r="D759" s="253"/>
      <c r="E759" s="253"/>
      <c r="F759" s="254"/>
      <c r="G759" s="253"/>
      <c r="H759" s="257"/>
      <c r="I759" s="209"/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</row>
    <row r="760" spans="1:26" ht="15.75" customHeight="1">
      <c r="A760" s="252"/>
      <c r="B760" s="252"/>
      <c r="C760" s="253"/>
      <c r="D760" s="253"/>
      <c r="E760" s="253"/>
      <c r="F760" s="254"/>
      <c r="G760" s="253"/>
      <c r="H760" s="257"/>
      <c r="I760" s="209"/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</row>
    <row r="761" spans="1:26" ht="15.75" customHeight="1">
      <c r="A761" s="252"/>
      <c r="B761" s="252"/>
      <c r="C761" s="253"/>
      <c r="D761" s="253"/>
      <c r="E761" s="253"/>
      <c r="F761" s="254"/>
      <c r="G761" s="253"/>
      <c r="H761" s="257"/>
      <c r="I761" s="209"/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</row>
    <row r="762" spans="1:26" ht="15.75" customHeight="1">
      <c r="A762" s="252"/>
      <c r="B762" s="252"/>
      <c r="C762" s="253"/>
      <c r="D762" s="253"/>
      <c r="E762" s="253"/>
      <c r="F762" s="254"/>
      <c r="G762" s="253"/>
      <c r="H762" s="257"/>
      <c r="I762" s="209"/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</row>
    <row r="763" spans="1:26" ht="15.75" customHeight="1">
      <c r="A763" s="252"/>
      <c r="B763" s="252"/>
      <c r="C763" s="253"/>
      <c r="D763" s="253"/>
      <c r="E763" s="253"/>
      <c r="F763" s="254"/>
      <c r="G763" s="253"/>
      <c r="H763" s="257"/>
      <c r="I763" s="209"/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</row>
    <row r="764" spans="1:26" ht="15.75" customHeight="1">
      <c r="A764" s="252"/>
      <c r="B764" s="252"/>
      <c r="C764" s="253"/>
      <c r="D764" s="253"/>
      <c r="E764" s="253"/>
      <c r="F764" s="254"/>
      <c r="G764" s="253"/>
      <c r="H764" s="257"/>
      <c r="I764" s="209"/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</row>
    <row r="765" spans="1:26" ht="15.75" customHeight="1">
      <c r="A765" s="252"/>
      <c r="B765" s="252"/>
      <c r="C765" s="253"/>
      <c r="D765" s="253"/>
      <c r="E765" s="253"/>
      <c r="F765" s="254"/>
      <c r="G765" s="253"/>
      <c r="H765" s="257"/>
      <c r="I765" s="209"/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</row>
    <row r="766" spans="1:26" ht="15.75" customHeight="1">
      <c r="A766" s="252"/>
      <c r="B766" s="252"/>
      <c r="C766" s="253"/>
      <c r="D766" s="253"/>
      <c r="E766" s="253"/>
      <c r="F766" s="254"/>
      <c r="G766" s="253"/>
      <c r="H766" s="257"/>
      <c r="I766" s="209"/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</row>
    <row r="767" spans="1:26" ht="15.75" customHeight="1">
      <c r="A767" s="252"/>
      <c r="B767" s="252"/>
      <c r="C767" s="253"/>
      <c r="D767" s="253"/>
      <c r="E767" s="253"/>
      <c r="F767" s="254"/>
      <c r="G767" s="253"/>
      <c r="H767" s="257"/>
      <c r="I767" s="209"/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</row>
    <row r="768" spans="1:26" ht="15.75" customHeight="1">
      <c r="A768" s="252"/>
      <c r="B768" s="252"/>
      <c r="C768" s="253"/>
      <c r="D768" s="253"/>
      <c r="E768" s="253"/>
      <c r="F768" s="254"/>
      <c r="G768" s="253"/>
      <c r="H768" s="257"/>
      <c r="I768" s="209"/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</row>
    <row r="769" spans="1:26" ht="15.75" customHeight="1">
      <c r="A769" s="252"/>
      <c r="B769" s="252"/>
      <c r="C769" s="253"/>
      <c r="D769" s="253"/>
      <c r="E769" s="253"/>
      <c r="F769" s="254"/>
      <c r="G769" s="253"/>
      <c r="H769" s="257"/>
      <c r="I769" s="209"/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</row>
    <row r="770" spans="1:26" ht="15.75" customHeight="1">
      <c r="A770" s="252"/>
      <c r="B770" s="252"/>
      <c r="C770" s="253"/>
      <c r="D770" s="253"/>
      <c r="E770" s="253"/>
      <c r="F770" s="254"/>
      <c r="G770" s="253"/>
      <c r="H770" s="257"/>
      <c r="I770" s="209"/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</row>
    <row r="771" spans="1:26" ht="15.75" customHeight="1">
      <c r="A771" s="252"/>
      <c r="B771" s="252"/>
      <c r="C771" s="253"/>
      <c r="D771" s="253"/>
      <c r="E771" s="253"/>
      <c r="F771" s="254"/>
      <c r="G771" s="253"/>
      <c r="H771" s="257"/>
      <c r="I771" s="209"/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</row>
    <row r="772" spans="1:26" ht="15.75" customHeight="1">
      <c r="A772" s="252"/>
      <c r="B772" s="252"/>
      <c r="C772" s="253"/>
      <c r="D772" s="253"/>
      <c r="E772" s="253"/>
      <c r="F772" s="254"/>
      <c r="G772" s="253"/>
      <c r="H772" s="257"/>
      <c r="I772" s="209"/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</row>
    <row r="773" spans="1:26" ht="15.75" customHeight="1">
      <c r="A773" s="252"/>
      <c r="B773" s="252"/>
      <c r="C773" s="253"/>
      <c r="D773" s="253"/>
      <c r="E773" s="253"/>
      <c r="F773" s="254"/>
      <c r="G773" s="253"/>
      <c r="H773" s="257"/>
      <c r="I773" s="209"/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</row>
    <row r="774" spans="1:26" ht="15.75" customHeight="1">
      <c r="A774" s="252"/>
      <c r="B774" s="252"/>
      <c r="C774" s="253"/>
      <c r="D774" s="253"/>
      <c r="E774" s="253"/>
      <c r="F774" s="254"/>
      <c r="G774" s="253"/>
      <c r="H774" s="257"/>
      <c r="I774" s="209"/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</row>
    <row r="775" spans="1:26" ht="15.75" customHeight="1">
      <c r="A775" s="252"/>
      <c r="B775" s="252"/>
      <c r="C775" s="253"/>
      <c r="D775" s="253"/>
      <c r="E775" s="253"/>
      <c r="F775" s="254"/>
      <c r="G775" s="253"/>
      <c r="H775" s="257"/>
      <c r="I775" s="209"/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</row>
    <row r="776" spans="1:26" ht="15.75" customHeight="1">
      <c r="A776" s="252"/>
      <c r="B776" s="252"/>
      <c r="C776" s="253"/>
      <c r="D776" s="253"/>
      <c r="E776" s="253"/>
      <c r="F776" s="254"/>
      <c r="G776" s="253"/>
      <c r="H776" s="257"/>
      <c r="I776" s="209"/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</row>
    <row r="777" spans="1:26" ht="15.75" customHeight="1">
      <c r="A777" s="252"/>
      <c r="B777" s="252"/>
      <c r="C777" s="253"/>
      <c r="D777" s="253"/>
      <c r="E777" s="253"/>
      <c r="F777" s="254"/>
      <c r="G777" s="253"/>
      <c r="H777" s="257"/>
      <c r="I777" s="209"/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</row>
    <row r="778" spans="1:26" ht="15.75" customHeight="1">
      <c r="A778" s="252"/>
      <c r="B778" s="252"/>
      <c r="C778" s="253"/>
      <c r="D778" s="253"/>
      <c r="E778" s="253"/>
      <c r="F778" s="254"/>
      <c r="G778" s="253"/>
      <c r="H778" s="257"/>
      <c r="I778" s="209"/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</row>
    <row r="779" spans="1:26" ht="15.75" customHeight="1">
      <c r="A779" s="252"/>
      <c r="B779" s="252"/>
      <c r="C779" s="253"/>
      <c r="D779" s="253"/>
      <c r="E779" s="253"/>
      <c r="F779" s="254"/>
      <c r="G779" s="253"/>
      <c r="H779" s="257"/>
      <c r="I779" s="209"/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</row>
    <row r="780" spans="1:26" ht="15.75" customHeight="1">
      <c r="A780" s="252"/>
      <c r="B780" s="252"/>
      <c r="C780" s="253"/>
      <c r="D780" s="253"/>
      <c r="E780" s="253"/>
      <c r="F780" s="254"/>
      <c r="G780" s="253"/>
      <c r="H780" s="257"/>
      <c r="I780" s="209"/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</row>
    <row r="781" spans="1:26" ht="15.75" customHeight="1">
      <c r="A781" s="252"/>
      <c r="B781" s="252"/>
      <c r="C781" s="253"/>
      <c r="D781" s="253"/>
      <c r="E781" s="253"/>
      <c r="F781" s="254"/>
      <c r="G781" s="253"/>
      <c r="H781" s="257"/>
      <c r="I781" s="209"/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</row>
    <row r="782" spans="1:26" ht="15.75" customHeight="1">
      <c r="A782" s="252"/>
      <c r="B782" s="252"/>
      <c r="C782" s="253"/>
      <c r="D782" s="253"/>
      <c r="E782" s="253"/>
      <c r="F782" s="254"/>
      <c r="G782" s="253"/>
      <c r="H782" s="257"/>
      <c r="I782" s="209"/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</row>
    <row r="783" spans="1:26" ht="15.75" customHeight="1">
      <c r="A783" s="252"/>
      <c r="B783" s="252"/>
      <c r="C783" s="253"/>
      <c r="D783" s="253"/>
      <c r="E783" s="253"/>
      <c r="F783" s="254"/>
      <c r="G783" s="253"/>
      <c r="H783" s="257"/>
      <c r="I783" s="209"/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</row>
    <row r="784" spans="1:26" ht="15.75" customHeight="1">
      <c r="A784" s="252"/>
      <c r="B784" s="252"/>
      <c r="C784" s="253"/>
      <c r="D784" s="253"/>
      <c r="E784" s="253"/>
      <c r="F784" s="254"/>
      <c r="G784" s="253"/>
      <c r="H784" s="257"/>
      <c r="I784" s="209"/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</row>
    <row r="785" spans="1:26" ht="15.75" customHeight="1">
      <c r="A785" s="252"/>
      <c r="B785" s="252"/>
      <c r="C785" s="253"/>
      <c r="D785" s="253"/>
      <c r="E785" s="253"/>
      <c r="F785" s="254"/>
      <c r="G785" s="253"/>
      <c r="H785" s="257"/>
      <c r="I785" s="209"/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</row>
    <row r="786" spans="1:26" ht="15.75" customHeight="1">
      <c r="A786" s="252"/>
      <c r="B786" s="252"/>
      <c r="C786" s="253"/>
      <c r="D786" s="253"/>
      <c r="E786" s="253"/>
      <c r="F786" s="254"/>
      <c r="G786" s="253"/>
      <c r="H786" s="257"/>
      <c r="I786" s="209"/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</row>
    <row r="787" spans="1:26" ht="15.75" customHeight="1">
      <c r="A787" s="252"/>
      <c r="B787" s="252"/>
      <c r="C787" s="253"/>
      <c r="D787" s="253"/>
      <c r="E787" s="253"/>
      <c r="F787" s="254"/>
      <c r="G787" s="253"/>
      <c r="H787" s="257"/>
      <c r="I787" s="209"/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</row>
    <row r="788" spans="1:26" ht="15.75" customHeight="1">
      <c r="A788" s="252"/>
      <c r="B788" s="252"/>
      <c r="C788" s="253"/>
      <c r="D788" s="253"/>
      <c r="E788" s="253"/>
      <c r="F788" s="254"/>
      <c r="G788" s="253"/>
      <c r="H788" s="257"/>
      <c r="I788" s="209"/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</row>
    <row r="789" spans="1:26" ht="15.75" customHeight="1">
      <c r="A789" s="252"/>
      <c r="B789" s="252"/>
      <c r="C789" s="253"/>
      <c r="D789" s="253"/>
      <c r="E789" s="253"/>
      <c r="F789" s="254"/>
      <c r="G789" s="253"/>
      <c r="H789" s="257"/>
      <c r="I789" s="209"/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</row>
    <row r="790" spans="1:26" ht="15.75" customHeight="1">
      <c r="A790" s="252"/>
      <c r="B790" s="252"/>
      <c r="C790" s="253"/>
      <c r="D790" s="253"/>
      <c r="E790" s="253"/>
      <c r="F790" s="254"/>
      <c r="G790" s="253"/>
      <c r="H790" s="257"/>
      <c r="I790" s="209"/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</row>
    <row r="791" spans="1:26" ht="15.75" customHeight="1">
      <c r="A791" s="252"/>
      <c r="B791" s="252"/>
      <c r="C791" s="253"/>
      <c r="D791" s="253"/>
      <c r="E791" s="253"/>
      <c r="F791" s="254"/>
      <c r="G791" s="253"/>
      <c r="H791" s="257"/>
      <c r="I791" s="209"/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</row>
    <row r="792" spans="1:26" ht="15.75" customHeight="1">
      <c r="A792" s="252"/>
      <c r="B792" s="252"/>
      <c r="C792" s="253"/>
      <c r="D792" s="253"/>
      <c r="E792" s="253"/>
      <c r="F792" s="254"/>
      <c r="G792" s="253"/>
      <c r="H792" s="257"/>
      <c r="I792" s="209"/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</row>
    <row r="793" spans="1:26" ht="15.75" customHeight="1">
      <c r="A793" s="252"/>
      <c r="B793" s="252"/>
      <c r="C793" s="253"/>
      <c r="D793" s="253"/>
      <c r="E793" s="253"/>
      <c r="F793" s="254"/>
      <c r="G793" s="253"/>
      <c r="H793" s="257"/>
      <c r="I793" s="209"/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</row>
    <row r="794" spans="1:26" ht="15.75" customHeight="1">
      <c r="A794" s="252"/>
      <c r="B794" s="252"/>
      <c r="C794" s="253"/>
      <c r="D794" s="253"/>
      <c r="E794" s="253"/>
      <c r="F794" s="254"/>
      <c r="G794" s="253"/>
      <c r="H794" s="257"/>
      <c r="I794" s="209"/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</row>
    <row r="795" spans="1:26" ht="15.75" customHeight="1">
      <c r="A795" s="252"/>
      <c r="B795" s="252"/>
      <c r="C795" s="253"/>
      <c r="D795" s="253"/>
      <c r="E795" s="253"/>
      <c r="F795" s="254"/>
      <c r="G795" s="253"/>
      <c r="H795" s="257"/>
      <c r="I795" s="209"/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</row>
    <row r="796" spans="1:26" ht="15.75" customHeight="1">
      <c r="A796" s="252"/>
      <c r="B796" s="252"/>
      <c r="C796" s="253"/>
      <c r="D796" s="253"/>
      <c r="E796" s="253"/>
      <c r="F796" s="254"/>
      <c r="G796" s="253"/>
      <c r="H796" s="257"/>
      <c r="I796" s="209"/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</row>
    <row r="797" spans="1:26" ht="15.75" customHeight="1">
      <c r="A797" s="252"/>
      <c r="B797" s="252"/>
      <c r="C797" s="253"/>
      <c r="D797" s="253"/>
      <c r="E797" s="253"/>
      <c r="F797" s="254"/>
      <c r="G797" s="253"/>
      <c r="H797" s="257"/>
      <c r="I797" s="209"/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</row>
    <row r="798" spans="1:26" ht="15.75" customHeight="1">
      <c r="A798" s="252"/>
      <c r="B798" s="252"/>
      <c r="C798" s="253"/>
      <c r="D798" s="253"/>
      <c r="E798" s="253"/>
      <c r="F798" s="254"/>
      <c r="G798" s="253"/>
      <c r="H798" s="257"/>
      <c r="I798" s="209"/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</row>
    <row r="799" spans="1:26" ht="15.75" customHeight="1">
      <c r="A799" s="252"/>
      <c r="B799" s="252"/>
      <c r="C799" s="253"/>
      <c r="D799" s="253"/>
      <c r="E799" s="253"/>
      <c r="F799" s="254"/>
      <c r="G799" s="253"/>
      <c r="H799" s="257"/>
      <c r="I799" s="209"/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</row>
    <row r="800" spans="1:26" ht="15.75" customHeight="1">
      <c r="A800" s="252"/>
      <c r="B800" s="252"/>
      <c r="C800" s="253"/>
      <c r="D800" s="253"/>
      <c r="E800" s="253"/>
      <c r="F800" s="254"/>
      <c r="G800" s="253"/>
      <c r="H800" s="257"/>
      <c r="I800" s="209"/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</row>
    <row r="801" spans="1:26" ht="15.75" customHeight="1">
      <c r="A801" s="252"/>
      <c r="B801" s="252"/>
      <c r="C801" s="253"/>
      <c r="D801" s="253"/>
      <c r="E801" s="253"/>
      <c r="F801" s="254"/>
      <c r="G801" s="253"/>
      <c r="H801" s="257"/>
      <c r="I801" s="209"/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</row>
    <row r="802" spans="1:26" ht="15.75" customHeight="1">
      <c r="A802" s="252"/>
      <c r="B802" s="252"/>
      <c r="C802" s="253"/>
      <c r="D802" s="253"/>
      <c r="E802" s="253"/>
      <c r="F802" s="254"/>
      <c r="G802" s="253"/>
      <c r="H802" s="257"/>
      <c r="I802" s="209"/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</row>
    <row r="803" spans="1:26" ht="15.75" customHeight="1">
      <c r="A803" s="252"/>
      <c r="B803" s="252"/>
      <c r="C803" s="253"/>
      <c r="D803" s="253"/>
      <c r="E803" s="253"/>
      <c r="F803" s="254"/>
      <c r="G803" s="253"/>
      <c r="H803" s="257"/>
      <c r="I803" s="209"/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</row>
    <row r="804" spans="1:26" ht="15.75" customHeight="1">
      <c r="A804" s="252"/>
      <c r="B804" s="252"/>
      <c r="C804" s="253"/>
      <c r="D804" s="253"/>
      <c r="E804" s="253"/>
      <c r="F804" s="254"/>
      <c r="G804" s="253"/>
      <c r="H804" s="257"/>
      <c r="I804" s="209"/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</row>
    <row r="805" spans="1:26" ht="15.75" customHeight="1">
      <c r="A805" s="252"/>
      <c r="B805" s="252"/>
      <c r="C805" s="253"/>
      <c r="D805" s="253"/>
      <c r="E805" s="253"/>
      <c r="F805" s="254"/>
      <c r="G805" s="253"/>
      <c r="H805" s="257"/>
      <c r="I805" s="209"/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</row>
    <row r="806" spans="1:26" ht="15.75" customHeight="1">
      <c r="A806" s="252"/>
      <c r="B806" s="252"/>
      <c r="C806" s="253"/>
      <c r="D806" s="253"/>
      <c r="E806" s="253"/>
      <c r="F806" s="254"/>
      <c r="G806" s="253"/>
      <c r="H806" s="257"/>
      <c r="I806" s="209"/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</row>
    <row r="807" spans="1:26" ht="15.75" customHeight="1">
      <c r="A807" s="252"/>
      <c r="B807" s="252"/>
      <c r="C807" s="253"/>
      <c r="D807" s="253"/>
      <c r="E807" s="253"/>
      <c r="F807" s="254"/>
      <c r="G807" s="253"/>
      <c r="H807" s="257"/>
      <c r="I807" s="209"/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</row>
    <row r="808" spans="1:26" ht="15.75" customHeight="1">
      <c r="A808" s="252"/>
      <c r="B808" s="252"/>
      <c r="C808" s="253"/>
      <c r="D808" s="253"/>
      <c r="E808" s="253"/>
      <c r="F808" s="254"/>
      <c r="G808" s="253"/>
      <c r="H808" s="257"/>
      <c r="I808" s="209"/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</row>
    <row r="809" spans="1:26" ht="15.75" customHeight="1">
      <c r="A809" s="252"/>
      <c r="B809" s="252"/>
      <c r="C809" s="253"/>
      <c r="D809" s="253"/>
      <c r="E809" s="253"/>
      <c r="F809" s="254"/>
      <c r="G809" s="253"/>
      <c r="H809" s="257"/>
      <c r="I809" s="209"/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</row>
    <row r="810" spans="1:26" ht="15.75" customHeight="1">
      <c r="A810" s="252"/>
      <c r="B810" s="252"/>
      <c r="C810" s="253"/>
      <c r="D810" s="253"/>
      <c r="E810" s="253"/>
      <c r="F810" s="254"/>
      <c r="G810" s="253"/>
      <c r="H810" s="257"/>
      <c r="I810" s="209"/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</row>
    <row r="811" spans="1:26" ht="15.75" customHeight="1">
      <c r="A811" s="252"/>
      <c r="B811" s="252"/>
      <c r="C811" s="253"/>
      <c r="D811" s="253"/>
      <c r="E811" s="253"/>
      <c r="F811" s="254"/>
      <c r="G811" s="253"/>
      <c r="H811" s="257"/>
      <c r="I811" s="209"/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</row>
    <row r="812" spans="1:26" ht="15.75" customHeight="1">
      <c r="A812" s="252"/>
      <c r="B812" s="252"/>
      <c r="C812" s="253"/>
      <c r="D812" s="253"/>
      <c r="E812" s="253"/>
      <c r="F812" s="254"/>
      <c r="G812" s="253"/>
      <c r="H812" s="257"/>
      <c r="I812" s="209"/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</row>
    <row r="813" spans="1:26" ht="15.75" customHeight="1">
      <c r="A813" s="252"/>
      <c r="B813" s="252"/>
      <c r="C813" s="253"/>
      <c r="D813" s="253"/>
      <c r="E813" s="253"/>
      <c r="F813" s="254"/>
      <c r="G813" s="253"/>
      <c r="H813" s="257"/>
      <c r="I813" s="209"/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</row>
    <row r="814" spans="1:26" ht="15.75" customHeight="1">
      <c r="A814" s="252"/>
      <c r="B814" s="252"/>
      <c r="C814" s="253"/>
      <c r="D814" s="253"/>
      <c r="E814" s="253"/>
      <c r="F814" s="254"/>
      <c r="G814" s="253"/>
      <c r="H814" s="257"/>
      <c r="I814" s="209"/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</row>
    <row r="815" spans="1:26" ht="15.75" customHeight="1">
      <c r="A815" s="252"/>
      <c r="B815" s="252"/>
      <c r="C815" s="253"/>
      <c r="D815" s="253"/>
      <c r="E815" s="253"/>
      <c r="F815" s="254"/>
      <c r="G815" s="253"/>
      <c r="H815" s="257"/>
      <c r="I815" s="209"/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</row>
    <row r="816" spans="1:26" ht="15.75" customHeight="1">
      <c r="A816" s="252"/>
      <c r="B816" s="252"/>
      <c r="C816" s="253"/>
      <c r="D816" s="253"/>
      <c r="E816" s="253"/>
      <c r="F816" s="254"/>
      <c r="G816" s="253"/>
      <c r="H816" s="257"/>
      <c r="I816" s="209"/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</row>
    <row r="817" spans="1:26" ht="15.75" customHeight="1">
      <c r="A817" s="252"/>
      <c r="B817" s="252"/>
      <c r="C817" s="253"/>
      <c r="D817" s="253"/>
      <c r="E817" s="253"/>
      <c r="F817" s="254"/>
      <c r="G817" s="253"/>
      <c r="H817" s="257"/>
      <c r="I817" s="209"/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</row>
    <row r="818" spans="1:26" ht="15.75" customHeight="1">
      <c r="A818" s="252"/>
      <c r="B818" s="252"/>
      <c r="C818" s="253"/>
      <c r="D818" s="253"/>
      <c r="E818" s="253"/>
      <c r="F818" s="254"/>
      <c r="G818" s="253"/>
      <c r="H818" s="257"/>
      <c r="I818" s="209"/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</row>
    <row r="819" spans="1:26" ht="15.75" customHeight="1">
      <c r="A819" s="252"/>
      <c r="B819" s="252"/>
      <c r="C819" s="253"/>
      <c r="D819" s="253"/>
      <c r="E819" s="253"/>
      <c r="F819" s="254"/>
      <c r="G819" s="253"/>
      <c r="H819" s="257"/>
      <c r="I819" s="209"/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</row>
    <row r="820" spans="1:26" ht="15.75" customHeight="1">
      <c r="A820" s="252"/>
      <c r="B820" s="252"/>
      <c r="C820" s="253"/>
      <c r="D820" s="253"/>
      <c r="E820" s="253"/>
      <c r="F820" s="254"/>
      <c r="G820" s="253"/>
      <c r="H820" s="257"/>
      <c r="I820" s="209"/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</row>
    <row r="821" spans="1:26" ht="15.75" customHeight="1">
      <c r="A821" s="252"/>
      <c r="B821" s="252"/>
      <c r="C821" s="253"/>
      <c r="D821" s="253"/>
      <c r="E821" s="253"/>
      <c r="F821" s="254"/>
      <c r="G821" s="253"/>
      <c r="H821" s="257"/>
      <c r="I821" s="209"/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</row>
    <row r="822" spans="1:26" ht="15.75" customHeight="1">
      <c r="A822" s="252"/>
      <c r="B822" s="252"/>
      <c r="C822" s="253"/>
      <c r="D822" s="253"/>
      <c r="E822" s="253"/>
      <c r="F822" s="254"/>
      <c r="G822" s="253"/>
      <c r="H822" s="257"/>
      <c r="I822" s="209"/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</row>
    <row r="823" spans="1:26" ht="15.75" customHeight="1">
      <c r="A823" s="252"/>
      <c r="B823" s="252"/>
      <c r="C823" s="253"/>
      <c r="D823" s="253"/>
      <c r="E823" s="253"/>
      <c r="F823" s="254"/>
      <c r="G823" s="253"/>
      <c r="H823" s="257"/>
      <c r="I823" s="209"/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</row>
    <row r="824" spans="1:26" ht="15.75" customHeight="1">
      <c r="A824" s="252"/>
      <c r="B824" s="252"/>
      <c r="C824" s="253"/>
      <c r="D824" s="253"/>
      <c r="E824" s="253"/>
      <c r="F824" s="254"/>
      <c r="G824" s="253"/>
      <c r="H824" s="257"/>
      <c r="I824" s="209"/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</row>
    <row r="825" spans="1:26" ht="15.75" customHeight="1">
      <c r="A825" s="252"/>
      <c r="B825" s="252"/>
      <c r="C825" s="253"/>
      <c r="D825" s="253"/>
      <c r="E825" s="253"/>
      <c r="F825" s="254"/>
      <c r="G825" s="253"/>
      <c r="H825" s="257"/>
      <c r="I825" s="209"/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</row>
    <row r="826" spans="1:26" ht="15.75" customHeight="1">
      <c r="A826" s="252"/>
      <c r="B826" s="252"/>
      <c r="C826" s="253"/>
      <c r="D826" s="253"/>
      <c r="E826" s="253"/>
      <c r="F826" s="254"/>
      <c r="G826" s="253"/>
      <c r="H826" s="257"/>
      <c r="I826" s="209"/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</row>
    <row r="827" spans="1:26" ht="15.75" customHeight="1">
      <c r="A827" s="252"/>
      <c r="B827" s="252"/>
      <c r="C827" s="253"/>
      <c r="D827" s="253"/>
      <c r="E827" s="253"/>
      <c r="F827" s="254"/>
      <c r="G827" s="253"/>
      <c r="H827" s="257"/>
      <c r="I827" s="209"/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</row>
    <row r="828" spans="1:26" ht="15.75" customHeight="1">
      <c r="A828" s="252"/>
      <c r="B828" s="252"/>
      <c r="C828" s="253"/>
      <c r="D828" s="253"/>
      <c r="E828" s="253"/>
      <c r="F828" s="254"/>
      <c r="G828" s="253"/>
      <c r="H828" s="257"/>
      <c r="I828" s="209"/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</row>
    <row r="829" spans="1:26" ht="15.75" customHeight="1">
      <c r="A829" s="252"/>
      <c r="B829" s="252"/>
      <c r="C829" s="253"/>
      <c r="D829" s="253"/>
      <c r="E829" s="253"/>
      <c r="F829" s="254"/>
      <c r="G829" s="253"/>
      <c r="H829" s="257"/>
      <c r="I829" s="209"/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</row>
    <row r="830" spans="1:26" ht="15.75" customHeight="1">
      <c r="A830" s="252"/>
      <c r="B830" s="252"/>
      <c r="C830" s="253"/>
      <c r="D830" s="253"/>
      <c r="E830" s="253"/>
      <c r="F830" s="254"/>
      <c r="G830" s="253"/>
      <c r="H830" s="257"/>
      <c r="I830" s="209"/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</row>
    <row r="831" spans="1:26" ht="15.75" customHeight="1">
      <c r="A831" s="252"/>
      <c r="B831" s="252"/>
      <c r="C831" s="253"/>
      <c r="D831" s="253"/>
      <c r="E831" s="253"/>
      <c r="F831" s="254"/>
      <c r="G831" s="253"/>
      <c r="H831" s="257"/>
      <c r="I831" s="209"/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</row>
    <row r="832" spans="1:26" ht="15.75" customHeight="1">
      <c r="A832" s="252"/>
      <c r="B832" s="252"/>
      <c r="C832" s="253"/>
      <c r="D832" s="253"/>
      <c r="E832" s="253"/>
      <c r="F832" s="254"/>
      <c r="G832" s="253"/>
      <c r="H832" s="257"/>
      <c r="I832" s="209"/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</row>
    <row r="833" spans="1:26" ht="15.75" customHeight="1">
      <c r="A833" s="252"/>
      <c r="B833" s="252"/>
      <c r="C833" s="253"/>
      <c r="D833" s="253"/>
      <c r="E833" s="253"/>
      <c r="F833" s="254"/>
      <c r="G833" s="253"/>
      <c r="H833" s="257"/>
      <c r="I833" s="209"/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</row>
    <row r="834" spans="1:26" ht="15.75" customHeight="1">
      <c r="A834" s="252"/>
      <c r="B834" s="252"/>
      <c r="C834" s="253"/>
      <c r="D834" s="253"/>
      <c r="E834" s="253"/>
      <c r="F834" s="254"/>
      <c r="G834" s="253"/>
      <c r="H834" s="257"/>
      <c r="I834" s="209"/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</row>
    <row r="835" spans="1:26" ht="15.75" customHeight="1">
      <c r="A835" s="252"/>
      <c r="B835" s="252"/>
      <c r="C835" s="253"/>
      <c r="D835" s="253"/>
      <c r="E835" s="253"/>
      <c r="F835" s="254"/>
      <c r="G835" s="253"/>
      <c r="H835" s="257"/>
      <c r="I835" s="209"/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</row>
    <row r="836" spans="1:26" ht="15.75" customHeight="1">
      <c r="A836" s="252"/>
      <c r="B836" s="252"/>
      <c r="C836" s="253"/>
      <c r="D836" s="253"/>
      <c r="E836" s="253"/>
      <c r="F836" s="254"/>
      <c r="G836" s="253"/>
      <c r="H836" s="257"/>
      <c r="I836" s="209"/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</row>
    <row r="837" spans="1:26" ht="15.75" customHeight="1">
      <c r="A837" s="252"/>
      <c r="B837" s="252"/>
      <c r="C837" s="253"/>
      <c r="D837" s="253"/>
      <c r="E837" s="253"/>
      <c r="F837" s="254"/>
      <c r="G837" s="253"/>
      <c r="H837" s="257"/>
      <c r="I837" s="209"/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</row>
    <row r="838" spans="1:26" ht="15.75" customHeight="1">
      <c r="A838" s="252"/>
      <c r="B838" s="252"/>
      <c r="C838" s="253"/>
      <c r="D838" s="253"/>
      <c r="E838" s="253"/>
      <c r="F838" s="254"/>
      <c r="G838" s="253"/>
      <c r="H838" s="257"/>
      <c r="I838" s="209"/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</row>
    <row r="839" spans="1:26" ht="15.75" customHeight="1">
      <c r="A839" s="252"/>
      <c r="B839" s="252"/>
      <c r="C839" s="253"/>
      <c r="D839" s="253"/>
      <c r="E839" s="253"/>
      <c r="F839" s="254"/>
      <c r="G839" s="253"/>
      <c r="H839" s="257"/>
      <c r="I839" s="209"/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</row>
    <row r="840" spans="1:26" ht="15.75" customHeight="1">
      <c r="A840" s="252"/>
      <c r="B840" s="252"/>
      <c r="C840" s="253"/>
      <c r="D840" s="253"/>
      <c r="E840" s="253"/>
      <c r="F840" s="254"/>
      <c r="G840" s="253"/>
      <c r="H840" s="257"/>
      <c r="I840" s="209"/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</row>
    <row r="841" spans="1:26" ht="15.75" customHeight="1">
      <c r="A841" s="252"/>
      <c r="B841" s="252"/>
      <c r="C841" s="253"/>
      <c r="D841" s="253"/>
      <c r="E841" s="253"/>
      <c r="F841" s="254"/>
      <c r="G841" s="253"/>
      <c r="H841" s="257"/>
      <c r="I841" s="209"/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</row>
    <row r="842" spans="1:26" ht="15.75" customHeight="1">
      <c r="A842" s="252"/>
      <c r="B842" s="252"/>
      <c r="C842" s="253"/>
      <c r="D842" s="253"/>
      <c r="E842" s="253"/>
      <c r="F842" s="254"/>
      <c r="G842" s="253"/>
      <c r="H842" s="257"/>
      <c r="I842" s="209"/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</row>
    <row r="843" spans="1:26" ht="15.75" customHeight="1">
      <c r="A843" s="252"/>
      <c r="B843" s="252"/>
      <c r="C843" s="253"/>
      <c r="D843" s="253"/>
      <c r="E843" s="253"/>
      <c r="F843" s="254"/>
      <c r="G843" s="253"/>
      <c r="H843" s="257"/>
      <c r="I843" s="209"/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</row>
    <row r="844" spans="1:26" ht="15.75" customHeight="1">
      <c r="A844" s="252"/>
      <c r="B844" s="252"/>
      <c r="C844" s="253"/>
      <c r="D844" s="253"/>
      <c r="E844" s="253"/>
      <c r="F844" s="254"/>
      <c r="G844" s="253"/>
      <c r="H844" s="257"/>
      <c r="I844" s="209"/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</row>
    <row r="845" spans="1:26" ht="15.75" customHeight="1">
      <c r="A845" s="252"/>
      <c r="B845" s="252"/>
      <c r="C845" s="253"/>
      <c r="D845" s="253"/>
      <c r="E845" s="253"/>
      <c r="F845" s="254"/>
      <c r="G845" s="253"/>
      <c r="H845" s="257"/>
      <c r="I845" s="209"/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</row>
    <row r="846" spans="1:26" ht="15.75" customHeight="1">
      <c r="A846" s="252"/>
      <c r="B846" s="252"/>
      <c r="C846" s="253"/>
      <c r="D846" s="253"/>
      <c r="E846" s="253"/>
      <c r="F846" s="254"/>
      <c r="G846" s="253"/>
      <c r="H846" s="257"/>
      <c r="I846" s="209"/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</row>
    <row r="847" spans="1:26" ht="15.75" customHeight="1">
      <c r="A847" s="252"/>
      <c r="B847" s="252"/>
      <c r="C847" s="253"/>
      <c r="D847" s="253"/>
      <c r="E847" s="253"/>
      <c r="F847" s="254"/>
      <c r="G847" s="253"/>
      <c r="H847" s="257"/>
      <c r="I847" s="209"/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</row>
    <row r="848" spans="1:26" ht="15.75" customHeight="1">
      <c r="A848" s="252"/>
      <c r="B848" s="252"/>
      <c r="C848" s="253"/>
      <c r="D848" s="253"/>
      <c r="E848" s="253"/>
      <c r="F848" s="254"/>
      <c r="G848" s="253"/>
      <c r="H848" s="257"/>
      <c r="I848" s="209"/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</row>
    <row r="849" spans="1:26" ht="15.75" customHeight="1">
      <c r="A849" s="252"/>
      <c r="B849" s="252"/>
      <c r="C849" s="253"/>
      <c r="D849" s="253"/>
      <c r="E849" s="253"/>
      <c r="F849" s="254"/>
      <c r="G849" s="253"/>
      <c r="H849" s="257"/>
      <c r="I849" s="209"/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</row>
    <row r="850" spans="1:26" ht="15.75" customHeight="1">
      <c r="A850" s="252"/>
      <c r="B850" s="252"/>
      <c r="C850" s="253"/>
      <c r="D850" s="253"/>
      <c r="E850" s="253"/>
      <c r="F850" s="254"/>
      <c r="G850" s="253"/>
      <c r="H850" s="257"/>
      <c r="I850" s="209"/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</row>
    <row r="851" spans="1:26" ht="15.75" customHeight="1">
      <c r="A851" s="252"/>
      <c r="B851" s="252"/>
      <c r="C851" s="253"/>
      <c r="D851" s="253"/>
      <c r="E851" s="253"/>
      <c r="F851" s="254"/>
      <c r="G851" s="253"/>
      <c r="H851" s="257"/>
      <c r="I851" s="209"/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</row>
    <row r="852" spans="1:26" ht="15.75" customHeight="1">
      <c r="A852" s="252"/>
      <c r="B852" s="252"/>
      <c r="C852" s="253"/>
      <c r="D852" s="253"/>
      <c r="E852" s="253"/>
      <c r="F852" s="254"/>
      <c r="G852" s="253"/>
      <c r="H852" s="257"/>
      <c r="I852" s="209"/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</row>
    <row r="853" spans="1:26" ht="15.75" customHeight="1">
      <c r="A853" s="252"/>
      <c r="B853" s="252"/>
      <c r="C853" s="253"/>
      <c r="D853" s="253"/>
      <c r="E853" s="253"/>
      <c r="F853" s="254"/>
      <c r="G853" s="253"/>
      <c r="H853" s="257"/>
      <c r="I853" s="209"/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</row>
    <row r="854" spans="1:26" ht="15.75" customHeight="1">
      <c r="A854" s="252"/>
      <c r="B854" s="252"/>
      <c r="C854" s="253"/>
      <c r="D854" s="253"/>
      <c r="E854" s="253"/>
      <c r="F854" s="254"/>
      <c r="G854" s="253"/>
      <c r="H854" s="257"/>
      <c r="I854" s="209"/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</row>
    <row r="855" spans="1:26" ht="15.75" customHeight="1">
      <c r="A855" s="252"/>
      <c r="B855" s="252"/>
      <c r="C855" s="253"/>
      <c r="D855" s="253"/>
      <c r="E855" s="253"/>
      <c r="F855" s="254"/>
      <c r="G855" s="253"/>
      <c r="H855" s="257"/>
      <c r="I855" s="209"/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</row>
    <row r="856" spans="1:26" ht="15.75" customHeight="1">
      <c r="A856" s="252"/>
      <c r="B856" s="252"/>
      <c r="C856" s="253"/>
      <c r="D856" s="253"/>
      <c r="E856" s="253"/>
      <c r="F856" s="254"/>
      <c r="G856" s="253"/>
      <c r="H856" s="257"/>
      <c r="I856" s="209"/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</row>
    <row r="857" spans="1:26" ht="15.75" customHeight="1">
      <c r="A857" s="252"/>
      <c r="B857" s="252"/>
      <c r="C857" s="253"/>
      <c r="D857" s="253"/>
      <c r="E857" s="253"/>
      <c r="F857" s="254"/>
      <c r="G857" s="253"/>
      <c r="H857" s="257"/>
      <c r="I857" s="209"/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</row>
    <row r="858" spans="1:26" ht="15.75" customHeight="1">
      <c r="A858" s="252"/>
      <c r="B858" s="252"/>
      <c r="C858" s="253"/>
      <c r="D858" s="253"/>
      <c r="E858" s="253"/>
      <c r="F858" s="254"/>
      <c r="G858" s="253"/>
      <c r="H858" s="257"/>
      <c r="I858" s="209"/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</row>
    <row r="859" spans="1:26" ht="15.75" customHeight="1">
      <c r="A859" s="252"/>
      <c r="B859" s="252"/>
      <c r="C859" s="253"/>
      <c r="D859" s="253"/>
      <c r="E859" s="253"/>
      <c r="F859" s="254"/>
      <c r="G859" s="253"/>
      <c r="H859" s="257"/>
      <c r="I859" s="209"/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</row>
    <row r="860" spans="1:26" ht="15.75" customHeight="1">
      <c r="A860" s="252"/>
      <c r="B860" s="252"/>
      <c r="C860" s="253"/>
      <c r="D860" s="253"/>
      <c r="E860" s="253"/>
      <c r="F860" s="254"/>
      <c r="G860" s="253"/>
      <c r="H860" s="257"/>
      <c r="I860" s="209"/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</row>
    <row r="861" spans="1:26" ht="15.75" customHeight="1">
      <c r="A861" s="252"/>
      <c r="B861" s="252"/>
      <c r="C861" s="253"/>
      <c r="D861" s="253"/>
      <c r="E861" s="253"/>
      <c r="F861" s="254"/>
      <c r="G861" s="253"/>
      <c r="H861" s="257"/>
      <c r="I861" s="209"/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</row>
    <row r="862" spans="1:26" ht="15.75" customHeight="1">
      <c r="A862" s="252"/>
      <c r="B862" s="252"/>
      <c r="C862" s="253"/>
      <c r="D862" s="253"/>
      <c r="E862" s="253"/>
      <c r="F862" s="254"/>
      <c r="G862" s="253"/>
      <c r="H862" s="257"/>
      <c r="I862" s="209"/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</row>
    <row r="863" spans="1:26" ht="15.75" customHeight="1">
      <c r="A863" s="252"/>
      <c r="B863" s="252"/>
      <c r="C863" s="253"/>
      <c r="D863" s="253"/>
      <c r="E863" s="253"/>
      <c r="F863" s="254"/>
      <c r="G863" s="253"/>
      <c r="H863" s="257"/>
      <c r="I863" s="209"/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</row>
    <row r="864" spans="1:26" ht="15.75" customHeight="1">
      <c r="A864" s="252"/>
      <c r="B864" s="252"/>
      <c r="C864" s="253"/>
      <c r="D864" s="253"/>
      <c r="E864" s="253"/>
      <c r="F864" s="254"/>
      <c r="G864" s="253"/>
      <c r="H864" s="257"/>
      <c r="I864" s="209"/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</row>
    <row r="865" spans="1:26" ht="15.75" customHeight="1">
      <c r="A865" s="252"/>
      <c r="B865" s="252"/>
      <c r="C865" s="253"/>
      <c r="D865" s="253"/>
      <c r="E865" s="253"/>
      <c r="F865" s="254"/>
      <c r="G865" s="253"/>
      <c r="H865" s="257"/>
      <c r="I865" s="209"/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</row>
    <row r="866" spans="1:26" ht="15.75" customHeight="1">
      <c r="A866" s="252"/>
      <c r="B866" s="252"/>
      <c r="C866" s="253"/>
      <c r="D866" s="253"/>
      <c r="E866" s="253"/>
      <c r="F866" s="254"/>
      <c r="G866" s="253"/>
      <c r="H866" s="257"/>
      <c r="I866" s="209"/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</row>
    <row r="867" spans="1:26" ht="15.75" customHeight="1">
      <c r="A867" s="252"/>
      <c r="B867" s="252"/>
      <c r="C867" s="253"/>
      <c r="D867" s="253"/>
      <c r="E867" s="253"/>
      <c r="F867" s="254"/>
      <c r="G867" s="253"/>
      <c r="H867" s="257"/>
      <c r="I867" s="209"/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</row>
    <row r="868" spans="1:26" ht="15.75" customHeight="1">
      <c r="A868" s="252"/>
      <c r="B868" s="252"/>
      <c r="C868" s="253"/>
      <c r="D868" s="253"/>
      <c r="E868" s="253"/>
      <c r="F868" s="254"/>
      <c r="G868" s="253"/>
      <c r="H868" s="257"/>
      <c r="I868" s="209"/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</row>
    <row r="869" spans="1:26" ht="15.75" customHeight="1">
      <c r="A869" s="252"/>
      <c r="B869" s="252"/>
      <c r="C869" s="253"/>
      <c r="D869" s="253"/>
      <c r="E869" s="253"/>
      <c r="F869" s="254"/>
      <c r="G869" s="253"/>
      <c r="H869" s="257"/>
      <c r="I869" s="209"/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</row>
    <row r="870" spans="1:26" ht="15.75" customHeight="1">
      <c r="A870" s="252"/>
      <c r="B870" s="252"/>
      <c r="C870" s="253"/>
      <c r="D870" s="253"/>
      <c r="E870" s="253"/>
      <c r="F870" s="254"/>
      <c r="G870" s="253"/>
      <c r="H870" s="257"/>
      <c r="I870" s="209"/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</row>
    <row r="871" spans="1:26" ht="15.75" customHeight="1">
      <c r="A871" s="252"/>
      <c r="B871" s="252"/>
      <c r="C871" s="253"/>
      <c r="D871" s="253"/>
      <c r="E871" s="253"/>
      <c r="F871" s="254"/>
      <c r="G871" s="253"/>
      <c r="H871" s="257"/>
      <c r="I871" s="209"/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</row>
    <row r="872" spans="1:26" ht="15.75" customHeight="1">
      <c r="A872" s="252"/>
      <c r="B872" s="252"/>
      <c r="C872" s="253"/>
      <c r="D872" s="253"/>
      <c r="E872" s="253"/>
      <c r="F872" s="254"/>
      <c r="G872" s="253"/>
      <c r="H872" s="257"/>
      <c r="I872" s="209"/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</row>
    <row r="873" spans="1:26" ht="15.75" customHeight="1">
      <c r="A873" s="252"/>
      <c r="B873" s="252"/>
      <c r="C873" s="253"/>
      <c r="D873" s="253"/>
      <c r="E873" s="253"/>
      <c r="F873" s="254"/>
      <c r="G873" s="253"/>
      <c r="H873" s="257"/>
      <c r="I873" s="209"/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</row>
    <row r="874" spans="1:26" ht="15.75" customHeight="1">
      <c r="A874" s="252"/>
      <c r="B874" s="252"/>
      <c r="C874" s="253"/>
      <c r="D874" s="253"/>
      <c r="E874" s="253"/>
      <c r="F874" s="254"/>
      <c r="G874" s="253"/>
      <c r="H874" s="257"/>
      <c r="I874" s="209"/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</row>
    <row r="875" spans="1:26" ht="15.75" customHeight="1">
      <c r="A875" s="252"/>
      <c r="B875" s="252"/>
      <c r="C875" s="253"/>
      <c r="D875" s="253"/>
      <c r="E875" s="253"/>
      <c r="F875" s="254"/>
      <c r="G875" s="253"/>
      <c r="H875" s="257"/>
      <c r="I875" s="209"/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</row>
    <row r="876" spans="1:26" ht="15.75" customHeight="1">
      <c r="A876" s="252"/>
      <c r="B876" s="252"/>
      <c r="C876" s="253"/>
      <c r="D876" s="253"/>
      <c r="E876" s="253"/>
      <c r="F876" s="254"/>
      <c r="G876" s="253"/>
      <c r="H876" s="257"/>
      <c r="I876" s="209"/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</row>
    <row r="877" spans="1:26" ht="15.75" customHeight="1">
      <c r="A877" s="252"/>
      <c r="B877" s="252"/>
      <c r="C877" s="253"/>
      <c r="D877" s="253"/>
      <c r="E877" s="253"/>
      <c r="F877" s="254"/>
      <c r="G877" s="253"/>
      <c r="H877" s="257"/>
      <c r="I877" s="209"/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</row>
    <row r="878" spans="1:26" ht="15.75" customHeight="1">
      <c r="A878" s="252"/>
      <c r="B878" s="252"/>
      <c r="C878" s="253"/>
      <c r="D878" s="253"/>
      <c r="E878" s="253"/>
      <c r="F878" s="254"/>
      <c r="G878" s="253"/>
      <c r="H878" s="257"/>
      <c r="I878" s="209"/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</row>
    <row r="879" spans="1:26" ht="15.75" customHeight="1">
      <c r="A879" s="252"/>
      <c r="B879" s="252"/>
      <c r="C879" s="253"/>
      <c r="D879" s="253"/>
      <c r="E879" s="253"/>
      <c r="F879" s="254"/>
      <c r="G879" s="253"/>
      <c r="H879" s="257"/>
      <c r="I879" s="209"/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</row>
    <row r="880" spans="1:26" ht="15.75" customHeight="1">
      <c r="A880" s="252"/>
      <c r="B880" s="252"/>
      <c r="C880" s="253"/>
      <c r="D880" s="253"/>
      <c r="E880" s="253"/>
      <c r="F880" s="254"/>
      <c r="G880" s="253"/>
      <c r="H880" s="257"/>
      <c r="I880" s="209"/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</row>
    <row r="881" spans="1:26" ht="15.75" customHeight="1">
      <c r="A881" s="252"/>
      <c r="B881" s="252"/>
      <c r="C881" s="253"/>
      <c r="D881" s="253"/>
      <c r="E881" s="253"/>
      <c r="F881" s="254"/>
      <c r="G881" s="253"/>
      <c r="H881" s="257"/>
      <c r="I881" s="209"/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</row>
    <row r="882" spans="1:26" ht="15.75" customHeight="1">
      <c r="A882" s="252"/>
      <c r="B882" s="252"/>
      <c r="C882" s="253"/>
      <c r="D882" s="253"/>
      <c r="E882" s="253"/>
      <c r="F882" s="254"/>
      <c r="G882" s="253"/>
      <c r="H882" s="257"/>
      <c r="I882" s="209"/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</row>
    <row r="883" spans="1:26" ht="15.75" customHeight="1">
      <c r="A883" s="252"/>
      <c r="B883" s="252"/>
      <c r="C883" s="253"/>
      <c r="D883" s="253"/>
      <c r="E883" s="253"/>
      <c r="F883" s="254"/>
      <c r="G883" s="253"/>
      <c r="H883" s="257"/>
      <c r="I883" s="209"/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</row>
    <row r="884" spans="1:26" ht="15.75" customHeight="1">
      <c r="A884" s="252"/>
      <c r="B884" s="252"/>
      <c r="C884" s="253"/>
      <c r="D884" s="253"/>
      <c r="E884" s="253"/>
      <c r="F884" s="254"/>
      <c r="G884" s="253"/>
      <c r="H884" s="257"/>
      <c r="I884" s="209"/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</row>
    <row r="885" spans="1:26" ht="15.75" customHeight="1">
      <c r="A885" s="252"/>
      <c r="B885" s="252"/>
      <c r="C885" s="253"/>
      <c r="D885" s="253"/>
      <c r="E885" s="253"/>
      <c r="F885" s="254"/>
      <c r="G885" s="253"/>
      <c r="H885" s="257"/>
      <c r="I885" s="209"/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</row>
    <row r="886" spans="1:26" ht="15.75" customHeight="1">
      <c r="A886" s="252"/>
      <c r="B886" s="252"/>
      <c r="C886" s="253"/>
      <c r="D886" s="253"/>
      <c r="E886" s="253"/>
      <c r="F886" s="254"/>
      <c r="G886" s="253"/>
      <c r="H886" s="257"/>
      <c r="I886" s="209"/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</row>
    <row r="887" spans="1:26" ht="15.75" customHeight="1">
      <c r="A887" s="252"/>
      <c r="B887" s="252"/>
      <c r="C887" s="253"/>
      <c r="D887" s="253"/>
      <c r="E887" s="253"/>
      <c r="F887" s="254"/>
      <c r="G887" s="253"/>
      <c r="H887" s="257"/>
      <c r="I887" s="209"/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</row>
    <row r="888" spans="1:26" ht="15.75" customHeight="1">
      <c r="A888" s="252"/>
      <c r="B888" s="252"/>
      <c r="C888" s="253"/>
      <c r="D888" s="253"/>
      <c r="E888" s="253"/>
      <c r="F888" s="254"/>
      <c r="G888" s="253"/>
      <c r="H888" s="257"/>
      <c r="I888" s="209"/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</row>
    <row r="889" spans="1:26" ht="15.75" customHeight="1">
      <c r="A889" s="252"/>
      <c r="B889" s="252"/>
      <c r="C889" s="253"/>
      <c r="D889" s="253"/>
      <c r="E889" s="253"/>
      <c r="F889" s="254"/>
      <c r="G889" s="253"/>
      <c r="H889" s="257"/>
      <c r="I889" s="209"/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</row>
    <row r="890" spans="1:26" ht="15.75" customHeight="1">
      <c r="A890" s="252"/>
      <c r="B890" s="252"/>
      <c r="C890" s="253"/>
      <c r="D890" s="253"/>
      <c r="E890" s="253"/>
      <c r="F890" s="254"/>
      <c r="G890" s="253"/>
      <c r="H890" s="257"/>
      <c r="I890" s="209"/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</row>
    <row r="891" spans="1:26" ht="15.75" customHeight="1">
      <c r="A891" s="252"/>
      <c r="B891" s="252"/>
      <c r="C891" s="253"/>
      <c r="D891" s="253"/>
      <c r="E891" s="253"/>
      <c r="F891" s="254"/>
      <c r="G891" s="253"/>
      <c r="H891" s="257"/>
      <c r="I891" s="209"/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</row>
    <row r="892" spans="1:26" ht="15.75" customHeight="1">
      <c r="A892" s="252"/>
      <c r="B892" s="252"/>
      <c r="C892" s="253"/>
      <c r="D892" s="253"/>
      <c r="E892" s="253"/>
      <c r="F892" s="254"/>
      <c r="G892" s="253"/>
      <c r="H892" s="257"/>
      <c r="I892" s="209"/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</row>
    <row r="893" spans="1:26" ht="15.75" customHeight="1">
      <c r="A893" s="252"/>
      <c r="B893" s="252"/>
      <c r="C893" s="253"/>
      <c r="D893" s="253"/>
      <c r="E893" s="253"/>
      <c r="F893" s="254"/>
      <c r="G893" s="253"/>
      <c r="H893" s="257"/>
      <c r="I893" s="209"/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</row>
    <row r="894" spans="1:26" ht="15.75" customHeight="1">
      <c r="A894" s="252"/>
      <c r="B894" s="252"/>
      <c r="C894" s="253"/>
      <c r="D894" s="253"/>
      <c r="E894" s="253"/>
      <c r="F894" s="254"/>
      <c r="G894" s="253"/>
      <c r="H894" s="257"/>
      <c r="I894" s="209"/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</row>
    <row r="895" spans="1:26" ht="15.75" customHeight="1">
      <c r="A895" s="252"/>
      <c r="B895" s="252"/>
      <c r="C895" s="253"/>
      <c r="D895" s="253"/>
      <c r="E895" s="253"/>
      <c r="F895" s="254"/>
      <c r="G895" s="253"/>
      <c r="H895" s="257"/>
      <c r="I895" s="209"/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</row>
    <row r="896" spans="1:26" ht="15.75" customHeight="1">
      <c r="A896" s="252"/>
      <c r="B896" s="252"/>
      <c r="C896" s="253"/>
      <c r="D896" s="253"/>
      <c r="E896" s="253"/>
      <c r="F896" s="254"/>
      <c r="G896" s="253"/>
      <c r="H896" s="257"/>
      <c r="I896" s="209"/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</row>
    <row r="897" spans="1:26" ht="15.75" customHeight="1">
      <c r="A897" s="252"/>
      <c r="B897" s="252"/>
      <c r="C897" s="253"/>
      <c r="D897" s="253"/>
      <c r="E897" s="253"/>
      <c r="F897" s="254"/>
      <c r="G897" s="253"/>
      <c r="H897" s="257"/>
      <c r="I897" s="209"/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</row>
    <row r="898" spans="1:26" ht="15.75" customHeight="1">
      <c r="A898" s="252"/>
      <c r="B898" s="252"/>
      <c r="C898" s="253"/>
      <c r="D898" s="253"/>
      <c r="E898" s="253"/>
      <c r="F898" s="254"/>
      <c r="G898" s="253"/>
      <c r="H898" s="257"/>
      <c r="I898" s="209"/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</row>
    <row r="899" spans="1:26" ht="15.75" customHeight="1">
      <c r="A899" s="252"/>
      <c r="B899" s="252"/>
      <c r="C899" s="253"/>
      <c r="D899" s="253"/>
      <c r="E899" s="253"/>
      <c r="F899" s="254"/>
      <c r="G899" s="253"/>
      <c r="H899" s="257"/>
      <c r="I899" s="209"/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</row>
    <row r="900" spans="1:26" ht="15.75" customHeight="1">
      <c r="A900" s="252"/>
      <c r="B900" s="252"/>
      <c r="C900" s="253"/>
      <c r="D900" s="253"/>
      <c r="E900" s="253"/>
      <c r="F900" s="254"/>
      <c r="G900" s="253"/>
      <c r="H900" s="257"/>
      <c r="I900" s="209"/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</row>
    <row r="901" spans="1:26" ht="15.75" customHeight="1">
      <c r="A901" s="252"/>
      <c r="B901" s="252"/>
      <c r="C901" s="253"/>
      <c r="D901" s="253"/>
      <c r="E901" s="253"/>
      <c r="F901" s="254"/>
      <c r="G901" s="253"/>
      <c r="H901" s="257"/>
      <c r="I901" s="209"/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</row>
    <row r="902" spans="1:26" ht="15.75" customHeight="1">
      <c r="A902" s="252"/>
      <c r="B902" s="252"/>
      <c r="C902" s="253"/>
      <c r="D902" s="253"/>
      <c r="E902" s="253"/>
      <c r="F902" s="254"/>
      <c r="G902" s="253"/>
      <c r="H902" s="257"/>
      <c r="I902" s="209"/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</row>
    <row r="903" spans="1:26" ht="15.75" customHeight="1">
      <c r="A903" s="252"/>
      <c r="B903" s="252"/>
      <c r="C903" s="253"/>
      <c r="D903" s="253"/>
      <c r="E903" s="253"/>
      <c r="F903" s="254"/>
      <c r="G903" s="253"/>
      <c r="H903" s="257"/>
      <c r="I903" s="209"/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</row>
    <row r="904" spans="1:26" ht="15.75" customHeight="1">
      <c r="A904" s="252"/>
      <c r="B904" s="252"/>
      <c r="C904" s="253"/>
      <c r="D904" s="253"/>
      <c r="E904" s="253"/>
      <c r="F904" s="254"/>
      <c r="G904" s="253"/>
      <c r="H904" s="257"/>
      <c r="I904" s="209"/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</row>
    <row r="905" spans="1:26" ht="15.75" customHeight="1">
      <c r="A905" s="252"/>
      <c r="B905" s="252"/>
      <c r="C905" s="253"/>
      <c r="D905" s="253"/>
      <c r="E905" s="253"/>
      <c r="F905" s="254"/>
      <c r="G905" s="253"/>
      <c r="H905" s="257"/>
      <c r="I905" s="209"/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</row>
    <row r="906" spans="1:26" ht="15.75" customHeight="1">
      <c r="A906" s="252"/>
      <c r="B906" s="252"/>
      <c r="C906" s="253"/>
      <c r="D906" s="253"/>
      <c r="E906" s="253"/>
      <c r="F906" s="254"/>
      <c r="G906" s="253"/>
      <c r="H906" s="257"/>
      <c r="I906" s="209"/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</row>
    <row r="907" spans="1:26" ht="15.75" customHeight="1">
      <c r="A907" s="252"/>
      <c r="B907" s="252"/>
      <c r="C907" s="253"/>
      <c r="D907" s="253"/>
      <c r="E907" s="253"/>
      <c r="F907" s="254"/>
      <c r="G907" s="253"/>
      <c r="H907" s="257"/>
      <c r="I907" s="209"/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</row>
    <row r="908" spans="1:26" ht="15.75" customHeight="1">
      <c r="A908" s="252"/>
      <c r="B908" s="252"/>
      <c r="C908" s="253"/>
      <c r="D908" s="253"/>
      <c r="E908" s="253"/>
      <c r="F908" s="254"/>
      <c r="G908" s="253"/>
      <c r="H908" s="257"/>
      <c r="I908" s="209"/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</row>
    <row r="909" spans="1:26" ht="15.75" customHeight="1">
      <c r="A909" s="252"/>
      <c r="B909" s="252"/>
      <c r="C909" s="253"/>
      <c r="D909" s="253"/>
      <c r="E909" s="253"/>
      <c r="F909" s="254"/>
      <c r="G909" s="253"/>
      <c r="H909" s="257"/>
      <c r="I909" s="209"/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</row>
    <row r="910" spans="1:26" ht="15.75" customHeight="1">
      <c r="A910" s="252"/>
      <c r="B910" s="252"/>
      <c r="C910" s="253"/>
      <c r="D910" s="253"/>
      <c r="E910" s="253"/>
      <c r="F910" s="254"/>
      <c r="G910" s="253"/>
      <c r="H910" s="257"/>
      <c r="I910" s="209"/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</row>
    <row r="911" spans="1:26" ht="15.75" customHeight="1">
      <c r="A911" s="252"/>
      <c r="B911" s="252"/>
      <c r="C911" s="253"/>
      <c r="D911" s="253"/>
      <c r="E911" s="253"/>
      <c r="F911" s="254"/>
      <c r="G911" s="253"/>
      <c r="H911" s="257"/>
      <c r="I911" s="209"/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</row>
    <row r="912" spans="1:26" ht="15.75" customHeight="1">
      <c r="A912" s="252"/>
      <c r="B912" s="252"/>
      <c r="C912" s="253"/>
      <c r="D912" s="253"/>
      <c r="E912" s="253"/>
      <c r="F912" s="254"/>
      <c r="G912" s="253"/>
      <c r="H912" s="257"/>
      <c r="I912" s="209"/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</row>
    <row r="913" spans="1:26" ht="15.75" customHeight="1">
      <c r="A913" s="252"/>
      <c r="B913" s="252"/>
      <c r="C913" s="253"/>
      <c r="D913" s="253"/>
      <c r="E913" s="253"/>
      <c r="F913" s="254"/>
      <c r="G913" s="253"/>
      <c r="H913" s="257"/>
      <c r="I913" s="209"/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</row>
    <row r="914" spans="1:26" ht="15.75" customHeight="1">
      <c r="A914" s="252"/>
      <c r="B914" s="252"/>
      <c r="C914" s="253"/>
      <c r="D914" s="253"/>
      <c r="E914" s="253"/>
      <c r="F914" s="254"/>
      <c r="G914" s="253"/>
      <c r="H914" s="257"/>
      <c r="I914" s="209"/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</row>
    <row r="915" spans="1:26" ht="15.75" customHeight="1">
      <c r="A915" s="252"/>
      <c r="B915" s="252"/>
      <c r="C915" s="253"/>
      <c r="D915" s="253"/>
      <c r="E915" s="253"/>
      <c r="F915" s="254"/>
      <c r="G915" s="253"/>
      <c r="H915" s="257"/>
      <c r="I915" s="209"/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</row>
    <row r="916" spans="1:26" ht="15.75" customHeight="1">
      <c r="A916" s="252"/>
      <c r="B916" s="252"/>
      <c r="C916" s="253"/>
      <c r="D916" s="253"/>
      <c r="E916" s="253"/>
      <c r="F916" s="254"/>
      <c r="G916" s="253"/>
      <c r="H916" s="257"/>
      <c r="I916" s="209"/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</row>
    <row r="917" spans="1:26" ht="15.75" customHeight="1">
      <c r="A917" s="252"/>
      <c r="B917" s="252"/>
      <c r="C917" s="253"/>
      <c r="D917" s="253"/>
      <c r="E917" s="253"/>
      <c r="F917" s="254"/>
      <c r="G917" s="253"/>
      <c r="H917" s="257"/>
      <c r="I917" s="209"/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</row>
    <row r="918" spans="1:26" ht="15.75" customHeight="1">
      <c r="A918" s="252"/>
      <c r="B918" s="252"/>
      <c r="C918" s="253"/>
      <c r="D918" s="253"/>
      <c r="E918" s="253"/>
      <c r="F918" s="254"/>
      <c r="G918" s="253"/>
      <c r="H918" s="257"/>
      <c r="I918" s="209"/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</row>
    <row r="919" spans="1:26" ht="15.75" customHeight="1">
      <c r="A919" s="252"/>
      <c r="B919" s="252"/>
      <c r="C919" s="253"/>
      <c r="D919" s="253"/>
      <c r="E919" s="253"/>
      <c r="F919" s="254"/>
      <c r="G919" s="253"/>
      <c r="H919" s="257"/>
      <c r="I919" s="209"/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</row>
    <row r="920" spans="1:26" ht="15.75" customHeight="1">
      <c r="A920" s="252"/>
      <c r="B920" s="252"/>
      <c r="C920" s="253"/>
      <c r="D920" s="253"/>
      <c r="E920" s="253"/>
      <c r="F920" s="254"/>
      <c r="G920" s="253"/>
      <c r="H920" s="257"/>
      <c r="I920" s="209"/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</row>
    <row r="921" spans="1:26" ht="15.75" customHeight="1">
      <c r="A921" s="252"/>
      <c r="B921" s="252"/>
      <c r="C921" s="253"/>
      <c r="D921" s="253"/>
      <c r="E921" s="253"/>
      <c r="F921" s="254"/>
      <c r="G921" s="253"/>
      <c r="H921" s="257"/>
      <c r="I921" s="209"/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</row>
    <row r="922" spans="1:26" ht="15.75" customHeight="1">
      <c r="A922" s="252"/>
      <c r="B922" s="252"/>
      <c r="C922" s="253"/>
      <c r="D922" s="253"/>
      <c r="E922" s="253"/>
      <c r="F922" s="254"/>
      <c r="G922" s="253"/>
      <c r="H922" s="257"/>
      <c r="I922" s="209"/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</row>
    <row r="923" spans="1:26" ht="15.75" customHeight="1">
      <c r="A923" s="252"/>
      <c r="B923" s="252"/>
      <c r="C923" s="253"/>
      <c r="D923" s="253"/>
      <c r="E923" s="253"/>
      <c r="F923" s="254"/>
      <c r="G923" s="253"/>
      <c r="H923" s="257"/>
      <c r="I923" s="209"/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</row>
    <row r="924" spans="1:26" ht="15.75" customHeight="1">
      <c r="A924" s="252"/>
      <c r="B924" s="252"/>
      <c r="C924" s="253"/>
      <c r="D924" s="253"/>
      <c r="E924" s="253"/>
      <c r="F924" s="254"/>
      <c r="G924" s="253"/>
      <c r="H924" s="257"/>
      <c r="I924" s="209"/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</row>
    <row r="925" spans="1:26" ht="15.75" customHeight="1">
      <c r="A925" s="252"/>
      <c r="B925" s="252"/>
      <c r="C925" s="253"/>
      <c r="D925" s="253"/>
      <c r="E925" s="253"/>
      <c r="F925" s="254"/>
      <c r="G925" s="253"/>
      <c r="H925" s="257"/>
      <c r="I925" s="209"/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</row>
    <row r="926" spans="1:26" ht="15.75" customHeight="1">
      <c r="A926" s="252"/>
      <c r="B926" s="252"/>
      <c r="C926" s="253"/>
      <c r="D926" s="253"/>
      <c r="E926" s="253"/>
      <c r="F926" s="254"/>
      <c r="G926" s="253"/>
      <c r="H926" s="257"/>
      <c r="I926" s="209"/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</row>
    <row r="927" spans="1:26" ht="15.75" customHeight="1">
      <c r="A927" s="252"/>
      <c r="B927" s="252"/>
      <c r="C927" s="253"/>
      <c r="D927" s="253"/>
      <c r="E927" s="253"/>
      <c r="F927" s="254"/>
      <c r="G927" s="253"/>
      <c r="H927" s="257"/>
      <c r="I927" s="209"/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</row>
    <row r="928" spans="1:26" ht="15.75" customHeight="1">
      <c r="A928" s="252"/>
      <c r="B928" s="252"/>
      <c r="C928" s="253"/>
      <c r="D928" s="253"/>
      <c r="E928" s="253"/>
      <c r="F928" s="254"/>
      <c r="G928" s="253"/>
      <c r="H928" s="257"/>
      <c r="I928" s="209"/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</row>
    <row r="929" spans="1:26" ht="15.75" customHeight="1">
      <c r="A929" s="252"/>
      <c r="B929" s="252"/>
      <c r="C929" s="253"/>
      <c r="D929" s="253"/>
      <c r="E929" s="253"/>
      <c r="F929" s="254"/>
      <c r="G929" s="253"/>
      <c r="H929" s="257"/>
      <c r="I929" s="209"/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</row>
    <row r="930" spans="1:26" ht="15.75" customHeight="1">
      <c r="A930" s="252"/>
      <c r="B930" s="252"/>
      <c r="C930" s="253"/>
      <c r="D930" s="253"/>
      <c r="E930" s="253"/>
      <c r="F930" s="254"/>
      <c r="G930" s="253"/>
      <c r="H930" s="257"/>
      <c r="I930" s="209"/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</row>
    <row r="931" spans="1:26" ht="15.75" customHeight="1">
      <c r="A931" s="252"/>
      <c r="B931" s="252"/>
      <c r="C931" s="253"/>
      <c r="D931" s="253"/>
      <c r="E931" s="253"/>
      <c r="F931" s="254"/>
      <c r="G931" s="253"/>
      <c r="H931" s="257"/>
      <c r="I931" s="209"/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</row>
    <row r="932" spans="1:26" ht="15.75" customHeight="1">
      <c r="A932" s="252"/>
      <c r="B932" s="252"/>
      <c r="C932" s="253"/>
      <c r="D932" s="253"/>
      <c r="E932" s="253"/>
      <c r="F932" s="254"/>
      <c r="G932" s="253"/>
      <c r="H932" s="257"/>
      <c r="I932" s="209"/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</row>
    <row r="933" spans="1:26" ht="15.75" customHeight="1">
      <c r="A933" s="252"/>
      <c r="B933" s="252"/>
      <c r="C933" s="253"/>
      <c r="D933" s="253"/>
      <c r="E933" s="253"/>
      <c r="F933" s="254"/>
      <c r="G933" s="253"/>
      <c r="H933" s="257"/>
      <c r="I933" s="209"/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</row>
    <row r="934" spans="1:26" ht="15.75" customHeight="1">
      <c r="A934" s="252"/>
      <c r="B934" s="252"/>
      <c r="C934" s="253"/>
      <c r="D934" s="253"/>
      <c r="E934" s="253"/>
      <c r="F934" s="254"/>
      <c r="G934" s="253"/>
      <c r="H934" s="257"/>
      <c r="I934" s="209"/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</row>
    <row r="935" spans="1:26" ht="15.75" customHeight="1">
      <c r="A935" s="252"/>
      <c r="B935" s="252"/>
      <c r="C935" s="253"/>
      <c r="D935" s="253"/>
      <c r="E935" s="253"/>
      <c r="F935" s="254"/>
      <c r="G935" s="253"/>
      <c r="H935" s="257"/>
      <c r="I935" s="209"/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</row>
    <row r="936" spans="1:26" ht="15.75" customHeight="1">
      <c r="A936" s="252"/>
      <c r="B936" s="252"/>
      <c r="C936" s="253"/>
      <c r="D936" s="253"/>
      <c r="E936" s="253"/>
      <c r="F936" s="254"/>
      <c r="G936" s="253"/>
      <c r="H936" s="257"/>
      <c r="I936" s="209"/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</row>
    <row r="937" spans="1:26" ht="15.75" customHeight="1">
      <c r="A937" s="252"/>
      <c r="B937" s="252"/>
      <c r="C937" s="253"/>
      <c r="D937" s="253"/>
      <c r="E937" s="253"/>
      <c r="F937" s="254"/>
      <c r="G937" s="253"/>
      <c r="H937" s="257"/>
      <c r="I937" s="209"/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</row>
    <row r="938" spans="1:26" ht="15.75" customHeight="1">
      <c r="A938" s="252"/>
      <c r="B938" s="252"/>
      <c r="C938" s="253"/>
      <c r="D938" s="253"/>
      <c r="E938" s="253"/>
      <c r="F938" s="254"/>
      <c r="G938" s="253"/>
      <c r="H938" s="257"/>
      <c r="I938" s="209"/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</row>
    <row r="939" spans="1:26" ht="15.75" customHeight="1">
      <c r="A939" s="252"/>
      <c r="B939" s="252"/>
      <c r="C939" s="253"/>
      <c r="D939" s="253"/>
      <c r="E939" s="253"/>
      <c r="F939" s="254"/>
      <c r="G939" s="253"/>
      <c r="H939" s="257"/>
      <c r="I939" s="209"/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</row>
    <row r="940" spans="1:26" ht="15.75" customHeight="1">
      <c r="A940" s="252"/>
      <c r="B940" s="252"/>
      <c r="C940" s="253"/>
      <c r="D940" s="253"/>
      <c r="E940" s="253"/>
      <c r="F940" s="254"/>
      <c r="G940" s="253"/>
      <c r="H940" s="257"/>
      <c r="I940" s="209"/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</row>
    <row r="941" spans="1:26" ht="15.75" customHeight="1">
      <c r="A941" s="252"/>
      <c r="B941" s="252"/>
      <c r="C941" s="253"/>
      <c r="D941" s="253"/>
      <c r="E941" s="253"/>
      <c r="F941" s="254"/>
      <c r="G941" s="253"/>
      <c r="H941" s="257"/>
      <c r="I941" s="209"/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</row>
    <row r="942" spans="1:26" ht="15.75" customHeight="1">
      <c r="A942" s="252"/>
      <c r="B942" s="252"/>
      <c r="C942" s="253"/>
      <c r="D942" s="253"/>
      <c r="E942" s="253"/>
      <c r="F942" s="254"/>
      <c r="G942" s="253"/>
      <c r="H942" s="257"/>
      <c r="I942" s="209"/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</row>
    <row r="943" spans="1:26" ht="15.75" customHeight="1">
      <c r="A943" s="252"/>
      <c r="B943" s="252"/>
      <c r="C943" s="253"/>
      <c r="D943" s="253"/>
      <c r="E943" s="253"/>
      <c r="F943" s="254"/>
      <c r="G943" s="253"/>
      <c r="H943" s="257"/>
      <c r="I943" s="209"/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</row>
    <row r="944" spans="1:26" ht="15.75" customHeight="1">
      <c r="A944" s="252"/>
      <c r="B944" s="252"/>
      <c r="C944" s="253"/>
      <c r="D944" s="253"/>
      <c r="E944" s="253"/>
      <c r="F944" s="254"/>
      <c r="G944" s="253"/>
      <c r="H944" s="257"/>
      <c r="I944" s="209"/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</row>
    <row r="945" spans="1:26" ht="15.75" customHeight="1">
      <c r="A945" s="252"/>
      <c r="B945" s="252"/>
      <c r="C945" s="253"/>
      <c r="D945" s="253"/>
      <c r="E945" s="253"/>
      <c r="F945" s="254"/>
      <c r="G945" s="253"/>
      <c r="H945" s="257"/>
      <c r="I945" s="209"/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</row>
    <row r="946" spans="1:26" ht="15.75" customHeight="1">
      <c r="A946" s="252"/>
      <c r="B946" s="252"/>
      <c r="C946" s="253"/>
      <c r="D946" s="253"/>
      <c r="E946" s="253"/>
      <c r="F946" s="254"/>
      <c r="G946" s="253"/>
      <c r="H946" s="257"/>
      <c r="I946" s="209"/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</row>
    <row r="947" spans="1:26" ht="15.75" customHeight="1">
      <c r="A947" s="252"/>
      <c r="B947" s="252"/>
      <c r="C947" s="253"/>
      <c r="D947" s="253"/>
      <c r="E947" s="253"/>
      <c r="F947" s="254"/>
      <c r="G947" s="253"/>
      <c r="H947" s="257"/>
      <c r="I947" s="209"/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</row>
    <row r="948" spans="1:26" ht="15.75" customHeight="1">
      <c r="A948" s="252"/>
      <c r="B948" s="252"/>
      <c r="C948" s="253"/>
      <c r="D948" s="253"/>
      <c r="E948" s="253"/>
      <c r="F948" s="254"/>
      <c r="G948" s="253"/>
      <c r="H948" s="257"/>
      <c r="I948" s="209"/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</row>
    <row r="949" spans="1:26" ht="15.75" customHeight="1">
      <c r="A949" s="252"/>
      <c r="B949" s="252"/>
      <c r="C949" s="253"/>
      <c r="D949" s="253"/>
      <c r="E949" s="253"/>
      <c r="F949" s="254"/>
      <c r="G949" s="253"/>
      <c r="H949" s="257"/>
      <c r="I949" s="209"/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</row>
    <row r="950" spans="1:26" ht="15.75" customHeight="1">
      <c r="A950" s="252"/>
      <c r="B950" s="252"/>
      <c r="C950" s="253"/>
      <c r="D950" s="253"/>
      <c r="E950" s="253"/>
      <c r="F950" s="254"/>
      <c r="G950" s="253"/>
      <c r="H950" s="257"/>
      <c r="I950" s="209"/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</row>
    <row r="951" spans="1:26" ht="15.75" customHeight="1">
      <c r="A951" s="252"/>
      <c r="B951" s="252"/>
      <c r="C951" s="253"/>
      <c r="D951" s="253"/>
      <c r="E951" s="253"/>
      <c r="F951" s="254"/>
      <c r="G951" s="253"/>
      <c r="H951" s="257"/>
      <c r="I951" s="209"/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</row>
    <row r="952" spans="1:26" ht="15.75" customHeight="1">
      <c r="A952" s="252"/>
      <c r="B952" s="252"/>
      <c r="C952" s="253"/>
      <c r="D952" s="253"/>
      <c r="E952" s="253"/>
      <c r="F952" s="254"/>
      <c r="G952" s="253"/>
      <c r="H952" s="257"/>
      <c r="I952" s="209"/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</row>
    <row r="953" spans="1:26" ht="15.75" customHeight="1">
      <c r="A953" s="252"/>
      <c r="B953" s="252"/>
      <c r="C953" s="253"/>
      <c r="D953" s="253"/>
      <c r="E953" s="253"/>
      <c r="F953" s="254"/>
      <c r="G953" s="253"/>
      <c r="H953" s="257"/>
      <c r="I953" s="209"/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</row>
    <row r="954" spans="1:26" ht="15.75" customHeight="1">
      <c r="A954" s="252"/>
      <c r="B954" s="252"/>
      <c r="C954" s="253"/>
      <c r="D954" s="253"/>
      <c r="E954" s="253"/>
      <c r="F954" s="254"/>
      <c r="G954" s="253"/>
      <c r="H954" s="257"/>
      <c r="I954" s="209"/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</row>
    <row r="955" spans="1:26" ht="15.75" customHeight="1">
      <c r="A955" s="252"/>
      <c r="B955" s="252"/>
      <c r="C955" s="253"/>
      <c r="D955" s="253"/>
      <c r="E955" s="253"/>
      <c r="F955" s="254"/>
      <c r="G955" s="253"/>
      <c r="H955" s="257"/>
      <c r="I955" s="209"/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</row>
    <row r="956" spans="1:26" ht="15.75" customHeight="1">
      <c r="A956" s="252"/>
      <c r="B956" s="252"/>
      <c r="C956" s="253"/>
      <c r="D956" s="253"/>
      <c r="E956" s="253"/>
      <c r="F956" s="254"/>
      <c r="G956" s="253"/>
      <c r="H956" s="257"/>
      <c r="I956" s="209"/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</row>
    <row r="957" spans="1:26" ht="15.75" customHeight="1">
      <c r="A957" s="252"/>
      <c r="B957" s="252"/>
      <c r="C957" s="253"/>
      <c r="D957" s="253"/>
      <c r="E957" s="253"/>
      <c r="F957" s="254"/>
      <c r="G957" s="253"/>
      <c r="H957" s="257"/>
      <c r="I957" s="209"/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</row>
    <row r="958" spans="1:26" ht="15.75" customHeight="1">
      <c r="A958" s="252"/>
      <c r="B958" s="252"/>
      <c r="C958" s="253"/>
      <c r="D958" s="253"/>
      <c r="E958" s="253"/>
      <c r="F958" s="254"/>
      <c r="G958" s="253"/>
      <c r="H958" s="257"/>
      <c r="I958" s="209"/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</row>
    <row r="959" spans="1:26" ht="15.75" customHeight="1">
      <c r="A959" s="252"/>
      <c r="B959" s="252"/>
      <c r="C959" s="253"/>
      <c r="D959" s="253"/>
      <c r="E959" s="253"/>
      <c r="F959" s="254"/>
      <c r="G959" s="253"/>
      <c r="H959" s="257"/>
      <c r="I959" s="209"/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</row>
    <row r="960" spans="1:26" ht="15.75" customHeight="1">
      <c r="A960" s="252"/>
      <c r="B960" s="252"/>
      <c r="C960" s="253"/>
      <c r="D960" s="253"/>
      <c r="E960" s="253"/>
      <c r="F960" s="254"/>
      <c r="G960" s="253"/>
      <c r="H960" s="257"/>
      <c r="I960" s="209"/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</row>
    <row r="961" spans="1:26" ht="15.75" customHeight="1">
      <c r="A961" s="252"/>
      <c r="B961" s="252"/>
      <c r="C961" s="253"/>
      <c r="D961" s="253"/>
      <c r="E961" s="253"/>
      <c r="F961" s="254"/>
      <c r="G961" s="253"/>
      <c r="H961" s="257"/>
      <c r="I961" s="209"/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</row>
    <row r="962" spans="1:26" ht="15.75" customHeight="1">
      <c r="A962" s="252"/>
      <c r="B962" s="252"/>
      <c r="C962" s="253"/>
      <c r="D962" s="253"/>
      <c r="E962" s="253"/>
      <c r="F962" s="254"/>
      <c r="G962" s="253"/>
      <c r="H962" s="257"/>
      <c r="I962" s="209"/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</row>
    <row r="963" spans="1:26" ht="15.75" customHeight="1">
      <c r="A963" s="252"/>
      <c r="B963" s="252"/>
      <c r="C963" s="253"/>
      <c r="D963" s="253"/>
      <c r="E963" s="253"/>
      <c r="F963" s="254"/>
      <c r="G963" s="253"/>
      <c r="H963" s="257"/>
      <c r="I963" s="209"/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</row>
    <row r="964" spans="1:26" ht="15.75" customHeight="1">
      <c r="A964" s="252"/>
      <c r="B964" s="252"/>
      <c r="C964" s="253"/>
      <c r="D964" s="253"/>
      <c r="E964" s="253"/>
      <c r="F964" s="254"/>
      <c r="G964" s="253"/>
      <c r="H964" s="257"/>
      <c r="I964" s="209"/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</row>
    <row r="965" spans="1:26" ht="15.75" customHeight="1">
      <c r="A965" s="252"/>
      <c r="B965" s="252"/>
      <c r="C965" s="253"/>
      <c r="D965" s="253"/>
      <c r="E965" s="253"/>
      <c r="F965" s="254"/>
      <c r="G965" s="253"/>
      <c r="H965" s="257"/>
      <c r="I965" s="209"/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</row>
    <row r="966" spans="1:26" ht="15.75" customHeight="1">
      <c r="A966" s="252"/>
      <c r="B966" s="252"/>
      <c r="C966" s="253"/>
      <c r="D966" s="253"/>
      <c r="E966" s="253"/>
      <c r="F966" s="254"/>
      <c r="G966" s="253"/>
      <c r="H966" s="257"/>
      <c r="I966" s="209"/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</row>
    <row r="967" spans="1:26" ht="15.75" customHeight="1">
      <c r="A967" s="252"/>
      <c r="B967" s="252"/>
      <c r="C967" s="253"/>
      <c r="D967" s="253"/>
      <c r="E967" s="253"/>
      <c r="F967" s="254"/>
      <c r="G967" s="253"/>
      <c r="H967" s="257"/>
      <c r="I967" s="209"/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</row>
    <row r="968" spans="1:26" ht="15.75" customHeight="1">
      <c r="A968" s="252"/>
      <c r="B968" s="252"/>
      <c r="C968" s="253"/>
      <c r="D968" s="253"/>
      <c r="E968" s="253"/>
      <c r="F968" s="254"/>
      <c r="G968" s="253"/>
      <c r="H968" s="257"/>
      <c r="I968" s="209"/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</row>
    <row r="969" spans="1:26" ht="15.75" customHeight="1">
      <c r="A969" s="252"/>
      <c r="B969" s="252"/>
      <c r="C969" s="253"/>
      <c r="D969" s="253"/>
      <c r="E969" s="253"/>
      <c r="F969" s="254"/>
      <c r="G969" s="253"/>
      <c r="H969" s="257"/>
      <c r="I969" s="209"/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</row>
    <row r="970" spans="1:26" ht="15.75" customHeight="1">
      <c r="A970" s="252"/>
      <c r="B970" s="252"/>
      <c r="C970" s="253"/>
      <c r="D970" s="253"/>
      <c r="E970" s="253"/>
      <c r="F970" s="254"/>
      <c r="G970" s="253"/>
      <c r="H970" s="257"/>
      <c r="I970" s="209"/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</row>
    <row r="971" spans="1:26" ht="15.75" customHeight="1">
      <c r="A971" s="252"/>
      <c r="B971" s="252"/>
      <c r="C971" s="253"/>
      <c r="D971" s="253"/>
      <c r="E971" s="253"/>
      <c r="F971" s="254"/>
      <c r="G971" s="253"/>
      <c r="H971" s="257"/>
      <c r="I971" s="209"/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</row>
    <row r="972" spans="1:26" ht="15.75" customHeight="1">
      <c r="A972" s="252"/>
      <c r="B972" s="252"/>
      <c r="C972" s="253"/>
      <c r="D972" s="253"/>
      <c r="E972" s="253"/>
      <c r="F972" s="254"/>
      <c r="G972" s="253"/>
      <c r="H972" s="257"/>
      <c r="I972" s="209"/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</row>
    <row r="973" spans="1:26" ht="15.75" customHeight="1">
      <c r="A973" s="252"/>
      <c r="B973" s="252"/>
      <c r="C973" s="253"/>
      <c r="D973" s="253"/>
      <c r="E973" s="253"/>
      <c r="F973" s="254"/>
      <c r="G973" s="253"/>
      <c r="H973" s="257"/>
      <c r="I973" s="209"/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</row>
    <row r="974" spans="1:26" ht="15.75" customHeight="1">
      <c r="A974" s="252"/>
      <c r="B974" s="252"/>
      <c r="C974" s="253"/>
      <c r="D974" s="253"/>
      <c r="E974" s="253"/>
      <c r="F974" s="254"/>
      <c r="G974" s="253"/>
      <c r="H974" s="257"/>
      <c r="I974" s="209"/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</row>
    <row r="975" spans="1:26" ht="15.75" customHeight="1">
      <c r="A975" s="252"/>
      <c r="B975" s="252"/>
      <c r="C975" s="253"/>
      <c r="D975" s="253"/>
      <c r="E975" s="253"/>
      <c r="F975" s="254"/>
      <c r="G975" s="253"/>
      <c r="H975" s="257"/>
      <c r="I975" s="209"/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</row>
    <row r="976" spans="1:26" ht="15.75" customHeight="1">
      <c r="A976" s="252"/>
      <c r="B976" s="252"/>
      <c r="C976" s="253"/>
      <c r="D976" s="253"/>
      <c r="E976" s="253"/>
      <c r="F976" s="254"/>
      <c r="G976" s="253"/>
      <c r="H976" s="257"/>
      <c r="I976" s="209"/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</row>
    <row r="977" spans="1:26" ht="15.75" customHeight="1">
      <c r="A977" s="252"/>
      <c r="B977" s="252"/>
      <c r="C977" s="253"/>
      <c r="D977" s="253"/>
      <c r="E977" s="253"/>
      <c r="F977" s="254"/>
      <c r="G977" s="253"/>
      <c r="H977" s="257"/>
      <c r="I977" s="209"/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</row>
    <row r="978" spans="1:26" ht="15.75" customHeight="1">
      <c r="A978" s="252"/>
      <c r="B978" s="252"/>
      <c r="C978" s="253"/>
      <c r="D978" s="253"/>
      <c r="E978" s="253"/>
      <c r="F978" s="254"/>
      <c r="G978" s="253"/>
      <c r="H978" s="257"/>
      <c r="I978" s="209"/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</row>
    <row r="979" spans="1:26" ht="15.75" customHeight="1">
      <c r="A979" s="252"/>
      <c r="B979" s="252"/>
      <c r="C979" s="253"/>
      <c r="D979" s="253"/>
      <c r="E979" s="253"/>
      <c r="F979" s="254"/>
      <c r="G979" s="253"/>
      <c r="H979" s="257"/>
      <c r="I979" s="209"/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</row>
    <row r="980" spans="1:26" ht="15.75" customHeight="1">
      <c r="A980" s="252"/>
      <c r="B980" s="252"/>
      <c r="C980" s="253"/>
      <c r="D980" s="253"/>
      <c r="E980" s="253"/>
      <c r="F980" s="254"/>
      <c r="G980" s="253"/>
      <c r="H980" s="257"/>
      <c r="I980" s="209"/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</row>
    <row r="981" spans="1:26" ht="15.75" customHeight="1">
      <c r="A981" s="252"/>
      <c r="B981" s="252"/>
      <c r="C981" s="253"/>
      <c r="D981" s="253"/>
      <c r="E981" s="253"/>
      <c r="F981" s="254"/>
      <c r="G981" s="253"/>
      <c r="H981" s="257"/>
      <c r="I981" s="209"/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</row>
    <row r="982" spans="1:26" ht="15.75" customHeight="1">
      <c r="A982" s="252"/>
      <c r="B982" s="252"/>
      <c r="C982" s="253"/>
      <c r="D982" s="253"/>
      <c r="E982" s="253"/>
      <c r="F982" s="254"/>
      <c r="G982" s="253"/>
      <c r="H982" s="257"/>
      <c r="I982" s="209"/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</row>
    <row r="983" spans="1:26" ht="15.75" customHeight="1">
      <c r="A983" s="252"/>
      <c r="B983" s="252"/>
      <c r="C983" s="253"/>
      <c r="D983" s="253"/>
      <c r="E983" s="253"/>
      <c r="F983" s="254"/>
      <c r="G983" s="253"/>
      <c r="H983" s="257"/>
      <c r="I983" s="209"/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</row>
    <row r="984" spans="1:26" ht="15.75" customHeight="1">
      <c r="A984" s="252"/>
      <c r="B984" s="252"/>
      <c r="C984" s="253"/>
      <c r="D984" s="253"/>
      <c r="E984" s="253"/>
      <c r="F984" s="254"/>
      <c r="G984" s="253"/>
      <c r="H984" s="257"/>
      <c r="I984" s="209"/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</row>
    <row r="985" spans="1:26" ht="15.75" customHeight="1">
      <c r="A985" s="252"/>
      <c r="B985" s="252"/>
      <c r="C985" s="253"/>
      <c r="D985" s="253"/>
      <c r="E985" s="253"/>
      <c r="F985" s="254"/>
      <c r="G985" s="253"/>
      <c r="H985" s="257"/>
      <c r="I985" s="209"/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</row>
    <row r="986" spans="1:26" ht="15.75" customHeight="1">
      <c r="A986" s="252"/>
      <c r="B986" s="252"/>
      <c r="C986" s="253"/>
      <c r="D986" s="253"/>
      <c r="E986" s="253"/>
      <c r="F986" s="254"/>
      <c r="G986" s="253"/>
      <c r="H986" s="257"/>
      <c r="I986" s="209"/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</row>
    <row r="987" spans="1:26" ht="15.75" customHeight="1">
      <c r="A987" s="252"/>
      <c r="B987" s="252"/>
      <c r="C987" s="253"/>
      <c r="D987" s="253"/>
      <c r="E987" s="253"/>
      <c r="F987" s="254"/>
      <c r="G987" s="253"/>
      <c r="H987" s="257"/>
      <c r="I987" s="209"/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</row>
    <row r="988" spans="1:26" ht="15.75" customHeight="1">
      <c r="A988" s="252"/>
      <c r="B988" s="252"/>
      <c r="C988" s="253"/>
      <c r="D988" s="253"/>
      <c r="E988" s="253"/>
      <c r="F988" s="254"/>
      <c r="G988" s="253"/>
      <c r="H988" s="257"/>
      <c r="I988" s="209"/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</row>
    <row r="989" spans="1:26" ht="15.75" customHeight="1">
      <c r="A989" s="252"/>
      <c r="B989" s="252"/>
      <c r="C989" s="253"/>
      <c r="D989" s="253"/>
      <c r="E989" s="253"/>
      <c r="F989" s="254"/>
      <c r="G989" s="253"/>
      <c r="H989" s="257"/>
      <c r="I989" s="209"/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</row>
    <row r="990" spans="1:26" ht="15.75" customHeight="1">
      <c r="A990" s="252"/>
      <c r="B990" s="252"/>
      <c r="C990" s="253"/>
      <c r="D990" s="253"/>
      <c r="E990" s="253"/>
      <c r="F990" s="254"/>
      <c r="G990" s="253"/>
      <c r="H990" s="257"/>
      <c r="I990" s="209"/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</row>
    <row r="991" spans="1:26" ht="15.75" customHeight="1">
      <c r="A991" s="252"/>
      <c r="B991" s="252"/>
      <c r="C991" s="253"/>
      <c r="D991" s="253"/>
      <c r="E991" s="253"/>
      <c r="F991" s="254"/>
      <c r="G991" s="253"/>
      <c r="H991" s="257"/>
      <c r="I991" s="209"/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</row>
    <row r="992" spans="1:26" ht="15.75" customHeight="1">
      <c r="A992" s="252"/>
      <c r="B992" s="252"/>
      <c r="C992" s="253"/>
      <c r="D992" s="253"/>
      <c r="E992" s="253"/>
      <c r="F992" s="254"/>
      <c r="G992" s="253"/>
      <c r="H992" s="257"/>
      <c r="I992" s="209"/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</row>
    <row r="993" spans="1:26" ht="15.75" customHeight="1">
      <c r="A993" s="252"/>
      <c r="B993" s="252"/>
      <c r="C993" s="253"/>
      <c r="D993" s="253"/>
      <c r="E993" s="253"/>
      <c r="F993" s="254"/>
      <c r="G993" s="253"/>
      <c r="H993" s="257"/>
      <c r="I993" s="209"/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</row>
    <row r="994" spans="1:26" ht="15.75" customHeight="1">
      <c r="A994" s="252"/>
      <c r="B994" s="252"/>
      <c r="C994" s="253"/>
      <c r="D994" s="253"/>
      <c r="E994" s="253"/>
      <c r="F994" s="254"/>
      <c r="G994" s="253"/>
      <c r="H994" s="257"/>
      <c r="I994" s="209"/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</row>
    <row r="995" spans="1:26" ht="15.75" customHeight="1">
      <c r="A995" s="252"/>
      <c r="B995" s="252"/>
      <c r="C995" s="253"/>
      <c r="D995" s="253"/>
      <c r="E995" s="253"/>
      <c r="F995" s="254"/>
      <c r="G995" s="253"/>
      <c r="H995" s="257"/>
      <c r="I995" s="209"/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</row>
    <row r="996" spans="1:26" ht="15.75" customHeight="1">
      <c r="A996" s="252"/>
      <c r="B996" s="252"/>
      <c r="C996" s="253"/>
      <c r="D996" s="253"/>
      <c r="E996" s="253"/>
      <c r="F996" s="254"/>
      <c r="G996" s="253"/>
      <c r="H996" s="257"/>
      <c r="I996" s="209"/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</row>
    <row r="997" spans="1:26" ht="15.75" customHeight="1">
      <c r="A997" s="252"/>
      <c r="B997" s="252"/>
      <c r="C997" s="253"/>
      <c r="D997" s="253"/>
      <c r="E997" s="253"/>
      <c r="F997" s="254"/>
      <c r="G997" s="253"/>
      <c r="H997" s="257"/>
      <c r="I997" s="209"/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</row>
    <row r="998" spans="1:26" ht="15.75" customHeight="1">
      <c r="A998" s="252"/>
      <c r="B998" s="252"/>
      <c r="C998" s="253"/>
      <c r="D998" s="253"/>
      <c r="E998" s="253"/>
      <c r="F998" s="254"/>
      <c r="G998" s="253"/>
      <c r="H998" s="257"/>
      <c r="I998" s="209"/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</row>
    <row r="999" spans="1:26" ht="15.75" customHeight="1">
      <c r="A999" s="252"/>
      <c r="B999" s="252"/>
      <c r="C999" s="253"/>
      <c r="D999" s="253"/>
      <c r="E999" s="253"/>
      <c r="F999" s="254"/>
      <c r="G999" s="253"/>
      <c r="H999" s="257"/>
      <c r="I999" s="209"/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</row>
    <row r="1000" spans="1:26" ht="15.75" customHeight="1">
      <c r="A1000" s="252"/>
      <c r="B1000" s="252"/>
      <c r="C1000" s="253"/>
      <c r="D1000" s="253"/>
      <c r="E1000" s="253"/>
      <c r="F1000" s="254"/>
      <c r="G1000" s="253"/>
      <c r="H1000" s="257"/>
      <c r="I1000" s="209"/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</row>
  </sheetData>
  <autoFilter ref="A2:H615"/>
  <mergeCells count="2">
    <mergeCell ref="A1:H1"/>
    <mergeCell ref="A615:H615"/>
  </mergeCells>
  <pageMargins left="0.31496062992125984" right="0.19685039370078741" top="0.35433070866141736" bottom="0.31496062992125984" header="0" footer="0"/>
  <pageSetup paperSize="9" fitToHeight="0"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1"/>
  <sheetViews>
    <sheetView showGridLines="0" workbookViewId="0">
      <pane ySplit="2" topLeftCell="A3" activePane="bottomLeft" state="frozen"/>
      <selection pane="bottomLeft" activeCell="J25" sqref="A1:J25"/>
    </sheetView>
  </sheetViews>
  <sheetFormatPr defaultColWidth="14.42578125" defaultRowHeight="15" customHeight="1"/>
  <cols>
    <col min="1" max="1" width="7.85546875" customWidth="1"/>
    <col min="2" max="2" width="12.5703125" customWidth="1"/>
    <col min="3" max="3" width="7" customWidth="1"/>
    <col min="4" max="4" width="19" customWidth="1"/>
    <col min="5" max="5" width="13.140625" customWidth="1"/>
    <col min="6" max="6" width="46" customWidth="1"/>
    <col min="7" max="7" width="16.42578125" customWidth="1"/>
    <col min="8" max="8" width="17" customWidth="1"/>
    <col min="9" max="9" width="16.42578125" customWidth="1"/>
    <col min="10" max="10" width="46.85546875" customWidth="1"/>
    <col min="11" max="11" width="9.140625" customWidth="1"/>
    <col min="12" max="12" width="9.140625" hidden="1" customWidth="1"/>
    <col min="13" max="13" width="11.42578125" hidden="1" customWidth="1"/>
    <col min="14" max="14" width="9.140625" hidden="1" customWidth="1"/>
    <col min="15" max="15" width="26.42578125" hidden="1" customWidth="1"/>
    <col min="16" max="17" width="9.140625" hidden="1" customWidth="1"/>
    <col min="18" max="18" width="12.28515625" hidden="1" customWidth="1"/>
    <col min="19" max="19" width="23.7109375" hidden="1" customWidth="1"/>
    <col min="20" max="20" width="9.140625" hidden="1" customWidth="1"/>
    <col min="21" max="21" width="14.28515625" hidden="1" customWidth="1"/>
    <col min="22" max="23" width="8.7109375" hidden="1" customWidth="1"/>
    <col min="24" max="26" width="8.7109375" customWidth="1"/>
  </cols>
  <sheetData>
    <row r="1" spans="1:23" ht="37.5" customHeight="1">
      <c r="A1" s="309" t="s">
        <v>468</v>
      </c>
      <c r="B1" s="310"/>
      <c r="C1" s="310"/>
      <c r="D1" s="310"/>
      <c r="E1" s="54" t="str">
        <f>IF(OR('OPĆI DIO'!C3="odaberite -",'OPĆI DIO'!C3=""),"Molimo odaberite proračunskog korisnika na radnom listu Opći podaci!","")</f>
        <v/>
      </c>
      <c r="G1" s="55"/>
      <c r="H1" s="55"/>
      <c r="I1" s="23" t="s">
        <v>56</v>
      </c>
    </row>
    <row r="2" spans="1:23" ht="36" customHeight="1">
      <c r="A2" s="56" t="s">
        <v>469</v>
      </c>
      <c r="B2" s="56" t="s">
        <v>470</v>
      </c>
      <c r="C2" s="56" t="s">
        <v>471</v>
      </c>
      <c r="D2" s="56" t="s">
        <v>472</v>
      </c>
      <c r="E2" s="57" t="s">
        <v>473</v>
      </c>
      <c r="F2" s="56" t="s">
        <v>474</v>
      </c>
      <c r="G2" s="58" t="s">
        <v>475</v>
      </c>
      <c r="H2" s="58" t="s">
        <v>61</v>
      </c>
      <c r="I2" s="58" t="s">
        <v>62</v>
      </c>
      <c r="J2" s="59" t="s">
        <v>476</v>
      </c>
      <c r="L2" s="60" t="s">
        <v>477</v>
      </c>
      <c r="M2" s="60" t="s">
        <v>478</v>
      </c>
      <c r="R2" s="61" t="s">
        <v>479</v>
      </c>
    </row>
    <row r="3" spans="1:23">
      <c r="A3" s="62" t="str">
        <f>IF(E3="","",VLOOKUP('OPĆI DIO'!$C$3,'OPĆI DIO'!$L$6:$U$120,10,FALSE))</f>
        <v>08008</v>
      </c>
      <c r="B3" s="62" t="str">
        <f>IF(E3="","",VLOOKUP('OPĆI DIO'!$C$3,'OPĆI DIO'!$L$6:$U$120,9,FALSE))</f>
        <v>Javni instituti</v>
      </c>
      <c r="C3" s="63">
        <f t="shared" ref="C3:C502" si="0">IFERROR(VLOOKUP(E3,$R$6:$U$109,3,FALSE),"")</f>
        <v>11</v>
      </c>
      <c r="D3" s="64" t="str">
        <f t="shared" ref="D3:D502" si="1">IFERROR(VLOOKUP(E3,$R$6:$U$109,4,FALSE),"")</f>
        <v>Opći prihodi i primici</v>
      </c>
      <c r="E3" s="65" t="s">
        <v>479</v>
      </c>
      <c r="F3" s="66" t="str">
        <f t="shared" ref="F3:F502" si="2">IFERROR(VLOOKUP(E3,$R$6:$U$109,2,FALSE),"")</f>
        <v>Prihodi iz nadležnog proračuna za financiranje redovne djelatnosti proračunskih korisnika</v>
      </c>
      <c r="G3" s="67">
        <v>24096543.751917958</v>
      </c>
      <c r="H3" s="67">
        <v>24404782.370170657</v>
      </c>
      <c r="I3" s="67">
        <v>24714466.370170657</v>
      </c>
      <c r="J3" s="68"/>
      <c r="L3" s="51" t="str">
        <f t="shared" ref="L3:L502" si="3">LEFT(E3,2)</f>
        <v>67</v>
      </c>
      <c r="M3" s="51" t="str">
        <f t="shared" ref="M3:M39" si="4">LEFT(E3,3)</f>
        <v>671</v>
      </c>
      <c r="N3" s="69" t="s">
        <v>480</v>
      </c>
      <c r="R3" s="61" t="s">
        <v>481</v>
      </c>
    </row>
    <row r="4" spans="1:23">
      <c r="A4" s="62" t="str">
        <f>IF(E4="","",VLOOKUP('OPĆI DIO'!$C$3,'OPĆI DIO'!$L$6:$U$120,10,FALSE))</f>
        <v>08008</v>
      </c>
      <c r="B4" s="62" t="str">
        <f>IF(E4="","",VLOOKUP('OPĆI DIO'!$C$3,'OPĆI DIO'!$L$6:$U$120,9,FALSE))</f>
        <v>Javni instituti</v>
      </c>
      <c r="C4" s="63">
        <f t="shared" si="0"/>
        <v>11</v>
      </c>
      <c r="D4" s="64" t="str">
        <f t="shared" si="1"/>
        <v>Opći prihodi i primici</v>
      </c>
      <c r="E4" s="65" t="s">
        <v>479</v>
      </c>
      <c r="F4" s="66" t="str">
        <f t="shared" si="2"/>
        <v>Prihodi iz nadležnog proračuna za financiranje redovne djelatnosti proračunskih korisnika</v>
      </c>
      <c r="G4" s="67">
        <v>81949</v>
      </c>
      <c r="H4" s="67">
        <v>81949</v>
      </c>
      <c r="I4" s="67">
        <v>81949</v>
      </c>
      <c r="J4" s="68"/>
      <c r="L4" s="51" t="str">
        <f t="shared" si="3"/>
        <v>67</v>
      </c>
      <c r="M4" s="51" t="str">
        <f t="shared" si="4"/>
        <v>671</v>
      </c>
    </row>
    <row r="5" spans="1:23">
      <c r="A5" s="62" t="str">
        <f>IF(E5="","",VLOOKUP('OPĆI DIO'!$C$3,'OPĆI DIO'!$L$6:$U$120,10,FALSE))</f>
        <v>08008</v>
      </c>
      <c r="B5" s="62" t="str">
        <f>IF(E5="","",VLOOKUP('OPĆI DIO'!$C$3,'OPĆI DIO'!$L$6:$U$120,9,FALSE))</f>
        <v>Javni instituti</v>
      </c>
      <c r="C5" s="63">
        <f t="shared" si="0"/>
        <v>11</v>
      </c>
      <c r="D5" s="64" t="str">
        <f t="shared" si="1"/>
        <v>Opći prihodi i primici</v>
      </c>
      <c r="E5" s="65" t="s">
        <v>479</v>
      </c>
      <c r="F5" s="66" t="str">
        <f t="shared" si="2"/>
        <v>Prihodi iz nadležnog proračuna za financiranje redovne djelatnosti proračunskih korisnika</v>
      </c>
      <c r="G5" s="67">
        <v>2903685</v>
      </c>
      <c r="H5" s="67">
        <v>2903685</v>
      </c>
      <c r="I5" s="67">
        <v>2903685</v>
      </c>
      <c r="J5" s="68"/>
      <c r="L5" s="51" t="str">
        <f t="shared" si="3"/>
        <v>67</v>
      </c>
      <c r="M5" s="51" t="str">
        <f t="shared" si="4"/>
        <v>671</v>
      </c>
      <c r="N5" s="51" t="s">
        <v>471</v>
      </c>
      <c r="O5" s="51" t="s">
        <v>472</v>
      </c>
      <c r="R5" s="70" t="s">
        <v>482</v>
      </c>
      <c r="S5" s="56" t="s">
        <v>483</v>
      </c>
      <c r="T5" s="56" t="s">
        <v>484</v>
      </c>
      <c r="U5" s="56" t="s">
        <v>472</v>
      </c>
      <c r="V5" s="71" t="s">
        <v>485</v>
      </c>
      <c r="W5" s="71" t="s">
        <v>486</v>
      </c>
    </row>
    <row r="6" spans="1:23">
      <c r="A6" s="62" t="str">
        <f>IF(E6="","",VLOOKUP('OPĆI DIO'!$C$3,'OPĆI DIO'!$L$6:$U$120,10,FALSE))</f>
        <v>08008</v>
      </c>
      <c r="B6" s="62" t="str">
        <f>IF(E6="","",VLOOKUP('OPĆI DIO'!$C$3,'OPĆI DIO'!$L$6:$U$120,9,FALSE))</f>
        <v>Javni instituti</v>
      </c>
      <c r="C6" s="63">
        <f t="shared" si="0"/>
        <v>11</v>
      </c>
      <c r="D6" s="64" t="str">
        <f t="shared" si="1"/>
        <v>Opći prihodi i primici</v>
      </c>
      <c r="E6" s="65" t="s">
        <v>479</v>
      </c>
      <c r="F6" s="66" t="str">
        <f t="shared" si="2"/>
        <v>Prihodi iz nadležnog proračuna za financiranje redovne djelatnosti proračunskih korisnika</v>
      </c>
      <c r="G6" s="67">
        <v>234316</v>
      </c>
      <c r="H6" s="67">
        <v>337217</v>
      </c>
      <c r="I6" s="67">
        <v>18887</v>
      </c>
      <c r="J6" s="68"/>
      <c r="L6" s="51" t="str">
        <f t="shared" si="3"/>
        <v>67</v>
      </c>
      <c r="M6" s="51" t="str">
        <f t="shared" si="4"/>
        <v>671</v>
      </c>
      <c r="N6" s="51">
        <v>11</v>
      </c>
      <c r="O6" s="51" t="s">
        <v>487</v>
      </c>
      <c r="R6" s="72" t="s">
        <v>479</v>
      </c>
      <c r="S6" s="72" t="s">
        <v>488</v>
      </c>
      <c r="T6" s="73">
        <v>11</v>
      </c>
      <c r="U6" s="72" t="s">
        <v>487</v>
      </c>
      <c r="V6" s="69">
        <v>671</v>
      </c>
      <c r="W6" s="69">
        <v>67</v>
      </c>
    </row>
    <row r="7" spans="1:23">
      <c r="A7" s="62" t="str">
        <f>IF(E7="","",VLOOKUP('OPĆI DIO'!$C$3,'OPĆI DIO'!$L$6:$U$120,10,FALSE))</f>
        <v>08008</v>
      </c>
      <c r="B7" s="62" t="str">
        <f>IF(E7="","",VLOOKUP('OPĆI DIO'!$C$3,'OPĆI DIO'!$L$6:$U$120,9,FALSE))</f>
        <v>Javni instituti</v>
      </c>
      <c r="C7" s="63">
        <f t="shared" si="0"/>
        <v>31</v>
      </c>
      <c r="D7" s="64" t="str">
        <f t="shared" si="1"/>
        <v>Vlastiti prihodi</v>
      </c>
      <c r="E7" s="68">
        <v>6615</v>
      </c>
      <c r="F7" s="66" t="str">
        <f t="shared" si="2"/>
        <v>Prihodi od pruženih usluga</v>
      </c>
      <c r="G7" s="67">
        <v>1996509</v>
      </c>
      <c r="H7" s="67">
        <v>2096337</v>
      </c>
      <c r="I7" s="67">
        <v>2201155</v>
      </c>
      <c r="J7" s="68"/>
      <c r="L7" s="51" t="str">
        <f t="shared" si="3"/>
        <v>66</v>
      </c>
      <c r="M7" s="51" t="str">
        <f t="shared" si="4"/>
        <v>661</v>
      </c>
      <c r="N7" s="51">
        <v>12</v>
      </c>
      <c r="O7" s="51" t="s">
        <v>489</v>
      </c>
      <c r="R7" s="72" t="s">
        <v>481</v>
      </c>
      <c r="S7" s="72" t="s">
        <v>488</v>
      </c>
      <c r="T7" s="73">
        <v>12</v>
      </c>
      <c r="U7" s="72" t="s">
        <v>489</v>
      </c>
      <c r="V7" s="69">
        <v>671</v>
      </c>
      <c r="W7" s="69">
        <v>67</v>
      </c>
    </row>
    <row r="8" spans="1:23">
      <c r="A8" s="62" t="str">
        <f>IF(E8="","",VLOOKUP('OPĆI DIO'!$C$3,'OPĆI DIO'!$L$6:$U$120,10,FALSE))</f>
        <v>08008</v>
      </c>
      <c r="B8" s="62" t="str">
        <f>IF(E8="","",VLOOKUP('OPĆI DIO'!$C$3,'OPĆI DIO'!$L$6:$U$120,9,FALSE))</f>
        <v>Javni instituti</v>
      </c>
      <c r="C8" s="63">
        <f t="shared" si="0"/>
        <v>51</v>
      </c>
      <c r="D8" s="64" t="str">
        <f t="shared" si="1"/>
        <v xml:space="preserve">Pomoći EU </v>
      </c>
      <c r="E8" s="68">
        <v>632311700</v>
      </c>
      <c r="F8" s="66" t="str">
        <f t="shared" si="2"/>
        <v>Tekuće pomoći od institucija i tijela EU - ostalo</v>
      </c>
      <c r="G8" s="67">
        <v>1558872</v>
      </c>
      <c r="H8" s="67">
        <v>867653</v>
      </c>
      <c r="I8" s="67">
        <v>604007</v>
      </c>
      <c r="J8" s="68"/>
      <c r="L8" s="51" t="str">
        <f t="shared" si="3"/>
        <v>63</v>
      </c>
      <c r="M8" s="51" t="str">
        <f t="shared" si="4"/>
        <v>632</v>
      </c>
      <c r="N8" s="51">
        <v>31</v>
      </c>
      <c r="O8" s="51" t="s">
        <v>490</v>
      </c>
      <c r="R8" s="73">
        <v>614810041</v>
      </c>
      <c r="S8" s="72" t="s">
        <v>491</v>
      </c>
      <c r="T8" s="73">
        <v>41</v>
      </c>
      <c r="U8" s="72" t="s">
        <v>492</v>
      </c>
      <c r="V8" s="69">
        <v>614</v>
      </c>
      <c r="W8" s="69">
        <v>61</v>
      </c>
    </row>
    <row r="9" spans="1:23">
      <c r="A9" s="62" t="str">
        <f>IF(E9="","",VLOOKUP('OPĆI DIO'!$C$3,'OPĆI DIO'!$L$6:$U$120,10,FALSE))</f>
        <v>08008</v>
      </c>
      <c r="B9" s="62" t="str">
        <f>IF(E9="","",VLOOKUP('OPĆI DIO'!$C$3,'OPĆI DIO'!$L$6:$U$120,9,FALSE))</f>
        <v>Javni instituti</v>
      </c>
      <c r="C9" s="63">
        <f t="shared" si="0"/>
        <v>51</v>
      </c>
      <c r="D9" s="64" t="str">
        <f t="shared" si="1"/>
        <v xml:space="preserve">Pomoći EU </v>
      </c>
      <c r="E9" s="68">
        <v>632311700</v>
      </c>
      <c r="F9" s="66" t="str">
        <f t="shared" si="2"/>
        <v>Tekuće pomoći od institucija i tijela EU - ostalo</v>
      </c>
      <c r="G9" s="67">
        <v>365542</v>
      </c>
      <c r="H9" s="67">
        <v>365542</v>
      </c>
      <c r="I9" s="67">
        <v>365542</v>
      </c>
      <c r="J9" s="68"/>
      <c r="L9" s="51" t="str">
        <f t="shared" si="3"/>
        <v>63</v>
      </c>
      <c r="M9" s="51" t="str">
        <f t="shared" si="4"/>
        <v>632</v>
      </c>
      <c r="N9" s="69">
        <v>41</v>
      </c>
      <c r="O9" s="69" t="s">
        <v>492</v>
      </c>
      <c r="R9" s="73">
        <v>614820041</v>
      </c>
      <c r="S9" s="72" t="s">
        <v>493</v>
      </c>
      <c r="T9" s="73">
        <v>41</v>
      </c>
      <c r="U9" s="72" t="s">
        <v>492</v>
      </c>
      <c r="V9" s="69">
        <v>614</v>
      </c>
      <c r="W9" s="69">
        <v>61</v>
      </c>
    </row>
    <row r="10" spans="1:23">
      <c r="A10" s="62" t="str">
        <f>IF(E10="","",VLOOKUP('OPĆI DIO'!$C$3,'OPĆI DIO'!$L$6:$U$120,10,FALSE))</f>
        <v>08008</v>
      </c>
      <c r="B10" s="62" t="str">
        <f>IF(E10="","",VLOOKUP('OPĆI DIO'!$C$3,'OPĆI DIO'!$L$6:$U$120,9,FALSE))</f>
        <v>Javni instituti</v>
      </c>
      <c r="C10" s="63">
        <f t="shared" si="0"/>
        <v>52</v>
      </c>
      <c r="D10" s="64" t="str">
        <f t="shared" si="1"/>
        <v xml:space="preserve">Ostale pomoći i darovnice </v>
      </c>
      <c r="E10" s="68">
        <v>6391</v>
      </c>
      <c r="F10" s="66" t="str">
        <f t="shared" si="2"/>
        <v>Tekući prijenosi između proračunskih korisnika istog proračuna</v>
      </c>
      <c r="G10" s="67">
        <v>3266227</v>
      </c>
      <c r="H10" s="67">
        <v>2044847</v>
      </c>
      <c r="I10" s="67">
        <v>928722</v>
      </c>
      <c r="J10" s="65" t="s">
        <v>494</v>
      </c>
      <c r="L10" s="51" t="str">
        <f t="shared" si="3"/>
        <v>63</v>
      </c>
      <c r="M10" s="51" t="str">
        <f t="shared" si="4"/>
        <v>639</v>
      </c>
      <c r="N10" s="51">
        <v>43</v>
      </c>
      <c r="O10" s="51" t="s">
        <v>495</v>
      </c>
      <c r="R10" s="73">
        <v>614830041</v>
      </c>
      <c r="S10" s="72" t="s">
        <v>496</v>
      </c>
      <c r="T10" s="73">
        <v>41</v>
      </c>
      <c r="U10" s="72" t="s">
        <v>492</v>
      </c>
      <c r="V10" s="69">
        <v>614</v>
      </c>
      <c r="W10" s="69">
        <v>61</v>
      </c>
    </row>
    <row r="11" spans="1:23">
      <c r="A11" s="62" t="str">
        <f>IF(E11="","",VLOOKUP('OPĆI DIO'!$C$3,'OPĆI DIO'!$L$6:$U$120,10,FALSE))</f>
        <v>08008</v>
      </c>
      <c r="B11" s="62" t="str">
        <f>IF(E11="","",VLOOKUP('OPĆI DIO'!$C$3,'OPĆI DIO'!$L$6:$U$120,9,FALSE))</f>
        <v>Javni instituti</v>
      </c>
      <c r="C11" s="63">
        <f t="shared" si="0"/>
        <v>52</v>
      </c>
      <c r="D11" s="64" t="str">
        <f t="shared" si="1"/>
        <v xml:space="preserve">Ostale pomoći i darovnice </v>
      </c>
      <c r="E11" s="68">
        <v>6393</v>
      </c>
      <c r="F11" s="66" t="str">
        <f t="shared" si="2"/>
        <v>Tekući prijenosi između proračunskih korisnika istog proračuna temeljem prijenosa EU sredstava</v>
      </c>
      <c r="G11" s="67">
        <v>525811</v>
      </c>
      <c r="H11" s="67"/>
      <c r="I11" s="67"/>
      <c r="J11" s="65" t="s">
        <v>494</v>
      </c>
      <c r="L11" s="51" t="str">
        <f t="shared" si="3"/>
        <v>63</v>
      </c>
      <c r="M11" s="51" t="str">
        <f t="shared" si="4"/>
        <v>639</v>
      </c>
      <c r="N11" s="51">
        <v>51</v>
      </c>
      <c r="O11" s="51" t="s">
        <v>497</v>
      </c>
      <c r="R11" s="73">
        <v>614840041</v>
      </c>
      <c r="S11" s="72" t="s">
        <v>498</v>
      </c>
      <c r="T11" s="73">
        <v>41</v>
      </c>
      <c r="U11" s="72" t="s">
        <v>492</v>
      </c>
      <c r="V11" s="69">
        <v>614</v>
      </c>
      <c r="W11" s="69">
        <v>61</v>
      </c>
    </row>
    <row r="12" spans="1:23">
      <c r="A12" s="62" t="str">
        <f>IF(E12="","",VLOOKUP('OPĆI DIO'!$C$3,'OPĆI DIO'!$L$6:$U$120,10,FALSE))</f>
        <v>08008</v>
      </c>
      <c r="B12" s="62" t="str">
        <f>IF(E12="","",VLOOKUP('OPĆI DIO'!$C$3,'OPĆI DIO'!$L$6:$U$120,9,FALSE))</f>
        <v>Javni instituti</v>
      </c>
      <c r="C12" s="63">
        <f t="shared" si="0"/>
        <v>52</v>
      </c>
      <c r="D12" s="64" t="str">
        <f t="shared" si="1"/>
        <v xml:space="preserve">Ostale pomoći i darovnice </v>
      </c>
      <c r="E12" s="68">
        <v>631110000</v>
      </c>
      <c r="F12" s="66" t="str">
        <f t="shared" si="2"/>
        <v>Tekuće pomoći od inozemnih vlada u EU</v>
      </c>
      <c r="G12" s="67">
        <v>60426</v>
      </c>
      <c r="H12" s="67">
        <v>63449</v>
      </c>
      <c r="I12" s="67">
        <v>66621</v>
      </c>
      <c r="J12" s="68"/>
      <c r="L12" s="51" t="str">
        <f t="shared" si="3"/>
        <v>63</v>
      </c>
      <c r="M12" s="51" t="str">
        <f t="shared" si="4"/>
        <v>631</v>
      </c>
      <c r="N12" s="51">
        <v>52</v>
      </c>
      <c r="O12" s="51" t="s">
        <v>499</v>
      </c>
      <c r="R12" s="73">
        <v>631110000</v>
      </c>
      <c r="S12" s="72" t="s">
        <v>500</v>
      </c>
      <c r="T12" s="73">
        <v>52</v>
      </c>
      <c r="U12" s="72" t="s">
        <v>501</v>
      </c>
      <c r="V12" s="69">
        <v>631</v>
      </c>
      <c r="W12" s="69">
        <v>63</v>
      </c>
    </row>
    <row r="13" spans="1:23">
      <c r="A13" s="62" t="str">
        <f>IF(E13="","",VLOOKUP('OPĆI DIO'!$C$3,'OPĆI DIO'!$L$6:$U$120,10,FALSE))</f>
        <v>08008</v>
      </c>
      <c r="B13" s="62" t="str">
        <f>IF(E13="","",VLOOKUP('OPĆI DIO'!$C$3,'OPĆI DIO'!$L$6:$U$120,9,FALSE))</f>
        <v>Javni instituti</v>
      </c>
      <c r="C13" s="63">
        <f t="shared" si="0"/>
        <v>52</v>
      </c>
      <c r="D13" s="64" t="str">
        <f t="shared" si="1"/>
        <v xml:space="preserve">Ostale pomoći i darovnice </v>
      </c>
      <c r="E13" s="68">
        <v>6391</v>
      </c>
      <c r="F13" s="66" t="str">
        <f t="shared" si="2"/>
        <v>Tekući prijenosi između proračunskih korisnika istog proračuna</v>
      </c>
      <c r="G13" s="67">
        <v>50522</v>
      </c>
      <c r="H13" s="67"/>
      <c r="I13" s="67"/>
      <c r="J13" s="65" t="s">
        <v>502</v>
      </c>
      <c r="L13" s="51" t="str">
        <f t="shared" si="3"/>
        <v>63</v>
      </c>
      <c r="M13" s="51" t="str">
        <f t="shared" si="4"/>
        <v>639</v>
      </c>
      <c r="N13" s="69">
        <v>552</v>
      </c>
      <c r="O13" s="69" t="s">
        <v>503</v>
      </c>
      <c r="R13" s="73">
        <v>631120000</v>
      </c>
      <c r="S13" s="72" t="s">
        <v>504</v>
      </c>
      <c r="T13" s="73">
        <v>52</v>
      </c>
      <c r="U13" s="72" t="s">
        <v>501</v>
      </c>
      <c r="V13" s="69">
        <v>631</v>
      </c>
      <c r="W13" s="69">
        <v>63</v>
      </c>
    </row>
    <row r="14" spans="1:23">
      <c r="A14" s="62" t="str">
        <f>IF(E14="","",VLOOKUP('OPĆI DIO'!$C$3,'OPĆI DIO'!$L$6:$U$120,10,FALSE))</f>
        <v>08008</v>
      </c>
      <c r="B14" s="62" t="str">
        <f>IF(E14="","",VLOOKUP('OPĆI DIO'!$C$3,'OPĆI DIO'!$L$6:$U$120,9,FALSE))</f>
        <v>Javni instituti</v>
      </c>
      <c r="C14" s="63">
        <f t="shared" si="0"/>
        <v>52</v>
      </c>
      <c r="D14" s="64" t="str">
        <f t="shared" si="1"/>
        <v xml:space="preserve">Ostale pomoći i darovnice </v>
      </c>
      <c r="E14" s="68">
        <v>6392</v>
      </c>
      <c r="F14" s="66" t="str">
        <f t="shared" si="2"/>
        <v>Kapitalni prijenosi između proračunskih korisnika istog proračuna</v>
      </c>
      <c r="G14" s="67">
        <v>69416</v>
      </c>
      <c r="H14" s="67"/>
      <c r="I14" s="67"/>
      <c r="J14" s="65" t="s">
        <v>505</v>
      </c>
      <c r="L14" s="51" t="str">
        <f t="shared" si="3"/>
        <v>63</v>
      </c>
      <c r="M14" s="51" t="str">
        <f t="shared" si="4"/>
        <v>639</v>
      </c>
      <c r="N14" s="69">
        <v>559</v>
      </c>
      <c r="O14" s="69" t="s">
        <v>506</v>
      </c>
      <c r="R14" s="73">
        <v>631210000</v>
      </c>
      <c r="S14" s="72" t="s">
        <v>507</v>
      </c>
      <c r="T14" s="73">
        <v>52</v>
      </c>
      <c r="U14" s="72" t="s">
        <v>501</v>
      </c>
      <c r="V14" s="69">
        <v>631</v>
      </c>
      <c r="W14" s="69">
        <v>63</v>
      </c>
    </row>
    <row r="15" spans="1:23">
      <c r="A15" s="62" t="str">
        <f>IF(E15="","",VLOOKUP('OPĆI DIO'!$C$3,'OPĆI DIO'!$L$6:$U$120,10,FALSE))</f>
        <v>08008</v>
      </c>
      <c r="B15" s="62" t="str">
        <f>IF(E15="","",VLOOKUP('OPĆI DIO'!$C$3,'OPĆI DIO'!$L$6:$U$120,9,FALSE))</f>
        <v>Javni instituti</v>
      </c>
      <c r="C15" s="63">
        <f t="shared" si="0"/>
        <v>52</v>
      </c>
      <c r="D15" s="64" t="str">
        <f t="shared" si="1"/>
        <v xml:space="preserve">Ostale pomoći i darovnice </v>
      </c>
      <c r="E15" s="68">
        <v>6392</v>
      </c>
      <c r="F15" s="66" t="str">
        <f t="shared" si="2"/>
        <v>Kapitalni prijenosi između proračunskih korisnika istog proračuna</v>
      </c>
      <c r="G15" s="67">
        <v>46486</v>
      </c>
      <c r="H15" s="67"/>
      <c r="I15" s="67"/>
      <c r="J15" s="65" t="s">
        <v>508</v>
      </c>
      <c r="L15" s="51" t="str">
        <f t="shared" si="3"/>
        <v>63</v>
      </c>
      <c r="M15" s="51" t="str">
        <f t="shared" si="4"/>
        <v>639</v>
      </c>
      <c r="N15" s="51">
        <v>561</v>
      </c>
      <c r="O15" s="51" t="s">
        <v>509</v>
      </c>
      <c r="R15" s="73">
        <v>631220000</v>
      </c>
      <c r="S15" s="72" t="s">
        <v>510</v>
      </c>
      <c r="T15" s="73">
        <v>52</v>
      </c>
      <c r="U15" s="72" t="s">
        <v>501</v>
      </c>
      <c r="V15" s="69">
        <v>631</v>
      </c>
      <c r="W15" s="69">
        <v>63</v>
      </c>
    </row>
    <row r="16" spans="1:23">
      <c r="A16" s="62" t="str">
        <f>IF(E16="","",VLOOKUP('OPĆI DIO'!$C$3,'OPĆI DIO'!$L$6:$U$120,10,FALSE))</f>
        <v>08008</v>
      </c>
      <c r="B16" s="62" t="str">
        <f>IF(E16="","",VLOOKUP('OPĆI DIO'!$C$3,'OPĆI DIO'!$L$6:$U$120,9,FALSE))</f>
        <v>Javni instituti</v>
      </c>
      <c r="C16" s="63">
        <f t="shared" si="0"/>
        <v>52</v>
      </c>
      <c r="D16" s="64" t="str">
        <f t="shared" si="1"/>
        <v xml:space="preserve">Ostale pomoći i darovnice </v>
      </c>
      <c r="E16" s="68">
        <v>6392</v>
      </c>
      <c r="F16" s="66" t="str">
        <f t="shared" si="2"/>
        <v>Kapitalni prijenosi između proračunskih korisnika istog proračuna</v>
      </c>
      <c r="G16" s="67">
        <v>58241</v>
      </c>
      <c r="H16" s="67"/>
      <c r="I16" s="67"/>
      <c r="J16" s="65" t="s">
        <v>511</v>
      </c>
      <c r="L16" s="51" t="str">
        <f t="shared" si="3"/>
        <v>63</v>
      </c>
      <c r="M16" s="51" t="str">
        <f t="shared" si="4"/>
        <v>639</v>
      </c>
      <c r="N16" s="51">
        <v>563</v>
      </c>
      <c r="O16" s="51" t="s">
        <v>512</v>
      </c>
      <c r="R16" s="73">
        <v>632112000</v>
      </c>
      <c r="S16" s="72" t="s">
        <v>513</v>
      </c>
      <c r="T16" s="73">
        <v>52</v>
      </c>
      <c r="U16" s="72" t="s">
        <v>501</v>
      </c>
      <c r="V16" s="69">
        <v>632</v>
      </c>
      <c r="W16" s="69">
        <v>63</v>
      </c>
    </row>
    <row r="17" spans="1:23">
      <c r="A17" s="62" t="str">
        <f>IF(E17="","",VLOOKUP('OPĆI DIO'!$C$3,'OPĆI DIO'!$L$6:$U$120,10,FALSE))</f>
        <v>08008</v>
      </c>
      <c r="B17" s="62" t="str">
        <f>IF(E17="","",VLOOKUP('OPĆI DIO'!$C$3,'OPĆI DIO'!$L$6:$U$120,9,FALSE))</f>
        <v>Javni instituti</v>
      </c>
      <c r="C17" s="63">
        <f t="shared" si="0"/>
        <v>52</v>
      </c>
      <c r="D17" s="64" t="str">
        <f t="shared" si="1"/>
        <v xml:space="preserve">Ostale pomoći i darovnice </v>
      </c>
      <c r="E17" s="68">
        <v>6392</v>
      </c>
      <c r="F17" s="66" t="str">
        <f t="shared" si="2"/>
        <v>Kapitalni prijenosi između proračunskih korisnika istog proračuna</v>
      </c>
      <c r="G17" s="67">
        <v>19950</v>
      </c>
      <c r="H17" s="67"/>
      <c r="I17" s="67"/>
      <c r="J17" s="65" t="s">
        <v>514</v>
      </c>
      <c r="L17" s="51" t="str">
        <f t="shared" si="3"/>
        <v>63</v>
      </c>
      <c r="M17" s="51" t="str">
        <f t="shared" si="4"/>
        <v>639</v>
      </c>
      <c r="N17" s="51">
        <v>573</v>
      </c>
      <c r="O17" s="69" t="s">
        <v>515</v>
      </c>
      <c r="R17" s="73">
        <v>632212000</v>
      </c>
      <c r="S17" s="72" t="s">
        <v>516</v>
      </c>
      <c r="T17" s="73">
        <v>52</v>
      </c>
      <c r="U17" s="72" t="s">
        <v>501</v>
      </c>
      <c r="V17" s="69">
        <v>632</v>
      </c>
      <c r="W17" s="69">
        <v>63</v>
      </c>
    </row>
    <row r="18" spans="1:23">
      <c r="A18" s="62" t="str">
        <f>IF(E18="","",VLOOKUP('OPĆI DIO'!$C$3,'OPĆI DIO'!$L$6:$U$120,10,FALSE))</f>
        <v>08008</v>
      </c>
      <c r="B18" s="62" t="str">
        <f>IF(E18="","",VLOOKUP('OPĆI DIO'!$C$3,'OPĆI DIO'!$L$6:$U$120,9,FALSE))</f>
        <v>Javni instituti</v>
      </c>
      <c r="C18" s="63">
        <f t="shared" si="0"/>
        <v>52</v>
      </c>
      <c r="D18" s="64" t="str">
        <f t="shared" si="1"/>
        <v xml:space="preserve">Ostale pomoći i darovnice </v>
      </c>
      <c r="E18" s="68">
        <v>6392</v>
      </c>
      <c r="F18" s="66" t="str">
        <f t="shared" si="2"/>
        <v>Kapitalni prijenosi između proračunskih korisnika istog proračuna</v>
      </c>
      <c r="G18" s="67">
        <v>3517</v>
      </c>
      <c r="H18" s="67"/>
      <c r="I18" s="67"/>
      <c r="J18" s="65" t="s">
        <v>517</v>
      </c>
      <c r="L18" s="51" t="str">
        <f t="shared" si="3"/>
        <v>63</v>
      </c>
      <c r="M18" s="51" t="str">
        <f t="shared" si="4"/>
        <v>639</v>
      </c>
      <c r="N18" s="69">
        <v>575</v>
      </c>
      <c r="O18" s="69" t="s">
        <v>518</v>
      </c>
      <c r="R18" s="73">
        <v>632310552</v>
      </c>
      <c r="S18" s="72" t="s">
        <v>519</v>
      </c>
      <c r="T18" s="73">
        <v>552</v>
      </c>
      <c r="U18" s="72" t="s">
        <v>503</v>
      </c>
      <c r="V18" s="69">
        <v>632</v>
      </c>
      <c r="W18" s="69">
        <v>63</v>
      </c>
    </row>
    <row r="19" spans="1:23">
      <c r="A19" s="62" t="str">
        <f>IF(E19="","",VLOOKUP('OPĆI DIO'!$C$3,'OPĆI DIO'!$L$6:$U$120,10,FALSE))</f>
        <v>08008</v>
      </c>
      <c r="B19" s="62" t="str">
        <f>IF(E19="","",VLOOKUP('OPĆI DIO'!$C$3,'OPĆI DIO'!$L$6:$U$120,9,FALSE))</f>
        <v>Javni instituti</v>
      </c>
      <c r="C19" s="63">
        <f t="shared" si="0"/>
        <v>563</v>
      </c>
      <c r="D19" s="64" t="str">
        <f t="shared" si="1"/>
        <v>Europski fond za regionalni razvoj (ERDF)</v>
      </c>
      <c r="E19" s="68">
        <v>632410563</v>
      </c>
      <c r="F19" s="66" t="str">
        <f t="shared" si="2"/>
        <v>Europski fond za regionalni razvoj (EFRR)</v>
      </c>
      <c r="G19" s="67">
        <v>30100765</v>
      </c>
      <c r="H19" s="67">
        <v>3548490.3600106174</v>
      </c>
      <c r="I19" s="67"/>
      <c r="J19" s="68"/>
      <c r="L19" s="51" t="str">
        <f t="shared" si="3"/>
        <v>63</v>
      </c>
      <c r="M19" s="51" t="str">
        <f t="shared" si="4"/>
        <v>632</v>
      </c>
      <c r="N19" s="74">
        <v>5761</v>
      </c>
      <c r="O19" s="75" t="s">
        <v>520</v>
      </c>
      <c r="R19" s="73">
        <v>632310559</v>
      </c>
      <c r="S19" s="72" t="s">
        <v>521</v>
      </c>
      <c r="T19" s="73">
        <v>559</v>
      </c>
      <c r="U19" s="72" t="s">
        <v>506</v>
      </c>
      <c r="V19" s="69">
        <v>632</v>
      </c>
      <c r="W19" s="69">
        <v>63</v>
      </c>
    </row>
    <row r="20" spans="1:23">
      <c r="A20" s="62" t="str">
        <f>IF(E20="","",VLOOKUP('OPĆI DIO'!$C$3,'OPĆI DIO'!$L$6:$U$120,10,FALSE))</f>
        <v>08008</v>
      </c>
      <c r="B20" s="62" t="str">
        <f>IF(E20="","",VLOOKUP('OPĆI DIO'!$C$3,'OPĆI DIO'!$L$6:$U$120,9,FALSE))</f>
        <v>Javni instituti</v>
      </c>
      <c r="C20" s="63">
        <f t="shared" si="0"/>
        <v>12</v>
      </c>
      <c r="D20" s="64" t="str">
        <f t="shared" si="1"/>
        <v>Sredstva učešća za pomoći</v>
      </c>
      <c r="E20" s="65" t="s">
        <v>481</v>
      </c>
      <c r="F20" s="66" t="str">
        <f t="shared" si="2"/>
        <v>Prihodi iz nadležnog proračuna za financiranje redovne djelatnosti proračunskih korisnika</v>
      </c>
      <c r="G20" s="67">
        <v>4102921.1875959351</v>
      </c>
      <c r="H20" s="67">
        <v>570172.71524321451</v>
      </c>
      <c r="I20" s="67"/>
      <c r="J20" s="68"/>
      <c r="L20" s="51" t="str">
        <f t="shared" si="3"/>
        <v>67</v>
      </c>
      <c r="M20" s="51" t="str">
        <f t="shared" si="4"/>
        <v>671</v>
      </c>
      <c r="N20" s="74">
        <v>5762</v>
      </c>
      <c r="O20" s="75" t="s">
        <v>520</v>
      </c>
      <c r="R20" s="73">
        <v>632310561</v>
      </c>
      <c r="S20" s="72" t="s">
        <v>509</v>
      </c>
      <c r="T20" s="73">
        <v>561</v>
      </c>
      <c r="U20" s="72" t="s">
        <v>509</v>
      </c>
      <c r="V20" s="69">
        <v>632</v>
      </c>
      <c r="W20" s="69">
        <v>63</v>
      </c>
    </row>
    <row r="21" spans="1:23" ht="15.75" customHeight="1">
      <c r="A21" s="62" t="str">
        <f>IF(E21="","",VLOOKUP('OPĆI DIO'!$C$3,'OPĆI DIO'!$L$6:$U$120,10,FALSE))</f>
        <v>08008</v>
      </c>
      <c r="B21" s="62" t="str">
        <f>IF(E21="","",VLOOKUP('OPĆI DIO'!$C$3,'OPĆI DIO'!$L$6:$U$120,9,FALSE))</f>
        <v>Javni instituti</v>
      </c>
      <c r="C21" s="63">
        <f t="shared" si="0"/>
        <v>576</v>
      </c>
      <c r="D21" s="64" t="str">
        <f t="shared" si="1"/>
        <v>Fond solidarnosti EU</v>
      </c>
      <c r="E21" s="68">
        <v>632315761</v>
      </c>
      <c r="F21" s="66" t="str">
        <f t="shared" si="2"/>
        <v>Tekuće pomoći od institucija i tijela EU - Fond solidarnosti EU - potres ožujak 2020.</v>
      </c>
      <c r="G21" s="67">
        <v>224202.00000000015</v>
      </c>
      <c r="H21" s="67"/>
      <c r="I21" s="67"/>
      <c r="J21" s="68"/>
      <c r="L21" s="51" t="str">
        <f t="shared" si="3"/>
        <v>63</v>
      </c>
      <c r="M21" s="51" t="str">
        <f t="shared" si="4"/>
        <v>632</v>
      </c>
      <c r="N21" s="51">
        <v>581</v>
      </c>
      <c r="O21" s="76" t="s">
        <v>522</v>
      </c>
      <c r="R21" s="73">
        <v>632310563</v>
      </c>
      <c r="S21" s="72" t="s">
        <v>523</v>
      </c>
      <c r="T21" s="73">
        <v>563</v>
      </c>
      <c r="U21" s="72" t="s">
        <v>512</v>
      </c>
      <c r="V21" s="69">
        <v>632</v>
      </c>
      <c r="W21" s="69">
        <v>63</v>
      </c>
    </row>
    <row r="22" spans="1:23" s="269" customFormat="1" ht="15.75" customHeight="1">
      <c r="A22" s="62" t="str">
        <f>IF(E22="","",VLOOKUP('OPĆI DIO'!$C$3,'OPĆI DIO'!$L$6:$U$120,10,FALSE))</f>
        <v>08008</v>
      </c>
      <c r="B22" s="62" t="str">
        <f>IF(E22="","",VLOOKUP('OPĆI DIO'!$C$3,'OPĆI DIO'!$L$6:$U$120,9,FALSE))</f>
        <v>Javni instituti</v>
      </c>
      <c r="C22" s="63">
        <v>11</v>
      </c>
      <c r="D22" s="64" t="s">
        <v>487</v>
      </c>
      <c r="E22" s="68" t="s">
        <v>479</v>
      </c>
      <c r="F22" s="66" t="s">
        <v>488</v>
      </c>
      <c r="G22" s="67">
        <v>2658</v>
      </c>
      <c r="H22" s="67"/>
      <c r="I22" s="67"/>
      <c r="J22" s="68"/>
      <c r="L22" s="51" t="str">
        <f t="shared" ref="L22" si="5">LEFT(E22,2)</f>
        <v>67</v>
      </c>
      <c r="M22" s="51" t="str">
        <f t="shared" ref="M22" si="6">LEFT(E22,3)</f>
        <v>671</v>
      </c>
      <c r="N22" s="51">
        <v>581</v>
      </c>
      <c r="O22" s="76" t="s">
        <v>522</v>
      </c>
      <c r="R22" s="73">
        <v>632310563</v>
      </c>
      <c r="S22" s="72" t="s">
        <v>523</v>
      </c>
      <c r="T22" s="73">
        <v>563</v>
      </c>
      <c r="U22" s="72" t="s">
        <v>512</v>
      </c>
      <c r="V22" s="69">
        <v>632</v>
      </c>
      <c r="W22" s="69">
        <v>63</v>
      </c>
    </row>
    <row r="23" spans="1:23" ht="15.75" customHeight="1">
      <c r="A23" s="62" t="str">
        <f>IF(E23="","",VLOOKUP('OPĆI DIO'!$C$3,'OPĆI DIO'!$L$6:$U$120,10,FALSE))</f>
        <v>08008</v>
      </c>
      <c r="B23" s="62" t="str">
        <f>IF(E23="","",VLOOKUP('OPĆI DIO'!$C$3,'OPĆI DIO'!$L$6:$U$120,9,FALSE))</f>
        <v>Javni instituti</v>
      </c>
      <c r="C23" s="63">
        <f t="shared" si="0"/>
        <v>61</v>
      </c>
      <c r="D23" s="64" t="str">
        <f t="shared" si="1"/>
        <v xml:space="preserve">Donacije </v>
      </c>
      <c r="E23" s="68">
        <v>663120000</v>
      </c>
      <c r="F23" s="66" t="str">
        <f t="shared" si="2"/>
        <v>Tekuće donacije od neprofitnih organizacija</v>
      </c>
      <c r="G23" s="67">
        <v>62725</v>
      </c>
      <c r="H23" s="67">
        <v>36925</v>
      </c>
      <c r="I23" s="67">
        <v>63852</v>
      </c>
      <c r="J23" s="68"/>
      <c r="L23" s="51" t="str">
        <f t="shared" si="3"/>
        <v>66</v>
      </c>
      <c r="M23" s="51" t="str">
        <f t="shared" si="4"/>
        <v>663</v>
      </c>
      <c r="N23" s="51">
        <v>61</v>
      </c>
      <c r="O23" s="51" t="s">
        <v>524</v>
      </c>
      <c r="R23" s="73">
        <v>632310573</v>
      </c>
      <c r="S23" s="72" t="s">
        <v>525</v>
      </c>
      <c r="T23" s="73">
        <v>573</v>
      </c>
      <c r="U23" s="72" t="s">
        <v>515</v>
      </c>
      <c r="V23" s="69">
        <v>632</v>
      </c>
      <c r="W23" s="69">
        <v>63</v>
      </c>
    </row>
    <row r="24" spans="1:23" ht="15.75" customHeight="1">
      <c r="A24" s="62" t="str">
        <f>IF(E24="","",VLOOKUP('OPĆI DIO'!$C$3,'OPĆI DIO'!$L$6:$U$120,10,FALSE))</f>
        <v>08008</v>
      </c>
      <c r="B24" s="62" t="str">
        <f>IF(E24="","",VLOOKUP('OPĆI DIO'!$C$3,'OPĆI DIO'!$L$6:$U$120,9,FALSE))</f>
        <v>Javni instituti</v>
      </c>
      <c r="C24" s="63">
        <f t="shared" si="0"/>
        <v>61</v>
      </c>
      <c r="D24" s="64" t="str">
        <f t="shared" si="1"/>
        <v xml:space="preserve">Donacije </v>
      </c>
      <c r="E24" s="68">
        <v>663130000</v>
      </c>
      <c r="F24" s="66" t="str">
        <f t="shared" si="2"/>
        <v>Tekuće donacije od trgovačkih društava</v>
      </c>
      <c r="G24" s="67">
        <v>434481</v>
      </c>
      <c r="H24" s="67"/>
      <c r="I24" s="67"/>
      <c r="J24" s="68"/>
      <c r="L24" s="51" t="str">
        <f t="shared" si="3"/>
        <v>66</v>
      </c>
      <c r="M24" s="51" t="str">
        <f t="shared" si="4"/>
        <v>663</v>
      </c>
      <c r="N24" s="23">
        <v>63</v>
      </c>
      <c r="O24" s="51" t="s">
        <v>526</v>
      </c>
      <c r="R24" s="73">
        <v>632310575</v>
      </c>
      <c r="S24" s="72" t="s">
        <v>527</v>
      </c>
      <c r="T24" s="73">
        <v>575</v>
      </c>
      <c r="U24" s="72" t="s">
        <v>518</v>
      </c>
      <c r="V24" s="69">
        <v>632</v>
      </c>
      <c r="W24" s="69">
        <v>63</v>
      </c>
    </row>
    <row r="25" spans="1:23" ht="15.75" customHeight="1">
      <c r="A25" s="62" t="str">
        <f>IF(E25="","",VLOOKUP('OPĆI DIO'!$C$3,'OPĆI DIO'!$L$6:$U$120,10,FALSE))</f>
        <v>08008</v>
      </c>
      <c r="B25" s="62" t="str">
        <f>IF(E25="","",VLOOKUP('OPĆI DIO'!$C$3,'OPĆI DIO'!$L$6:$U$120,9,FALSE))</f>
        <v>Javni instituti</v>
      </c>
      <c r="C25" s="63">
        <f t="shared" si="0"/>
        <v>61</v>
      </c>
      <c r="D25" s="64" t="str">
        <f t="shared" si="1"/>
        <v xml:space="preserve">Donacije </v>
      </c>
      <c r="E25" s="68">
        <v>663120000</v>
      </c>
      <c r="F25" s="66" t="str">
        <f t="shared" si="2"/>
        <v>Tekuće donacije od neprofitnih organizacija</v>
      </c>
      <c r="G25" s="67">
        <v>10142</v>
      </c>
      <c r="H25" s="67">
        <v>11157</v>
      </c>
      <c r="I25" s="67">
        <v>12273</v>
      </c>
      <c r="J25" s="68"/>
      <c r="L25" s="51" t="str">
        <f t="shared" si="3"/>
        <v>66</v>
      </c>
      <c r="M25" s="51" t="str">
        <f t="shared" si="4"/>
        <v>663</v>
      </c>
      <c r="N25" s="51">
        <v>71</v>
      </c>
      <c r="O25" s="51" t="s">
        <v>528</v>
      </c>
      <c r="R25" s="77">
        <v>632315761</v>
      </c>
      <c r="S25" s="78" t="s">
        <v>529</v>
      </c>
      <c r="T25" s="77">
        <v>576</v>
      </c>
      <c r="U25" s="78" t="s">
        <v>530</v>
      </c>
      <c r="V25" s="69">
        <v>632</v>
      </c>
      <c r="W25" s="69">
        <v>63</v>
      </c>
    </row>
    <row r="26" spans="1:23" ht="15.75" customHeight="1">
      <c r="A26" s="79" t="str">
        <f>IF(E26="","",VLOOKUP('OPĆI DIO'!$C$3,'OPĆI DIO'!$L$6:$U$120,10,FALSE))</f>
        <v/>
      </c>
      <c r="B26" s="79" t="str">
        <f>IF(E26="","",VLOOKUP('OPĆI DIO'!$C$3,'OPĆI DIO'!$L$6:$U$120,9,FALSE))</f>
        <v/>
      </c>
      <c r="C26" s="63" t="str">
        <f t="shared" si="0"/>
        <v/>
      </c>
      <c r="D26" s="64" t="str">
        <f t="shared" si="1"/>
        <v/>
      </c>
      <c r="E26" s="68"/>
      <c r="F26" s="66" t="str">
        <f t="shared" si="2"/>
        <v/>
      </c>
      <c r="G26" s="67"/>
      <c r="H26" s="67"/>
      <c r="I26" s="67"/>
      <c r="J26" s="68"/>
      <c r="L26" s="51" t="str">
        <f t="shared" si="3"/>
        <v/>
      </c>
      <c r="M26" s="51" t="str">
        <f t="shared" si="4"/>
        <v/>
      </c>
      <c r="N26" s="51">
        <v>81</v>
      </c>
      <c r="O26" s="51" t="s">
        <v>531</v>
      </c>
      <c r="R26" s="77">
        <v>632315762</v>
      </c>
      <c r="S26" s="78" t="s">
        <v>532</v>
      </c>
      <c r="T26" s="77">
        <v>576</v>
      </c>
      <c r="U26" s="78" t="s">
        <v>530</v>
      </c>
      <c r="V26" s="69">
        <v>632</v>
      </c>
      <c r="W26" s="69">
        <v>63</v>
      </c>
    </row>
    <row r="27" spans="1:23" ht="15.75" customHeight="1">
      <c r="A27" s="79" t="str">
        <f>IF(E27="","",VLOOKUP('OPĆI DIO'!$C$3,'OPĆI DIO'!$L$6:$U$120,10,FALSE))</f>
        <v/>
      </c>
      <c r="B27" s="79" t="str">
        <f>IF(E27="","",VLOOKUP('OPĆI DIO'!$C$3,'OPĆI DIO'!$L$6:$U$120,9,FALSE))</f>
        <v/>
      </c>
      <c r="C27" s="63" t="str">
        <f t="shared" si="0"/>
        <v/>
      </c>
      <c r="D27" s="64" t="str">
        <f t="shared" si="1"/>
        <v/>
      </c>
      <c r="E27" s="68"/>
      <c r="F27" s="66" t="str">
        <f t="shared" si="2"/>
        <v/>
      </c>
      <c r="G27" s="67"/>
      <c r="H27" s="67"/>
      <c r="I27" s="67"/>
      <c r="J27" s="68"/>
      <c r="L27" s="51" t="str">
        <f t="shared" si="3"/>
        <v/>
      </c>
      <c r="M27" s="51" t="str">
        <f t="shared" si="4"/>
        <v/>
      </c>
      <c r="N27" s="51"/>
      <c r="O27" s="51"/>
      <c r="R27" s="73">
        <v>632310581</v>
      </c>
      <c r="S27" s="72" t="s">
        <v>533</v>
      </c>
      <c r="T27" s="73">
        <v>581</v>
      </c>
      <c r="U27" s="72" t="s">
        <v>522</v>
      </c>
      <c r="V27" s="69">
        <v>632</v>
      </c>
      <c r="W27" s="69">
        <v>63</v>
      </c>
    </row>
    <row r="28" spans="1:23" ht="15.75" customHeight="1">
      <c r="A28" s="79" t="str">
        <f>IF(E28="","",VLOOKUP('OPĆI DIO'!$C$3,'OPĆI DIO'!$L$6:$U$120,10,FALSE))</f>
        <v/>
      </c>
      <c r="B28" s="79" t="str">
        <f>IF(E28="","",VLOOKUP('OPĆI DIO'!$C$3,'OPĆI DIO'!$L$6:$U$120,9,FALSE))</f>
        <v/>
      </c>
      <c r="C28" s="63" t="str">
        <f t="shared" si="0"/>
        <v/>
      </c>
      <c r="D28" s="64" t="str">
        <f t="shared" si="1"/>
        <v/>
      </c>
      <c r="E28" s="68"/>
      <c r="F28" s="66" t="str">
        <f t="shared" si="2"/>
        <v/>
      </c>
      <c r="G28" s="67"/>
      <c r="H28" s="67"/>
      <c r="I28" s="67"/>
      <c r="J28" s="68"/>
      <c r="L28" s="51" t="str">
        <f t="shared" si="3"/>
        <v/>
      </c>
      <c r="M28" s="51" t="str">
        <f t="shared" si="4"/>
        <v/>
      </c>
      <c r="R28" s="73">
        <v>632311700</v>
      </c>
      <c r="S28" s="72" t="s">
        <v>534</v>
      </c>
      <c r="T28" s="73">
        <v>51</v>
      </c>
      <c r="U28" s="72" t="s">
        <v>535</v>
      </c>
      <c r="V28" s="69">
        <v>632</v>
      </c>
      <c r="W28" s="69">
        <v>63</v>
      </c>
    </row>
    <row r="29" spans="1:23" ht="15.75" customHeight="1">
      <c r="A29" s="79" t="str">
        <f>IF(E29="","",VLOOKUP('OPĆI DIO'!$C$3,'OPĆI DIO'!$L$6:$U$120,10,FALSE))</f>
        <v/>
      </c>
      <c r="B29" s="79" t="str">
        <f>IF(E29="","",VLOOKUP('OPĆI DIO'!$C$3,'OPĆI DIO'!$L$6:$U$120,9,FALSE))</f>
        <v/>
      </c>
      <c r="C29" s="63" t="str">
        <f t="shared" si="0"/>
        <v/>
      </c>
      <c r="D29" s="64" t="str">
        <f t="shared" si="1"/>
        <v/>
      </c>
      <c r="E29" s="68"/>
      <c r="F29" s="66" t="str">
        <f t="shared" si="2"/>
        <v/>
      </c>
      <c r="G29" s="67"/>
      <c r="H29" s="67"/>
      <c r="I29" s="67"/>
      <c r="J29" s="68"/>
      <c r="L29" s="51" t="str">
        <f t="shared" si="3"/>
        <v/>
      </c>
      <c r="M29" s="51" t="str">
        <f t="shared" si="4"/>
        <v/>
      </c>
      <c r="R29" s="73">
        <v>632311800</v>
      </c>
      <c r="S29" s="72" t="s">
        <v>536</v>
      </c>
      <c r="T29" s="73">
        <v>51</v>
      </c>
      <c r="U29" s="72" t="s">
        <v>535</v>
      </c>
      <c r="V29" s="69">
        <v>632</v>
      </c>
      <c r="W29" s="69">
        <v>63</v>
      </c>
    </row>
    <row r="30" spans="1:23" ht="15.75" customHeight="1">
      <c r="A30" s="79" t="str">
        <f>IF(E30="","",VLOOKUP('OPĆI DIO'!$C$3,'OPĆI DIO'!$L$6:$U$120,10,FALSE))</f>
        <v/>
      </c>
      <c r="B30" s="79" t="str">
        <f>IF(E30="","",VLOOKUP('OPĆI DIO'!$C$3,'OPĆI DIO'!$L$6:$U$120,9,FALSE))</f>
        <v/>
      </c>
      <c r="C30" s="63" t="str">
        <f t="shared" si="0"/>
        <v/>
      </c>
      <c r="D30" s="64" t="str">
        <f t="shared" si="1"/>
        <v/>
      </c>
      <c r="E30" s="68"/>
      <c r="F30" s="66" t="str">
        <f t="shared" si="2"/>
        <v/>
      </c>
      <c r="G30" s="67"/>
      <c r="H30" s="67"/>
      <c r="I30" s="67"/>
      <c r="J30" s="68"/>
      <c r="L30" s="51" t="str">
        <f t="shared" si="3"/>
        <v/>
      </c>
      <c r="M30" s="51" t="str">
        <f t="shared" si="4"/>
        <v/>
      </c>
      <c r="R30" s="73">
        <v>632410552</v>
      </c>
      <c r="S30" s="72" t="s">
        <v>537</v>
      </c>
      <c r="T30" s="73">
        <v>552</v>
      </c>
      <c r="U30" s="72" t="s">
        <v>503</v>
      </c>
      <c r="V30" s="69">
        <v>632</v>
      </c>
      <c r="W30" s="69">
        <v>63</v>
      </c>
    </row>
    <row r="31" spans="1:23" ht="15.75" customHeight="1">
      <c r="A31" s="79" t="str">
        <f>IF(E31="","",VLOOKUP('OPĆI DIO'!$C$3,'OPĆI DIO'!$L$6:$U$120,10,FALSE))</f>
        <v/>
      </c>
      <c r="B31" s="79" t="str">
        <f>IF(E31="","",VLOOKUP('OPĆI DIO'!$C$3,'OPĆI DIO'!$L$6:$U$120,9,FALSE))</f>
        <v/>
      </c>
      <c r="C31" s="63" t="str">
        <f t="shared" si="0"/>
        <v/>
      </c>
      <c r="D31" s="64" t="str">
        <f t="shared" si="1"/>
        <v/>
      </c>
      <c r="E31" s="68"/>
      <c r="F31" s="66" t="str">
        <f t="shared" si="2"/>
        <v/>
      </c>
      <c r="G31" s="67"/>
      <c r="H31" s="67"/>
      <c r="I31" s="67"/>
      <c r="J31" s="68"/>
      <c r="L31" s="51" t="str">
        <f t="shared" si="3"/>
        <v/>
      </c>
      <c r="M31" s="51" t="str">
        <f t="shared" si="4"/>
        <v/>
      </c>
      <c r="R31" s="73">
        <v>632410559</v>
      </c>
      <c r="S31" s="72" t="s">
        <v>538</v>
      </c>
      <c r="T31" s="73">
        <v>559</v>
      </c>
      <c r="U31" s="72" t="s">
        <v>506</v>
      </c>
      <c r="V31" s="69">
        <v>632</v>
      </c>
      <c r="W31" s="69">
        <v>63</v>
      </c>
    </row>
    <row r="32" spans="1:23" ht="15.75" customHeight="1">
      <c r="A32" s="79" t="str">
        <f>IF(E32="","",VLOOKUP('OPĆI DIO'!$C$3,'OPĆI DIO'!$L$6:$U$120,10,FALSE))</f>
        <v/>
      </c>
      <c r="B32" s="79" t="str">
        <f>IF(E32="","",VLOOKUP('OPĆI DIO'!$C$3,'OPĆI DIO'!$L$6:$U$120,9,FALSE))</f>
        <v/>
      </c>
      <c r="C32" s="63" t="str">
        <f t="shared" si="0"/>
        <v/>
      </c>
      <c r="D32" s="64" t="str">
        <f t="shared" si="1"/>
        <v/>
      </c>
      <c r="E32" s="68"/>
      <c r="F32" s="66" t="str">
        <f t="shared" si="2"/>
        <v/>
      </c>
      <c r="G32" s="67"/>
      <c r="H32" s="67"/>
      <c r="I32" s="67"/>
      <c r="J32" s="68"/>
      <c r="L32" s="51" t="str">
        <f t="shared" si="3"/>
        <v/>
      </c>
      <c r="M32" s="51" t="str">
        <f t="shared" si="4"/>
        <v/>
      </c>
      <c r="R32" s="73">
        <v>632410561</v>
      </c>
      <c r="S32" s="72" t="s">
        <v>509</v>
      </c>
      <c r="T32" s="73">
        <v>561</v>
      </c>
      <c r="U32" s="72" t="s">
        <v>509</v>
      </c>
      <c r="V32" s="69">
        <v>632</v>
      </c>
      <c r="W32" s="69">
        <v>63</v>
      </c>
    </row>
    <row r="33" spans="1:23" ht="15.75" customHeight="1">
      <c r="A33" s="79" t="str">
        <f>IF(E33="","",VLOOKUP('OPĆI DIO'!$C$3,'OPĆI DIO'!$L$6:$U$120,10,FALSE))</f>
        <v/>
      </c>
      <c r="B33" s="79" t="str">
        <f>IF(E33="","",VLOOKUP('OPĆI DIO'!$C$3,'OPĆI DIO'!$L$6:$U$120,9,FALSE))</f>
        <v/>
      </c>
      <c r="C33" s="63" t="str">
        <f t="shared" si="0"/>
        <v/>
      </c>
      <c r="D33" s="64" t="str">
        <f t="shared" si="1"/>
        <v/>
      </c>
      <c r="E33" s="68"/>
      <c r="F33" s="66" t="str">
        <f t="shared" si="2"/>
        <v/>
      </c>
      <c r="G33" s="67"/>
      <c r="H33" s="67"/>
      <c r="I33" s="67"/>
      <c r="J33" s="68"/>
      <c r="L33" s="51" t="str">
        <f t="shared" si="3"/>
        <v/>
      </c>
      <c r="M33" s="51" t="str">
        <f t="shared" si="4"/>
        <v/>
      </c>
      <c r="R33" s="73">
        <v>632410563</v>
      </c>
      <c r="S33" s="72" t="s">
        <v>523</v>
      </c>
      <c r="T33" s="73">
        <v>563</v>
      </c>
      <c r="U33" s="72" t="s">
        <v>512</v>
      </c>
      <c r="V33" s="69">
        <v>632</v>
      </c>
      <c r="W33" s="69">
        <v>63</v>
      </c>
    </row>
    <row r="34" spans="1:23" ht="15.75" customHeight="1">
      <c r="A34" s="79" t="str">
        <f>IF(E34="","",VLOOKUP('OPĆI DIO'!$C$3,'OPĆI DIO'!$L$6:$U$120,10,FALSE))</f>
        <v/>
      </c>
      <c r="B34" s="79" t="str">
        <f>IF(E34="","",VLOOKUP('OPĆI DIO'!$C$3,'OPĆI DIO'!$L$6:$U$120,9,FALSE))</f>
        <v/>
      </c>
      <c r="C34" s="63" t="str">
        <f t="shared" si="0"/>
        <v/>
      </c>
      <c r="D34" s="64" t="str">
        <f t="shared" si="1"/>
        <v/>
      </c>
      <c r="E34" s="68"/>
      <c r="F34" s="66" t="str">
        <f t="shared" si="2"/>
        <v/>
      </c>
      <c r="G34" s="67"/>
      <c r="H34" s="67"/>
      <c r="I34" s="67"/>
      <c r="J34" s="68"/>
      <c r="L34" s="51" t="str">
        <f t="shared" si="3"/>
        <v/>
      </c>
      <c r="M34" s="51" t="str">
        <f t="shared" si="4"/>
        <v/>
      </c>
      <c r="R34" s="73">
        <v>632410573</v>
      </c>
      <c r="S34" s="72" t="s">
        <v>539</v>
      </c>
      <c r="T34" s="73">
        <v>573</v>
      </c>
      <c r="U34" s="72" t="s">
        <v>515</v>
      </c>
      <c r="V34" s="69">
        <v>632</v>
      </c>
      <c r="W34" s="69">
        <v>63</v>
      </c>
    </row>
    <row r="35" spans="1:23" ht="15.75" customHeight="1">
      <c r="A35" s="79" t="str">
        <f>IF(E35="","",VLOOKUP('OPĆI DIO'!$C$3,'OPĆI DIO'!$L$6:$U$120,10,FALSE))</f>
        <v/>
      </c>
      <c r="B35" s="79" t="str">
        <f>IF(E35="","",VLOOKUP('OPĆI DIO'!$C$3,'OPĆI DIO'!$L$6:$U$120,9,FALSE))</f>
        <v/>
      </c>
      <c r="C35" s="63" t="str">
        <f t="shared" si="0"/>
        <v/>
      </c>
      <c r="D35" s="64" t="str">
        <f t="shared" si="1"/>
        <v/>
      </c>
      <c r="E35" s="68"/>
      <c r="F35" s="66" t="str">
        <f t="shared" si="2"/>
        <v/>
      </c>
      <c r="G35" s="67"/>
      <c r="H35" s="67"/>
      <c r="I35" s="67"/>
      <c r="J35" s="68"/>
      <c r="L35" s="51" t="str">
        <f t="shared" si="3"/>
        <v/>
      </c>
      <c r="M35" s="51" t="str">
        <f t="shared" si="4"/>
        <v/>
      </c>
      <c r="R35" s="73">
        <v>632410575</v>
      </c>
      <c r="S35" s="72" t="s">
        <v>540</v>
      </c>
      <c r="T35" s="73">
        <v>575</v>
      </c>
      <c r="U35" s="72" t="s">
        <v>518</v>
      </c>
      <c r="V35" s="69">
        <v>632</v>
      </c>
      <c r="W35" s="69">
        <v>63</v>
      </c>
    </row>
    <row r="36" spans="1:23" ht="15.75" customHeight="1">
      <c r="A36" s="79" t="str">
        <f>IF(E36="","",VLOOKUP('OPĆI DIO'!$C$3,'OPĆI DIO'!$L$6:$U$120,10,FALSE))</f>
        <v/>
      </c>
      <c r="B36" s="79" t="str">
        <f>IF(E36="","",VLOOKUP('OPĆI DIO'!$C$3,'OPĆI DIO'!$L$6:$U$120,9,FALSE))</f>
        <v/>
      </c>
      <c r="C36" s="63" t="str">
        <f t="shared" si="0"/>
        <v/>
      </c>
      <c r="D36" s="64" t="str">
        <f t="shared" si="1"/>
        <v/>
      </c>
      <c r="E36" s="68"/>
      <c r="F36" s="66" t="str">
        <f t="shared" si="2"/>
        <v/>
      </c>
      <c r="G36" s="67"/>
      <c r="H36" s="67"/>
      <c r="I36" s="67"/>
      <c r="J36" s="68"/>
      <c r="L36" s="51" t="str">
        <f t="shared" si="3"/>
        <v/>
      </c>
      <c r="M36" s="51" t="str">
        <f t="shared" si="4"/>
        <v/>
      </c>
      <c r="R36" s="77">
        <v>632415761</v>
      </c>
      <c r="S36" s="78" t="s">
        <v>541</v>
      </c>
      <c r="T36" s="77">
        <v>576</v>
      </c>
      <c r="U36" s="78" t="s">
        <v>530</v>
      </c>
      <c r="V36" s="69">
        <v>632</v>
      </c>
      <c r="W36" s="69">
        <v>63</v>
      </c>
    </row>
    <row r="37" spans="1:23" ht="15.75" customHeight="1">
      <c r="A37" s="79" t="str">
        <f>IF(E37="","",VLOOKUP('OPĆI DIO'!$C$3,'OPĆI DIO'!$L$6:$U$120,10,FALSE))</f>
        <v/>
      </c>
      <c r="B37" s="79" t="str">
        <f>IF(E37="","",VLOOKUP('OPĆI DIO'!$C$3,'OPĆI DIO'!$L$6:$U$120,9,FALSE))</f>
        <v/>
      </c>
      <c r="C37" s="63" t="str">
        <f t="shared" si="0"/>
        <v/>
      </c>
      <c r="D37" s="64" t="str">
        <f t="shared" si="1"/>
        <v/>
      </c>
      <c r="E37" s="68"/>
      <c r="F37" s="66" t="str">
        <f t="shared" si="2"/>
        <v/>
      </c>
      <c r="G37" s="67"/>
      <c r="H37" s="67"/>
      <c r="I37" s="67"/>
      <c r="J37" s="68"/>
      <c r="L37" s="51" t="str">
        <f t="shared" si="3"/>
        <v/>
      </c>
      <c r="M37" s="51" t="str">
        <f t="shared" si="4"/>
        <v/>
      </c>
      <c r="R37" s="77">
        <v>632415762</v>
      </c>
      <c r="S37" s="78" t="s">
        <v>542</v>
      </c>
      <c r="T37" s="77">
        <v>576</v>
      </c>
      <c r="U37" s="78" t="s">
        <v>530</v>
      </c>
      <c r="V37" s="69">
        <v>632</v>
      </c>
      <c r="W37" s="69">
        <v>63</v>
      </c>
    </row>
    <row r="38" spans="1:23" ht="15.75" customHeight="1">
      <c r="A38" s="79" t="str">
        <f>IF(E38="","",VLOOKUP('OPĆI DIO'!$C$3,'OPĆI DIO'!$L$6:$U$120,10,FALSE))</f>
        <v/>
      </c>
      <c r="B38" s="79" t="str">
        <f>IF(E38="","",VLOOKUP('OPĆI DIO'!$C$3,'OPĆI DIO'!$L$6:$U$120,9,FALSE))</f>
        <v/>
      </c>
      <c r="C38" s="63" t="str">
        <f t="shared" si="0"/>
        <v/>
      </c>
      <c r="D38" s="64" t="str">
        <f t="shared" si="1"/>
        <v/>
      </c>
      <c r="E38" s="68"/>
      <c r="F38" s="66" t="str">
        <f t="shared" si="2"/>
        <v/>
      </c>
      <c r="G38" s="67"/>
      <c r="H38" s="67"/>
      <c r="I38" s="67"/>
      <c r="J38" s="68"/>
      <c r="L38" s="51" t="str">
        <f t="shared" si="3"/>
        <v/>
      </c>
      <c r="M38" s="51" t="str">
        <f t="shared" si="4"/>
        <v/>
      </c>
      <c r="R38" s="73">
        <v>632410581</v>
      </c>
      <c r="S38" s="72" t="s">
        <v>543</v>
      </c>
      <c r="T38" s="73">
        <v>581</v>
      </c>
      <c r="U38" s="72" t="s">
        <v>522</v>
      </c>
      <c r="V38" s="69">
        <v>632</v>
      </c>
      <c r="W38" s="69">
        <v>63</v>
      </c>
    </row>
    <row r="39" spans="1:23" ht="15.75" customHeight="1">
      <c r="A39" s="79" t="str">
        <f>IF(E39="","",VLOOKUP('OPĆI DIO'!$C$3,'OPĆI DIO'!$L$6:$U$120,10,FALSE))</f>
        <v/>
      </c>
      <c r="B39" s="79" t="str">
        <f>IF(E39="","",VLOOKUP('OPĆI DIO'!$C$3,'OPĆI DIO'!$L$6:$U$120,9,FALSE))</f>
        <v/>
      </c>
      <c r="C39" s="63" t="str">
        <f t="shared" si="0"/>
        <v/>
      </c>
      <c r="D39" s="64" t="str">
        <f t="shared" si="1"/>
        <v/>
      </c>
      <c r="E39" s="68"/>
      <c r="F39" s="66" t="str">
        <f t="shared" si="2"/>
        <v/>
      </c>
      <c r="G39" s="67"/>
      <c r="H39" s="67"/>
      <c r="I39" s="67"/>
      <c r="J39" s="68"/>
      <c r="L39" s="51" t="str">
        <f t="shared" si="3"/>
        <v/>
      </c>
      <c r="M39" s="51" t="str">
        <f t="shared" si="4"/>
        <v/>
      </c>
      <c r="R39" s="73">
        <v>632411700</v>
      </c>
      <c r="S39" s="72" t="s">
        <v>544</v>
      </c>
      <c r="T39" s="73">
        <v>51</v>
      </c>
      <c r="U39" s="72" t="s">
        <v>535</v>
      </c>
      <c r="V39" s="69">
        <v>632</v>
      </c>
      <c r="W39" s="69">
        <v>63</v>
      </c>
    </row>
    <row r="40" spans="1:23" ht="15.75" customHeight="1">
      <c r="A40" s="79" t="str">
        <f>IF(E40="","",VLOOKUP('OPĆI DIO'!$C$3,'OPĆI DIO'!$L$6:$U$120,10,FALSE))</f>
        <v/>
      </c>
      <c r="B40" s="79" t="str">
        <f>IF(E40="","",VLOOKUP('OPĆI DIO'!$C$3,'OPĆI DIO'!$L$6:$U$120,9,FALSE))</f>
        <v/>
      </c>
      <c r="C40" s="63" t="str">
        <f t="shared" si="0"/>
        <v/>
      </c>
      <c r="D40" s="64" t="str">
        <f t="shared" si="1"/>
        <v/>
      </c>
      <c r="E40" s="68"/>
      <c r="F40" s="66" t="str">
        <f t="shared" si="2"/>
        <v/>
      </c>
      <c r="G40" s="67"/>
      <c r="H40" s="67"/>
      <c r="I40" s="67"/>
      <c r="J40" s="68"/>
      <c r="K40" s="80"/>
      <c r="L40" s="51" t="str">
        <f t="shared" si="3"/>
        <v/>
      </c>
      <c r="M40" s="80">
        <f>+G11+G12+G38</f>
        <v>586237</v>
      </c>
      <c r="R40" s="73">
        <v>6341</v>
      </c>
      <c r="S40" s="72" t="s">
        <v>545</v>
      </c>
      <c r="T40" s="73">
        <v>52</v>
      </c>
      <c r="U40" s="72" t="s">
        <v>501</v>
      </c>
      <c r="V40" s="69">
        <v>634</v>
      </c>
      <c r="W40" s="69">
        <v>63</v>
      </c>
    </row>
    <row r="41" spans="1:23" ht="15.75" customHeight="1">
      <c r="A41" s="79" t="str">
        <f>IF(E41="","",VLOOKUP('OPĆI DIO'!$C$3,'OPĆI DIO'!$L$6:$U$120,10,FALSE))</f>
        <v/>
      </c>
      <c r="B41" s="79" t="str">
        <f>IF(E41="","",VLOOKUP('OPĆI DIO'!$C$3,'OPĆI DIO'!$L$6:$U$120,9,FALSE))</f>
        <v/>
      </c>
      <c r="C41" s="63" t="str">
        <f t="shared" si="0"/>
        <v/>
      </c>
      <c r="D41" s="64" t="str">
        <f t="shared" si="1"/>
        <v/>
      </c>
      <c r="E41" s="68"/>
      <c r="F41" s="66" t="str">
        <f t="shared" si="2"/>
        <v/>
      </c>
      <c r="G41" s="67"/>
      <c r="H41" s="67"/>
      <c r="I41" s="67"/>
      <c r="J41" s="68"/>
      <c r="L41" s="51" t="str">
        <f t="shared" si="3"/>
        <v/>
      </c>
      <c r="M41" s="51" t="str">
        <f t="shared" ref="M41:M502" si="7">LEFT(E41,3)</f>
        <v/>
      </c>
      <c r="R41" s="73">
        <v>6342</v>
      </c>
      <c r="S41" s="72" t="s">
        <v>546</v>
      </c>
      <c r="T41" s="73">
        <v>52</v>
      </c>
      <c r="U41" s="72" t="s">
        <v>501</v>
      </c>
      <c r="V41" s="69">
        <v>634</v>
      </c>
      <c r="W41" s="69">
        <v>63</v>
      </c>
    </row>
    <row r="42" spans="1:23" ht="15.75" customHeight="1">
      <c r="A42" s="79" t="str">
        <f>IF(E42="","",VLOOKUP('OPĆI DIO'!$C$3,'OPĆI DIO'!$L$6:$U$120,10,FALSE))</f>
        <v/>
      </c>
      <c r="B42" s="79" t="str">
        <f>IF(E42="","",VLOOKUP('OPĆI DIO'!$C$3,'OPĆI DIO'!$L$6:$U$120,9,FALSE))</f>
        <v/>
      </c>
      <c r="C42" s="63" t="str">
        <f t="shared" si="0"/>
        <v/>
      </c>
      <c r="D42" s="64" t="str">
        <f t="shared" si="1"/>
        <v/>
      </c>
      <c r="E42" s="68"/>
      <c r="F42" s="66" t="str">
        <f t="shared" si="2"/>
        <v/>
      </c>
      <c r="G42" s="67"/>
      <c r="H42" s="67"/>
      <c r="I42" s="67"/>
      <c r="J42" s="68"/>
      <c r="L42" s="51" t="str">
        <f t="shared" si="3"/>
        <v/>
      </c>
      <c r="M42" s="51" t="str">
        <f t="shared" si="7"/>
        <v/>
      </c>
      <c r="R42" s="73">
        <v>6361</v>
      </c>
      <c r="S42" s="72" t="s">
        <v>547</v>
      </c>
      <c r="T42" s="73">
        <v>52</v>
      </c>
      <c r="U42" s="72" t="s">
        <v>501</v>
      </c>
      <c r="V42" s="69">
        <v>636</v>
      </c>
      <c r="W42" s="69">
        <v>63</v>
      </c>
    </row>
    <row r="43" spans="1:23" ht="15.75" customHeight="1">
      <c r="A43" s="79" t="str">
        <f>IF(E43="","",VLOOKUP('OPĆI DIO'!$C$3,'OPĆI DIO'!$L$6:$U$120,10,FALSE))</f>
        <v/>
      </c>
      <c r="B43" s="79" t="str">
        <f>IF(E43="","",VLOOKUP('OPĆI DIO'!$C$3,'OPĆI DIO'!$L$6:$U$120,9,FALSE))</f>
        <v/>
      </c>
      <c r="C43" s="63" t="str">
        <f t="shared" si="0"/>
        <v/>
      </c>
      <c r="D43" s="64" t="str">
        <f t="shared" si="1"/>
        <v/>
      </c>
      <c r="E43" s="68"/>
      <c r="F43" s="66" t="str">
        <f t="shared" si="2"/>
        <v/>
      </c>
      <c r="G43" s="67"/>
      <c r="H43" s="67"/>
      <c r="I43" s="67"/>
      <c r="J43" s="68"/>
      <c r="L43" s="51" t="str">
        <f t="shared" si="3"/>
        <v/>
      </c>
      <c r="M43" s="51" t="str">
        <f t="shared" si="7"/>
        <v/>
      </c>
      <c r="R43" s="73">
        <v>6362</v>
      </c>
      <c r="S43" s="72" t="s">
        <v>548</v>
      </c>
      <c r="T43" s="73">
        <v>52</v>
      </c>
      <c r="U43" s="72" t="s">
        <v>501</v>
      </c>
      <c r="V43" s="69">
        <v>636</v>
      </c>
      <c r="W43" s="69">
        <v>63</v>
      </c>
    </row>
    <row r="44" spans="1:23" ht="15.75" customHeight="1">
      <c r="A44" s="79" t="str">
        <f>IF(E44="","",VLOOKUP('OPĆI DIO'!$C$3,'OPĆI DIO'!$L$6:$U$120,10,FALSE))</f>
        <v/>
      </c>
      <c r="B44" s="79" t="str">
        <f>IF(E44="","",VLOOKUP('OPĆI DIO'!$C$3,'OPĆI DIO'!$L$6:$U$120,9,FALSE))</f>
        <v/>
      </c>
      <c r="C44" s="63" t="str">
        <f t="shared" si="0"/>
        <v/>
      </c>
      <c r="D44" s="64" t="str">
        <f t="shared" si="1"/>
        <v/>
      </c>
      <c r="E44" s="68"/>
      <c r="F44" s="66" t="str">
        <f t="shared" si="2"/>
        <v/>
      </c>
      <c r="G44" s="67"/>
      <c r="H44" s="67"/>
      <c r="I44" s="67"/>
      <c r="J44" s="68"/>
      <c r="L44" s="51" t="str">
        <f t="shared" si="3"/>
        <v/>
      </c>
      <c r="M44" s="51" t="str">
        <f t="shared" si="7"/>
        <v/>
      </c>
      <c r="R44" s="73">
        <v>6381</v>
      </c>
      <c r="S44" s="72" t="s">
        <v>549</v>
      </c>
      <c r="T44" s="73">
        <v>52</v>
      </c>
      <c r="U44" s="72" t="s">
        <v>501</v>
      </c>
      <c r="V44" s="69">
        <v>638</v>
      </c>
      <c r="W44" s="69">
        <v>63</v>
      </c>
    </row>
    <row r="45" spans="1:23" ht="15.75" customHeight="1">
      <c r="A45" s="79" t="str">
        <f>IF(E45="","",VLOOKUP('OPĆI DIO'!$C$3,'OPĆI DIO'!$L$6:$U$120,10,FALSE))</f>
        <v/>
      </c>
      <c r="B45" s="79" t="str">
        <f>IF(E45="","",VLOOKUP('OPĆI DIO'!$C$3,'OPĆI DIO'!$L$6:$U$120,9,FALSE))</f>
        <v/>
      </c>
      <c r="C45" s="63" t="str">
        <f t="shared" si="0"/>
        <v/>
      </c>
      <c r="D45" s="64" t="str">
        <f t="shared" si="1"/>
        <v/>
      </c>
      <c r="E45" s="68"/>
      <c r="F45" s="66" t="str">
        <f t="shared" si="2"/>
        <v/>
      </c>
      <c r="G45" s="67"/>
      <c r="H45" s="67"/>
      <c r="I45" s="67"/>
      <c r="J45" s="68"/>
      <c r="L45" s="51" t="str">
        <f t="shared" si="3"/>
        <v/>
      </c>
      <c r="M45" s="51" t="str">
        <f t="shared" si="7"/>
        <v/>
      </c>
      <c r="R45" s="73">
        <v>6382</v>
      </c>
      <c r="S45" s="72" t="s">
        <v>550</v>
      </c>
      <c r="T45" s="73">
        <v>52</v>
      </c>
      <c r="U45" s="72" t="s">
        <v>501</v>
      </c>
      <c r="V45" s="69">
        <v>638</v>
      </c>
      <c r="W45" s="69">
        <v>63</v>
      </c>
    </row>
    <row r="46" spans="1:23" ht="15.75" customHeight="1">
      <c r="A46" s="79" t="str">
        <f>IF(E46="","",VLOOKUP('OPĆI DIO'!$C$3,'OPĆI DIO'!$L$6:$U$120,10,FALSE))</f>
        <v/>
      </c>
      <c r="B46" s="79" t="str">
        <f>IF(E46="","",VLOOKUP('OPĆI DIO'!$C$3,'OPĆI DIO'!$L$6:$U$120,9,FALSE))</f>
        <v/>
      </c>
      <c r="C46" s="63" t="str">
        <f t="shared" si="0"/>
        <v/>
      </c>
      <c r="D46" s="64" t="str">
        <f t="shared" si="1"/>
        <v/>
      </c>
      <c r="E46" s="68"/>
      <c r="F46" s="66" t="str">
        <f t="shared" si="2"/>
        <v/>
      </c>
      <c r="G46" s="67"/>
      <c r="H46" s="67"/>
      <c r="I46" s="67"/>
      <c r="J46" s="68"/>
      <c r="L46" s="51" t="str">
        <f t="shared" si="3"/>
        <v/>
      </c>
      <c r="M46" s="51" t="str">
        <f t="shared" si="7"/>
        <v/>
      </c>
      <c r="R46" s="73">
        <v>6391</v>
      </c>
      <c r="S46" s="72" t="s">
        <v>551</v>
      </c>
      <c r="T46" s="73">
        <v>52</v>
      </c>
      <c r="U46" s="72" t="s">
        <v>501</v>
      </c>
      <c r="V46" s="69">
        <v>639</v>
      </c>
      <c r="W46" s="69">
        <v>63</v>
      </c>
    </row>
    <row r="47" spans="1:23" ht="15.75" customHeight="1">
      <c r="A47" s="79" t="str">
        <f>IF(E47="","",VLOOKUP('OPĆI DIO'!$C$3,'OPĆI DIO'!$L$6:$U$120,10,FALSE))</f>
        <v/>
      </c>
      <c r="B47" s="79" t="str">
        <f>IF(E47="","",VLOOKUP('OPĆI DIO'!$C$3,'OPĆI DIO'!$L$6:$U$120,9,FALSE))</f>
        <v/>
      </c>
      <c r="C47" s="63" t="str">
        <f t="shared" si="0"/>
        <v/>
      </c>
      <c r="D47" s="64" t="str">
        <f t="shared" si="1"/>
        <v/>
      </c>
      <c r="E47" s="68"/>
      <c r="F47" s="66" t="str">
        <f t="shared" si="2"/>
        <v/>
      </c>
      <c r="G47" s="67"/>
      <c r="H47" s="67"/>
      <c r="I47" s="67"/>
      <c r="J47" s="68"/>
      <c r="L47" s="51" t="str">
        <f t="shared" si="3"/>
        <v/>
      </c>
      <c r="M47" s="51" t="str">
        <f t="shared" si="7"/>
        <v/>
      </c>
      <c r="R47" s="73">
        <v>6392</v>
      </c>
      <c r="S47" s="72" t="s">
        <v>552</v>
      </c>
      <c r="T47" s="73">
        <v>52</v>
      </c>
      <c r="U47" s="72" t="s">
        <v>501</v>
      </c>
      <c r="V47" s="69">
        <v>639</v>
      </c>
      <c r="W47" s="69">
        <v>63</v>
      </c>
    </row>
    <row r="48" spans="1:23" ht="15.75" customHeight="1">
      <c r="A48" s="79" t="str">
        <f>IF(E48="","",VLOOKUP('OPĆI DIO'!$C$3,'OPĆI DIO'!$L$6:$U$120,10,FALSE))</f>
        <v/>
      </c>
      <c r="B48" s="79" t="str">
        <f>IF(E48="","",VLOOKUP('OPĆI DIO'!$C$3,'OPĆI DIO'!$L$6:$U$120,9,FALSE))</f>
        <v/>
      </c>
      <c r="C48" s="63" t="str">
        <f t="shared" si="0"/>
        <v/>
      </c>
      <c r="D48" s="64" t="str">
        <f t="shared" si="1"/>
        <v/>
      </c>
      <c r="E48" s="68"/>
      <c r="F48" s="66" t="str">
        <f t="shared" si="2"/>
        <v/>
      </c>
      <c r="G48" s="67"/>
      <c r="H48" s="67"/>
      <c r="I48" s="67"/>
      <c r="J48" s="68"/>
      <c r="L48" s="51" t="str">
        <f t="shared" si="3"/>
        <v/>
      </c>
      <c r="M48" s="51" t="str">
        <f t="shared" si="7"/>
        <v/>
      </c>
      <c r="R48" s="73">
        <v>6393</v>
      </c>
      <c r="S48" s="72" t="s">
        <v>553</v>
      </c>
      <c r="T48" s="73">
        <v>52</v>
      </c>
      <c r="U48" s="72" t="s">
        <v>501</v>
      </c>
      <c r="V48" s="69">
        <v>639</v>
      </c>
      <c r="W48" s="69">
        <v>63</v>
      </c>
    </row>
    <row r="49" spans="1:23" ht="15.75" customHeight="1">
      <c r="A49" s="79" t="str">
        <f>IF(E49="","",VLOOKUP('OPĆI DIO'!$C$3,'OPĆI DIO'!$L$6:$U$120,10,FALSE))</f>
        <v/>
      </c>
      <c r="B49" s="79" t="str">
        <f>IF(E49="","",VLOOKUP('OPĆI DIO'!$C$3,'OPĆI DIO'!$L$6:$U$120,9,FALSE))</f>
        <v/>
      </c>
      <c r="C49" s="63" t="str">
        <f t="shared" si="0"/>
        <v/>
      </c>
      <c r="D49" s="64" t="str">
        <f t="shared" si="1"/>
        <v/>
      </c>
      <c r="E49" s="68"/>
      <c r="F49" s="66" t="str">
        <f t="shared" si="2"/>
        <v/>
      </c>
      <c r="G49" s="67"/>
      <c r="H49" s="67"/>
      <c r="I49" s="67"/>
      <c r="J49" s="68"/>
      <c r="L49" s="51" t="str">
        <f t="shared" si="3"/>
        <v/>
      </c>
      <c r="M49" s="51" t="str">
        <f t="shared" si="7"/>
        <v/>
      </c>
      <c r="R49" s="73">
        <v>6394</v>
      </c>
      <c r="S49" s="72" t="s">
        <v>554</v>
      </c>
      <c r="T49" s="73">
        <v>52</v>
      </c>
      <c r="U49" s="72" t="s">
        <v>501</v>
      </c>
      <c r="V49" s="69">
        <v>639</v>
      </c>
      <c r="W49" s="69">
        <v>63</v>
      </c>
    </row>
    <row r="50" spans="1:23" ht="15.75" customHeight="1">
      <c r="A50" s="79" t="str">
        <f>IF(E50="","",VLOOKUP('OPĆI DIO'!$C$3,'OPĆI DIO'!$L$6:$U$120,10,FALSE))</f>
        <v/>
      </c>
      <c r="B50" s="79" t="str">
        <f>IF(E50="","",VLOOKUP('OPĆI DIO'!$C$3,'OPĆI DIO'!$L$6:$U$120,9,FALSE))</f>
        <v/>
      </c>
      <c r="C50" s="63" t="str">
        <f t="shared" si="0"/>
        <v/>
      </c>
      <c r="D50" s="64" t="str">
        <f t="shared" si="1"/>
        <v/>
      </c>
      <c r="E50" s="68"/>
      <c r="F50" s="66" t="str">
        <f t="shared" si="2"/>
        <v/>
      </c>
      <c r="G50" s="67"/>
      <c r="H50" s="67"/>
      <c r="I50" s="67"/>
      <c r="J50" s="68"/>
      <c r="L50" s="51" t="str">
        <f t="shared" si="3"/>
        <v/>
      </c>
      <c r="M50" s="51" t="str">
        <f t="shared" si="7"/>
        <v/>
      </c>
      <c r="R50" s="73">
        <v>641290031</v>
      </c>
      <c r="S50" s="72" t="s">
        <v>555</v>
      </c>
      <c r="T50" s="73">
        <v>31</v>
      </c>
      <c r="U50" s="72" t="s">
        <v>490</v>
      </c>
      <c r="V50" s="69">
        <v>641</v>
      </c>
      <c r="W50" s="69">
        <v>64</v>
      </c>
    </row>
    <row r="51" spans="1:23" ht="15.75" customHeight="1">
      <c r="A51" s="79" t="str">
        <f>IF(E51="","",VLOOKUP('OPĆI DIO'!$C$3,'OPĆI DIO'!$L$6:$U$120,10,FALSE))</f>
        <v/>
      </c>
      <c r="B51" s="79" t="str">
        <f>IF(E51="","",VLOOKUP('OPĆI DIO'!$C$3,'OPĆI DIO'!$L$6:$U$120,9,FALSE))</f>
        <v/>
      </c>
      <c r="C51" s="63" t="str">
        <f t="shared" si="0"/>
        <v/>
      </c>
      <c r="D51" s="64" t="str">
        <f t="shared" si="1"/>
        <v/>
      </c>
      <c r="E51" s="68"/>
      <c r="F51" s="66" t="str">
        <f t="shared" si="2"/>
        <v/>
      </c>
      <c r="G51" s="67"/>
      <c r="H51" s="67"/>
      <c r="I51" s="67"/>
      <c r="J51" s="68"/>
      <c r="L51" s="51" t="str">
        <f t="shared" si="3"/>
        <v/>
      </c>
      <c r="M51" s="51" t="str">
        <f t="shared" si="7"/>
        <v/>
      </c>
      <c r="R51" s="73">
        <v>641310031</v>
      </c>
      <c r="S51" s="72" t="s">
        <v>556</v>
      </c>
      <c r="T51" s="73">
        <v>31</v>
      </c>
      <c r="U51" s="72" t="s">
        <v>490</v>
      </c>
      <c r="V51" s="69">
        <v>641</v>
      </c>
      <c r="W51" s="69">
        <v>64</v>
      </c>
    </row>
    <row r="52" spans="1:23" ht="15.75" customHeight="1">
      <c r="A52" s="79" t="str">
        <f>IF(E52="","",VLOOKUP('OPĆI DIO'!$C$3,'OPĆI DIO'!$L$6:$U$120,10,FALSE))</f>
        <v/>
      </c>
      <c r="B52" s="79" t="str">
        <f>IF(E52="","",VLOOKUP('OPĆI DIO'!$C$3,'OPĆI DIO'!$L$6:$U$120,9,FALSE))</f>
        <v/>
      </c>
      <c r="C52" s="63" t="str">
        <f t="shared" si="0"/>
        <v/>
      </c>
      <c r="D52" s="64" t="str">
        <f t="shared" si="1"/>
        <v/>
      </c>
      <c r="E52" s="68"/>
      <c r="F52" s="66" t="str">
        <f t="shared" si="2"/>
        <v/>
      </c>
      <c r="G52" s="67"/>
      <c r="H52" s="67"/>
      <c r="I52" s="67"/>
      <c r="J52" s="68"/>
      <c r="L52" s="51" t="str">
        <f t="shared" si="3"/>
        <v/>
      </c>
      <c r="M52" s="51" t="str">
        <f t="shared" si="7"/>
        <v/>
      </c>
      <c r="R52" s="73">
        <v>641320031</v>
      </c>
      <c r="S52" s="72" t="s">
        <v>557</v>
      </c>
      <c r="T52" s="73">
        <v>31</v>
      </c>
      <c r="U52" s="72" t="s">
        <v>490</v>
      </c>
      <c r="V52" s="69">
        <v>641</v>
      </c>
      <c r="W52" s="69">
        <v>64</v>
      </c>
    </row>
    <row r="53" spans="1:23" ht="15.75" customHeight="1">
      <c r="A53" s="79" t="str">
        <f>IF(E53="","",VLOOKUP('OPĆI DIO'!$C$3,'OPĆI DIO'!$L$6:$U$120,10,FALSE))</f>
        <v/>
      </c>
      <c r="B53" s="79" t="str">
        <f>IF(E53="","",VLOOKUP('OPĆI DIO'!$C$3,'OPĆI DIO'!$L$6:$U$120,9,FALSE))</f>
        <v/>
      </c>
      <c r="C53" s="63" t="str">
        <f t="shared" si="0"/>
        <v/>
      </c>
      <c r="D53" s="64" t="str">
        <f t="shared" si="1"/>
        <v/>
      </c>
      <c r="E53" s="68"/>
      <c r="F53" s="66" t="str">
        <f t="shared" si="2"/>
        <v/>
      </c>
      <c r="G53" s="67"/>
      <c r="H53" s="67"/>
      <c r="I53" s="67"/>
      <c r="J53" s="68"/>
      <c r="L53" s="51" t="str">
        <f t="shared" si="3"/>
        <v/>
      </c>
      <c r="M53" s="51" t="str">
        <f t="shared" si="7"/>
        <v/>
      </c>
      <c r="R53" s="73">
        <v>641320043</v>
      </c>
      <c r="S53" s="72" t="s">
        <v>558</v>
      </c>
      <c r="T53" s="73">
        <v>43</v>
      </c>
      <c r="U53" s="72" t="s">
        <v>495</v>
      </c>
      <c r="V53" s="69">
        <v>641</v>
      </c>
      <c r="W53" s="69">
        <v>64</v>
      </c>
    </row>
    <row r="54" spans="1:23" ht="15.75" customHeight="1">
      <c r="A54" s="79" t="str">
        <f>IF(E54="","",VLOOKUP('OPĆI DIO'!$C$3,'OPĆI DIO'!$L$6:$U$120,10,FALSE))</f>
        <v/>
      </c>
      <c r="B54" s="79" t="str">
        <f>IF(E54="","",VLOOKUP('OPĆI DIO'!$C$3,'OPĆI DIO'!$L$6:$U$120,9,FALSE))</f>
        <v/>
      </c>
      <c r="C54" s="63" t="str">
        <f t="shared" si="0"/>
        <v/>
      </c>
      <c r="D54" s="64" t="str">
        <f t="shared" si="1"/>
        <v/>
      </c>
      <c r="E54" s="68"/>
      <c r="F54" s="66" t="str">
        <f t="shared" si="2"/>
        <v/>
      </c>
      <c r="G54" s="67"/>
      <c r="H54" s="67"/>
      <c r="I54" s="67"/>
      <c r="J54" s="68"/>
      <c r="L54" s="51" t="str">
        <f t="shared" si="3"/>
        <v/>
      </c>
      <c r="M54" s="51" t="str">
        <f t="shared" si="7"/>
        <v/>
      </c>
      <c r="R54" s="73">
        <v>641510031</v>
      </c>
      <c r="S54" s="72" t="s">
        <v>559</v>
      </c>
      <c r="T54" s="73">
        <v>31</v>
      </c>
      <c r="U54" s="72" t="s">
        <v>490</v>
      </c>
      <c r="V54" s="69">
        <v>641</v>
      </c>
      <c r="W54" s="69">
        <v>64</v>
      </c>
    </row>
    <row r="55" spans="1:23" ht="15.75" customHeight="1">
      <c r="A55" s="79" t="str">
        <f>IF(E55="","",VLOOKUP('OPĆI DIO'!$C$3,'OPĆI DIO'!$L$6:$U$120,10,FALSE))</f>
        <v/>
      </c>
      <c r="B55" s="79" t="str">
        <f>IF(E55="","",VLOOKUP('OPĆI DIO'!$C$3,'OPĆI DIO'!$L$6:$U$120,9,FALSE))</f>
        <v/>
      </c>
      <c r="C55" s="63" t="str">
        <f t="shared" si="0"/>
        <v/>
      </c>
      <c r="D55" s="64" t="str">
        <f t="shared" si="1"/>
        <v/>
      </c>
      <c r="E55" s="68"/>
      <c r="F55" s="66" t="str">
        <f t="shared" si="2"/>
        <v/>
      </c>
      <c r="G55" s="67"/>
      <c r="H55" s="67"/>
      <c r="I55" s="67"/>
      <c r="J55" s="68"/>
      <c r="L55" s="51" t="str">
        <f t="shared" si="3"/>
        <v/>
      </c>
      <c r="M55" s="51" t="str">
        <f t="shared" si="7"/>
        <v/>
      </c>
      <c r="R55" s="73">
        <v>641510043</v>
      </c>
      <c r="S55" s="72" t="s">
        <v>560</v>
      </c>
      <c r="T55" s="73">
        <v>43</v>
      </c>
      <c r="U55" s="72" t="s">
        <v>495</v>
      </c>
      <c r="V55" s="69">
        <v>641</v>
      </c>
      <c r="W55" s="69">
        <v>64</v>
      </c>
    </row>
    <row r="56" spans="1:23" ht="15.75" customHeight="1">
      <c r="A56" s="79" t="str">
        <f>IF(E56="","",VLOOKUP('OPĆI DIO'!$C$3,'OPĆI DIO'!$L$6:$U$120,10,FALSE))</f>
        <v/>
      </c>
      <c r="B56" s="79" t="str">
        <f>IF(E56="","",VLOOKUP('OPĆI DIO'!$C$3,'OPĆI DIO'!$L$6:$U$120,9,FALSE))</f>
        <v/>
      </c>
      <c r="C56" s="63" t="str">
        <f t="shared" si="0"/>
        <v/>
      </c>
      <c r="D56" s="64" t="str">
        <f t="shared" si="1"/>
        <v/>
      </c>
      <c r="E56" s="68"/>
      <c r="F56" s="66" t="str">
        <f t="shared" si="2"/>
        <v/>
      </c>
      <c r="G56" s="67"/>
      <c r="H56" s="67"/>
      <c r="I56" s="67"/>
      <c r="J56" s="68"/>
      <c r="L56" s="51" t="str">
        <f t="shared" si="3"/>
        <v/>
      </c>
      <c r="M56" s="51" t="str">
        <f t="shared" si="7"/>
        <v/>
      </c>
      <c r="R56" s="73">
        <v>641630031</v>
      </c>
      <c r="S56" s="72" t="s">
        <v>561</v>
      </c>
      <c r="T56" s="73">
        <v>31</v>
      </c>
      <c r="U56" s="72" t="s">
        <v>490</v>
      </c>
      <c r="V56" s="69">
        <v>641</v>
      </c>
      <c r="W56" s="69">
        <v>64</v>
      </c>
    </row>
    <row r="57" spans="1:23" ht="15.75" customHeight="1">
      <c r="A57" s="79" t="str">
        <f>IF(E57="","",VLOOKUP('OPĆI DIO'!$C$3,'OPĆI DIO'!$L$6:$U$120,10,FALSE))</f>
        <v/>
      </c>
      <c r="B57" s="79" t="str">
        <f>IF(E57="","",VLOOKUP('OPĆI DIO'!$C$3,'OPĆI DIO'!$L$6:$U$120,9,FALSE))</f>
        <v/>
      </c>
      <c r="C57" s="63" t="str">
        <f t="shared" si="0"/>
        <v/>
      </c>
      <c r="D57" s="64" t="str">
        <f t="shared" si="1"/>
        <v/>
      </c>
      <c r="E57" s="68"/>
      <c r="F57" s="66" t="str">
        <f t="shared" si="2"/>
        <v/>
      </c>
      <c r="G57" s="67"/>
      <c r="H57" s="67"/>
      <c r="I57" s="67"/>
      <c r="J57" s="68"/>
      <c r="L57" s="51" t="str">
        <f t="shared" si="3"/>
        <v/>
      </c>
      <c r="M57" s="51" t="str">
        <f t="shared" si="7"/>
        <v/>
      </c>
      <c r="R57" s="73">
        <v>641720043</v>
      </c>
      <c r="S57" s="72" t="s">
        <v>562</v>
      </c>
      <c r="T57" s="73">
        <v>43</v>
      </c>
      <c r="U57" s="72" t="s">
        <v>495</v>
      </c>
      <c r="V57" s="69">
        <v>641</v>
      </c>
      <c r="W57" s="69">
        <v>64</v>
      </c>
    </row>
    <row r="58" spans="1:23" ht="15.75" customHeight="1">
      <c r="A58" s="79" t="str">
        <f>IF(E58="","",VLOOKUP('OPĆI DIO'!$C$3,'OPĆI DIO'!$L$6:$U$120,10,FALSE))</f>
        <v/>
      </c>
      <c r="B58" s="79" t="str">
        <f>IF(E58="","",VLOOKUP('OPĆI DIO'!$C$3,'OPĆI DIO'!$L$6:$U$120,9,FALSE))</f>
        <v/>
      </c>
      <c r="C58" s="63" t="str">
        <f t="shared" si="0"/>
        <v/>
      </c>
      <c r="D58" s="64" t="str">
        <f t="shared" si="1"/>
        <v/>
      </c>
      <c r="E58" s="68"/>
      <c r="F58" s="66" t="str">
        <f t="shared" si="2"/>
        <v/>
      </c>
      <c r="G58" s="67"/>
      <c r="H58" s="67"/>
      <c r="I58" s="67"/>
      <c r="J58" s="68"/>
      <c r="L58" s="51" t="str">
        <f t="shared" si="3"/>
        <v/>
      </c>
      <c r="M58" s="51" t="str">
        <f t="shared" si="7"/>
        <v/>
      </c>
      <c r="R58" s="73">
        <v>641770041</v>
      </c>
      <c r="S58" s="72" t="s">
        <v>563</v>
      </c>
      <c r="T58" s="73">
        <v>41</v>
      </c>
      <c r="U58" s="72" t="s">
        <v>492</v>
      </c>
      <c r="V58" s="69">
        <v>641</v>
      </c>
      <c r="W58" s="69">
        <v>64</v>
      </c>
    </row>
    <row r="59" spans="1:23" ht="15.75" customHeight="1">
      <c r="A59" s="79" t="str">
        <f>IF(E59="","",VLOOKUP('OPĆI DIO'!$C$3,'OPĆI DIO'!$L$6:$U$120,10,FALSE))</f>
        <v/>
      </c>
      <c r="B59" s="79" t="str">
        <f>IF(E59="","",VLOOKUP('OPĆI DIO'!$C$3,'OPĆI DIO'!$L$6:$U$120,9,FALSE))</f>
        <v/>
      </c>
      <c r="C59" s="63" t="str">
        <f t="shared" si="0"/>
        <v/>
      </c>
      <c r="D59" s="64" t="str">
        <f t="shared" si="1"/>
        <v/>
      </c>
      <c r="E59" s="68"/>
      <c r="F59" s="66" t="str">
        <f t="shared" si="2"/>
        <v/>
      </c>
      <c r="G59" s="67"/>
      <c r="H59" s="67"/>
      <c r="I59" s="67"/>
      <c r="J59" s="68"/>
      <c r="L59" s="51" t="str">
        <f t="shared" si="3"/>
        <v/>
      </c>
      <c r="M59" s="51" t="str">
        <f t="shared" si="7"/>
        <v/>
      </c>
      <c r="R59" s="73">
        <v>641990043</v>
      </c>
      <c r="S59" s="72" t="s">
        <v>564</v>
      </c>
      <c r="T59" s="73">
        <v>43</v>
      </c>
      <c r="U59" s="72" t="s">
        <v>495</v>
      </c>
      <c r="V59" s="69">
        <v>641</v>
      </c>
      <c r="W59" s="69">
        <v>64</v>
      </c>
    </row>
    <row r="60" spans="1:23" ht="15.75" customHeight="1">
      <c r="A60" s="79" t="str">
        <f>IF(E60="","",VLOOKUP('OPĆI DIO'!$C$3,'OPĆI DIO'!$L$6:$U$120,10,FALSE))</f>
        <v/>
      </c>
      <c r="B60" s="79" t="str">
        <f>IF(E60="","",VLOOKUP('OPĆI DIO'!$C$3,'OPĆI DIO'!$L$6:$U$120,9,FALSE))</f>
        <v/>
      </c>
      <c r="C60" s="63" t="str">
        <f t="shared" si="0"/>
        <v/>
      </c>
      <c r="D60" s="64" t="str">
        <f t="shared" si="1"/>
        <v/>
      </c>
      <c r="E60" s="68"/>
      <c r="F60" s="66" t="str">
        <f t="shared" si="2"/>
        <v/>
      </c>
      <c r="G60" s="67"/>
      <c r="H60" s="67"/>
      <c r="I60" s="67"/>
      <c r="J60" s="68"/>
      <c r="L60" s="51" t="str">
        <f t="shared" si="3"/>
        <v/>
      </c>
      <c r="M60" s="51" t="str">
        <f t="shared" si="7"/>
        <v/>
      </c>
      <c r="R60" s="73">
        <v>642510031</v>
      </c>
      <c r="S60" s="72" t="s">
        <v>565</v>
      </c>
      <c r="T60" s="73">
        <v>31</v>
      </c>
      <c r="U60" s="72" t="s">
        <v>490</v>
      </c>
      <c r="V60" s="69">
        <v>642</v>
      </c>
      <c r="W60" s="69">
        <v>64</v>
      </c>
    </row>
    <row r="61" spans="1:23" ht="15.75" customHeight="1">
      <c r="A61" s="79" t="str">
        <f>IF(E61="","",VLOOKUP('OPĆI DIO'!$C$3,'OPĆI DIO'!$L$6:$U$120,10,FALSE))</f>
        <v/>
      </c>
      <c r="B61" s="79" t="str">
        <f>IF(E61="","",VLOOKUP('OPĆI DIO'!$C$3,'OPĆI DIO'!$L$6:$U$120,9,FALSE))</f>
        <v/>
      </c>
      <c r="C61" s="63" t="str">
        <f t="shared" si="0"/>
        <v/>
      </c>
      <c r="D61" s="64" t="str">
        <f t="shared" si="1"/>
        <v/>
      </c>
      <c r="E61" s="68"/>
      <c r="F61" s="66" t="str">
        <f t="shared" si="2"/>
        <v/>
      </c>
      <c r="G61" s="67"/>
      <c r="H61" s="67"/>
      <c r="I61" s="67"/>
      <c r="J61" s="68"/>
      <c r="L61" s="51" t="str">
        <f t="shared" si="3"/>
        <v/>
      </c>
      <c r="M61" s="51" t="str">
        <f t="shared" si="7"/>
        <v/>
      </c>
      <c r="R61" s="73">
        <v>642990031</v>
      </c>
      <c r="S61" s="72" t="s">
        <v>566</v>
      </c>
      <c r="T61" s="73">
        <v>31</v>
      </c>
      <c r="U61" s="72" t="s">
        <v>490</v>
      </c>
      <c r="V61" s="69">
        <v>642</v>
      </c>
      <c r="W61" s="69">
        <v>64</v>
      </c>
    </row>
    <row r="62" spans="1:23" ht="15.75" customHeight="1">
      <c r="A62" s="79" t="str">
        <f>IF(E62="","",VLOOKUP('OPĆI DIO'!$C$3,'OPĆI DIO'!$L$6:$U$120,10,FALSE))</f>
        <v/>
      </c>
      <c r="B62" s="79" t="str">
        <f>IF(E62="","",VLOOKUP('OPĆI DIO'!$C$3,'OPĆI DIO'!$L$6:$U$120,9,FALSE))</f>
        <v/>
      </c>
      <c r="C62" s="63" t="str">
        <f t="shared" si="0"/>
        <v/>
      </c>
      <c r="D62" s="64" t="str">
        <f t="shared" si="1"/>
        <v/>
      </c>
      <c r="E62" s="68"/>
      <c r="F62" s="66" t="str">
        <f t="shared" si="2"/>
        <v/>
      </c>
      <c r="G62" s="67"/>
      <c r="H62" s="67"/>
      <c r="I62" s="67"/>
      <c r="J62" s="68"/>
      <c r="L62" s="51" t="str">
        <f t="shared" si="3"/>
        <v/>
      </c>
      <c r="M62" s="51" t="str">
        <f t="shared" si="7"/>
        <v/>
      </c>
      <c r="R62" s="73">
        <v>65148</v>
      </c>
      <c r="S62" s="72" t="s">
        <v>567</v>
      </c>
      <c r="T62" s="73">
        <v>43</v>
      </c>
      <c r="U62" s="72" t="s">
        <v>495</v>
      </c>
      <c r="V62" s="69">
        <v>651</v>
      </c>
      <c r="W62" s="69">
        <v>65</v>
      </c>
    </row>
    <row r="63" spans="1:23" ht="15.75" customHeight="1">
      <c r="A63" s="79" t="str">
        <f>IF(E63="","",VLOOKUP('OPĆI DIO'!$C$3,'OPĆI DIO'!$L$6:$U$120,10,FALSE))</f>
        <v/>
      </c>
      <c r="B63" s="79" t="str">
        <f>IF(E63="","",VLOOKUP('OPĆI DIO'!$C$3,'OPĆI DIO'!$L$6:$U$120,9,FALSE))</f>
        <v/>
      </c>
      <c r="C63" s="63" t="str">
        <f t="shared" si="0"/>
        <v/>
      </c>
      <c r="D63" s="64" t="str">
        <f t="shared" si="1"/>
        <v/>
      </c>
      <c r="E63" s="68"/>
      <c r="F63" s="66" t="str">
        <f t="shared" si="2"/>
        <v/>
      </c>
      <c r="G63" s="67"/>
      <c r="H63" s="67"/>
      <c r="I63" s="67"/>
      <c r="J63" s="68"/>
      <c r="L63" s="51" t="str">
        <f t="shared" si="3"/>
        <v/>
      </c>
      <c r="M63" s="51" t="str">
        <f t="shared" si="7"/>
        <v/>
      </c>
      <c r="R63" s="73">
        <v>65218</v>
      </c>
      <c r="S63" s="72" t="s">
        <v>568</v>
      </c>
      <c r="T63" s="73">
        <v>43</v>
      </c>
      <c r="U63" s="72" t="s">
        <v>495</v>
      </c>
      <c r="V63" s="69">
        <v>652</v>
      </c>
      <c r="W63" s="69">
        <v>65</v>
      </c>
    </row>
    <row r="64" spans="1:23" ht="15.75" customHeight="1">
      <c r="A64" s="79" t="str">
        <f>IF(E64="","",VLOOKUP('OPĆI DIO'!$C$3,'OPĆI DIO'!$L$6:$U$120,10,FALSE))</f>
        <v/>
      </c>
      <c r="B64" s="79" t="str">
        <f>IF(E64="","",VLOOKUP('OPĆI DIO'!$C$3,'OPĆI DIO'!$L$6:$U$120,9,FALSE))</f>
        <v/>
      </c>
      <c r="C64" s="63" t="str">
        <f t="shared" si="0"/>
        <v/>
      </c>
      <c r="D64" s="64" t="str">
        <f t="shared" si="1"/>
        <v/>
      </c>
      <c r="E64" s="68"/>
      <c r="F64" s="66" t="str">
        <f t="shared" si="2"/>
        <v/>
      </c>
      <c r="G64" s="67"/>
      <c r="H64" s="67"/>
      <c r="I64" s="67"/>
      <c r="J64" s="68"/>
      <c r="L64" s="51" t="str">
        <f t="shared" si="3"/>
        <v/>
      </c>
      <c r="M64" s="51" t="str">
        <f t="shared" si="7"/>
        <v/>
      </c>
      <c r="R64" s="73">
        <v>65264</v>
      </c>
      <c r="S64" s="72" t="s">
        <v>569</v>
      </c>
      <c r="T64" s="73">
        <v>43</v>
      </c>
      <c r="U64" s="72" t="s">
        <v>495</v>
      </c>
      <c r="V64" s="69">
        <v>652</v>
      </c>
      <c r="W64" s="69">
        <v>65</v>
      </c>
    </row>
    <row r="65" spans="1:23" ht="15.75" customHeight="1">
      <c r="A65" s="79" t="str">
        <f>IF(E65="","",VLOOKUP('OPĆI DIO'!$C$3,'OPĆI DIO'!$L$6:$U$120,10,FALSE))</f>
        <v/>
      </c>
      <c r="B65" s="79" t="str">
        <f>IF(E65="","",VLOOKUP('OPĆI DIO'!$C$3,'OPĆI DIO'!$L$6:$U$120,9,FALSE))</f>
        <v/>
      </c>
      <c r="C65" s="63" t="str">
        <f t="shared" si="0"/>
        <v/>
      </c>
      <c r="D65" s="64" t="str">
        <f t="shared" si="1"/>
        <v/>
      </c>
      <c r="E65" s="68"/>
      <c r="F65" s="66" t="str">
        <f t="shared" si="2"/>
        <v/>
      </c>
      <c r="G65" s="67"/>
      <c r="H65" s="67"/>
      <c r="I65" s="67"/>
      <c r="J65" s="68"/>
      <c r="L65" s="51" t="str">
        <f t="shared" si="3"/>
        <v/>
      </c>
      <c r="M65" s="51" t="str">
        <f t="shared" si="7"/>
        <v/>
      </c>
      <c r="R65" s="73">
        <v>652670043</v>
      </c>
      <c r="S65" s="72" t="s">
        <v>570</v>
      </c>
      <c r="T65" s="73">
        <v>43</v>
      </c>
      <c r="U65" s="72" t="s">
        <v>495</v>
      </c>
      <c r="V65" s="69">
        <v>652</v>
      </c>
      <c r="W65" s="69">
        <v>65</v>
      </c>
    </row>
    <row r="66" spans="1:23" ht="15.75" customHeight="1">
      <c r="A66" s="79" t="str">
        <f>IF(E66="","",VLOOKUP('OPĆI DIO'!$C$3,'OPĆI DIO'!$L$6:$U$120,10,FALSE))</f>
        <v/>
      </c>
      <c r="B66" s="79" t="str">
        <f>IF(E66="","",VLOOKUP('OPĆI DIO'!$C$3,'OPĆI DIO'!$L$6:$U$120,9,FALSE))</f>
        <v/>
      </c>
      <c r="C66" s="63" t="str">
        <f t="shared" si="0"/>
        <v/>
      </c>
      <c r="D66" s="64" t="str">
        <f t="shared" si="1"/>
        <v/>
      </c>
      <c r="E66" s="68"/>
      <c r="F66" s="66" t="str">
        <f t="shared" si="2"/>
        <v/>
      </c>
      <c r="G66" s="67"/>
      <c r="H66" s="67"/>
      <c r="I66" s="67"/>
      <c r="J66" s="68"/>
      <c r="L66" s="51" t="str">
        <f t="shared" si="3"/>
        <v/>
      </c>
      <c r="M66" s="51" t="str">
        <f t="shared" si="7"/>
        <v/>
      </c>
      <c r="R66" s="73">
        <v>652670071</v>
      </c>
      <c r="S66" s="72" t="s">
        <v>571</v>
      </c>
      <c r="T66" s="73">
        <v>71</v>
      </c>
      <c r="U66" s="72" t="s">
        <v>528</v>
      </c>
      <c r="V66" s="69">
        <v>652</v>
      </c>
      <c r="W66" s="69">
        <v>65</v>
      </c>
    </row>
    <row r="67" spans="1:23" ht="15.75" customHeight="1">
      <c r="A67" s="79" t="str">
        <f>IF(E67="","",VLOOKUP('OPĆI DIO'!$C$3,'OPĆI DIO'!$L$6:$U$120,10,FALSE))</f>
        <v/>
      </c>
      <c r="B67" s="79" t="str">
        <f>IF(E67="","",VLOOKUP('OPĆI DIO'!$C$3,'OPĆI DIO'!$L$6:$U$120,9,FALSE))</f>
        <v/>
      </c>
      <c r="C67" s="63" t="str">
        <f t="shared" si="0"/>
        <v/>
      </c>
      <c r="D67" s="64" t="str">
        <f t="shared" si="1"/>
        <v/>
      </c>
      <c r="E67" s="68"/>
      <c r="F67" s="66" t="str">
        <f t="shared" si="2"/>
        <v/>
      </c>
      <c r="G67" s="67"/>
      <c r="H67" s="67"/>
      <c r="I67" s="67"/>
      <c r="J67" s="68"/>
      <c r="L67" s="51" t="str">
        <f t="shared" si="3"/>
        <v/>
      </c>
      <c r="M67" s="51" t="str">
        <f t="shared" si="7"/>
        <v/>
      </c>
      <c r="R67" s="73">
        <v>65268</v>
      </c>
      <c r="S67" s="72" t="s">
        <v>572</v>
      </c>
      <c r="T67" s="73">
        <v>43</v>
      </c>
      <c r="U67" s="72" t="s">
        <v>495</v>
      </c>
      <c r="V67" s="69">
        <v>652</v>
      </c>
      <c r="W67" s="69">
        <v>65</v>
      </c>
    </row>
    <row r="68" spans="1:23" ht="15.75" customHeight="1">
      <c r="A68" s="79" t="str">
        <f>IF(E68="","",VLOOKUP('OPĆI DIO'!$C$3,'OPĆI DIO'!$L$6:$U$120,10,FALSE))</f>
        <v/>
      </c>
      <c r="B68" s="79" t="str">
        <f>IF(E68="","",VLOOKUP('OPĆI DIO'!$C$3,'OPĆI DIO'!$L$6:$U$120,9,FALSE))</f>
        <v/>
      </c>
      <c r="C68" s="63" t="str">
        <f t="shared" si="0"/>
        <v/>
      </c>
      <c r="D68" s="64" t="str">
        <f t="shared" si="1"/>
        <v/>
      </c>
      <c r="E68" s="68"/>
      <c r="F68" s="66" t="str">
        <f t="shared" si="2"/>
        <v/>
      </c>
      <c r="G68" s="67"/>
      <c r="H68" s="67"/>
      <c r="I68" s="67"/>
      <c r="J68" s="68"/>
      <c r="L68" s="51" t="str">
        <f t="shared" si="3"/>
        <v/>
      </c>
      <c r="M68" s="51" t="str">
        <f t="shared" si="7"/>
        <v/>
      </c>
      <c r="R68" s="73">
        <v>6614</v>
      </c>
      <c r="S68" s="72" t="s">
        <v>573</v>
      </c>
      <c r="T68" s="73">
        <v>31</v>
      </c>
      <c r="U68" s="72" t="s">
        <v>490</v>
      </c>
      <c r="V68" s="69">
        <v>661</v>
      </c>
      <c r="W68" s="69">
        <v>66</v>
      </c>
    </row>
    <row r="69" spans="1:23" ht="15.75" customHeight="1">
      <c r="A69" s="79" t="str">
        <f>IF(E69="","",VLOOKUP('OPĆI DIO'!$C$3,'OPĆI DIO'!$L$6:$U$120,10,FALSE))</f>
        <v/>
      </c>
      <c r="B69" s="79" t="str">
        <f>IF(E69="","",VLOOKUP('OPĆI DIO'!$C$3,'OPĆI DIO'!$L$6:$U$120,9,FALSE))</f>
        <v/>
      </c>
      <c r="C69" s="63" t="str">
        <f t="shared" si="0"/>
        <v/>
      </c>
      <c r="D69" s="64" t="str">
        <f t="shared" si="1"/>
        <v/>
      </c>
      <c r="E69" s="68"/>
      <c r="F69" s="66" t="str">
        <f t="shared" si="2"/>
        <v/>
      </c>
      <c r="G69" s="67"/>
      <c r="H69" s="67"/>
      <c r="I69" s="67"/>
      <c r="J69" s="68"/>
      <c r="L69" s="51" t="str">
        <f t="shared" si="3"/>
        <v/>
      </c>
      <c r="M69" s="51" t="str">
        <f t="shared" si="7"/>
        <v/>
      </c>
      <c r="R69" s="73">
        <v>6615</v>
      </c>
      <c r="S69" s="72" t="s">
        <v>574</v>
      </c>
      <c r="T69" s="73">
        <v>31</v>
      </c>
      <c r="U69" s="72" t="s">
        <v>490</v>
      </c>
      <c r="V69" s="69">
        <v>661</v>
      </c>
      <c r="W69" s="69">
        <v>66</v>
      </c>
    </row>
    <row r="70" spans="1:23" ht="15.75" customHeight="1">
      <c r="A70" s="79" t="str">
        <f>IF(E70="","",VLOOKUP('OPĆI DIO'!$C$3,'OPĆI DIO'!$L$6:$U$120,10,FALSE))</f>
        <v/>
      </c>
      <c r="B70" s="79" t="str">
        <f>IF(E70="","",VLOOKUP('OPĆI DIO'!$C$3,'OPĆI DIO'!$L$6:$U$120,9,FALSE))</f>
        <v/>
      </c>
      <c r="C70" s="63" t="str">
        <f t="shared" si="0"/>
        <v/>
      </c>
      <c r="D70" s="64" t="str">
        <f t="shared" si="1"/>
        <v/>
      </c>
      <c r="E70" s="68"/>
      <c r="F70" s="66" t="str">
        <f t="shared" si="2"/>
        <v/>
      </c>
      <c r="G70" s="67"/>
      <c r="H70" s="67"/>
      <c r="I70" s="67"/>
      <c r="J70" s="68"/>
      <c r="L70" s="51" t="str">
        <f t="shared" si="3"/>
        <v/>
      </c>
      <c r="M70" s="51" t="str">
        <f t="shared" si="7"/>
        <v/>
      </c>
      <c r="R70" s="73">
        <v>663110000</v>
      </c>
      <c r="S70" s="72" t="s">
        <v>575</v>
      </c>
      <c r="T70" s="73">
        <v>61</v>
      </c>
      <c r="U70" s="72" t="s">
        <v>576</v>
      </c>
      <c r="V70" s="69">
        <v>663</v>
      </c>
      <c r="W70" s="69">
        <v>66</v>
      </c>
    </row>
    <row r="71" spans="1:23" ht="15.75" customHeight="1">
      <c r="A71" s="79" t="str">
        <f>IF(E71="","",VLOOKUP('OPĆI DIO'!$C$3,'OPĆI DIO'!$L$6:$U$120,10,FALSE))</f>
        <v/>
      </c>
      <c r="B71" s="79" t="str">
        <f>IF(E71="","",VLOOKUP('OPĆI DIO'!$C$3,'OPĆI DIO'!$L$6:$U$120,9,FALSE))</f>
        <v/>
      </c>
      <c r="C71" s="63" t="str">
        <f t="shared" si="0"/>
        <v/>
      </c>
      <c r="D71" s="64" t="str">
        <f t="shared" si="1"/>
        <v/>
      </c>
      <c r="E71" s="68"/>
      <c r="F71" s="66" t="str">
        <f t="shared" si="2"/>
        <v/>
      </c>
      <c r="G71" s="67"/>
      <c r="H71" s="67"/>
      <c r="I71" s="67"/>
      <c r="J71" s="68"/>
      <c r="L71" s="51" t="str">
        <f t="shared" si="3"/>
        <v/>
      </c>
      <c r="M71" s="51" t="str">
        <f t="shared" si="7"/>
        <v/>
      </c>
      <c r="R71" s="73">
        <v>663120000</v>
      </c>
      <c r="S71" s="72" t="s">
        <v>577</v>
      </c>
      <c r="T71" s="73">
        <v>61</v>
      </c>
      <c r="U71" s="72" t="s">
        <v>576</v>
      </c>
      <c r="V71" s="69">
        <v>663</v>
      </c>
      <c r="W71" s="69">
        <v>66</v>
      </c>
    </row>
    <row r="72" spans="1:23" ht="15.75" customHeight="1">
      <c r="A72" s="79" t="str">
        <f>IF(E72="","",VLOOKUP('OPĆI DIO'!$C$3,'OPĆI DIO'!$L$6:$U$120,10,FALSE))</f>
        <v/>
      </c>
      <c r="B72" s="79" t="str">
        <f>IF(E72="","",VLOOKUP('OPĆI DIO'!$C$3,'OPĆI DIO'!$L$6:$U$120,9,FALSE))</f>
        <v/>
      </c>
      <c r="C72" s="63" t="str">
        <f t="shared" si="0"/>
        <v/>
      </c>
      <c r="D72" s="64" t="str">
        <f t="shared" si="1"/>
        <v/>
      </c>
      <c r="E72" s="68"/>
      <c r="F72" s="66" t="str">
        <f t="shared" si="2"/>
        <v/>
      </c>
      <c r="G72" s="67"/>
      <c r="H72" s="67"/>
      <c r="I72" s="67"/>
      <c r="J72" s="68"/>
      <c r="L72" s="51" t="str">
        <f t="shared" si="3"/>
        <v/>
      </c>
      <c r="M72" s="51" t="str">
        <f t="shared" si="7"/>
        <v/>
      </c>
      <c r="R72" s="73">
        <v>663130000</v>
      </c>
      <c r="S72" s="72" t="s">
        <v>578</v>
      </c>
      <c r="T72" s="73">
        <v>61</v>
      </c>
      <c r="U72" s="72" t="s">
        <v>576</v>
      </c>
      <c r="V72" s="69">
        <v>663</v>
      </c>
      <c r="W72" s="69">
        <v>66</v>
      </c>
    </row>
    <row r="73" spans="1:23" ht="15.75" customHeight="1">
      <c r="A73" s="79" t="str">
        <f>IF(E73="","",VLOOKUP('OPĆI DIO'!$C$3,'OPĆI DIO'!$L$6:$U$120,10,FALSE))</f>
        <v/>
      </c>
      <c r="B73" s="79" t="str">
        <f>IF(E73="","",VLOOKUP('OPĆI DIO'!$C$3,'OPĆI DIO'!$L$6:$U$120,9,FALSE))</f>
        <v/>
      </c>
      <c r="C73" s="63" t="str">
        <f t="shared" si="0"/>
        <v/>
      </c>
      <c r="D73" s="64" t="str">
        <f t="shared" si="1"/>
        <v/>
      </c>
      <c r="E73" s="68"/>
      <c r="F73" s="66" t="str">
        <f t="shared" si="2"/>
        <v/>
      </c>
      <c r="G73" s="67"/>
      <c r="H73" s="67"/>
      <c r="I73" s="67"/>
      <c r="J73" s="68"/>
      <c r="L73" s="51" t="str">
        <f t="shared" si="3"/>
        <v/>
      </c>
      <c r="M73" s="51" t="str">
        <f t="shared" si="7"/>
        <v/>
      </c>
      <c r="R73" s="73">
        <v>663140000</v>
      </c>
      <c r="S73" s="72" t="s">
        <v>579</v>
      </c>
      <c r="T73" s="73">
        <v>61</v>
      </c>
      <c r="U73" s="72" t="s">
        <v>576</v>
      </c>
      <c r="V73" s="69">
        <v>663</v>
      </c>
      <c r="W73" s="69">
        <v>66</v>
      </c>
    </row>
    <row r="74" spans="1:23" ht="15.75" customHeight="1">
      <c r="A74" s="79" t="str">
        <f>IF(E74="","",VLOOKUP('OPĆI DIO'!$C$3,'OPĆI DIO'!$L$6:$U$120,10,FALSE))</f>
        <v/>
      </c>
      <c r="B74" s="79" t="str">
        <f>IF(E74="","",VLOOKUP('OPĆI DIO'!$C$3,'OPĆI DIO'!$L$6:$U$120,9,FALSE))</f>
        <v/>
      </c>
      <c r="C74" s="63" t="str">
        <f t="shared" si="0"/>
        <v/>
      </c>
      <c r="D74" s="64" t="str">
        <f t="shared" si="1"/>
        <v/>
      </c>
      <c r="E74" s="68"/>
      <c r="F74" s="66" t="str">
        <f t="shared" si="2"/>
        <v/>
      </c>
      <c r="G74" s="67"/>
      <c r="H74" s="67"/>
      <c r="I74" s="67"/>
      <c r="J74" s="68"/>
      <c r="L74" s="51" t="str">
        <f t="shared" si="3"/>
        <v/>
      </c>
      <c r="M74" s="51" t="str">
        <f t="shared" si="7"/>
        <v/>
      </c>
      <c r="R74" s="73">
        <v>663210000</v>
      </c>
      <c r="S74" s="72" t="s">
        <v>580</v>
      </c>
      <c r="T74" s="73">
        <v>61</v>
      </c>
      <c r="U74" s="72" t="s">
        <v>576</v>
      </c>
      <c r="V74" s="69">
        <v>663</v>
      </c>
      <c r="W74" s="69">
        <v>66</v>
      </c>
    </row>
    <row r="75" spans="1:23" ht="15.75" customHeight="1">
      <c r="A75" s="79" t="str">
        <f>IF(E75="","",VLOOKUP('OPĆI DIO'!$C$3,'OPĆI DIO'!$L$6:$U$120,10,FALSE))</f>
        <v/>
      </c>
      <c r="B75" s="79" t="str">
        <f>IF(E75="","",VLOOKUP('OPĆI DIO'!$C$3,'OPĆI DIO'!$L$6:$U$120,9,FALSE))</f>
        <v/>
      </c>
      <c r="C75" s="63" t="str">
        <f t="shared" si="0"/>
        <v/>
      </c>
      <c r="D75" s="64" t="str">
        <f t="shared" si="1"/>
        <v/>
      </c>
      <c r="E75" s="68"/>
      <c r="F75" s="66" t="str">
        <f t="shared" si="2"/>
        <v/>
      </c>
      <c r="G75" s="67"/>
      <c r="H75" s="67"/>
      <c r="I75" s="67"/>
      <c r="J75" s="68"/>
      <c r="L75" s="51" t="str">
        <f t="shared" si="3"/>
        <v/>
      </c>
      <c r="M75" s="51" t="str">
        <f t="shared" si="7"/>
        <v/>
      </c>
      <c r="R75" s="73">
        <v>663220000</v>
      </c>
      <c r="S75" s="72" t="s">
        <v>581</v>
      </c>
      <c r="T75" s="73">
        <v>61</v>
      </c>
      <c r="U75" s="72" t="s">
        <v>576</v>
      </c>
      <c r="V75" s="69">
        <v>663</v>
      </c>
      <c r="W75" s="69">
        <v>66</v>
      </c>
    </row>
    <row r="76" spans="1:23" ht="15.75" customHeight="1">
      <c r="A76" s="79" t="str">
        <f>IF(E76="","",VLOOKUP('OPĆI DIO'!$C$3,'OPĆI DIO'!$L$6:$U$120,10,FALSE))</f>
        <v/>
      </c>
      <c r="B76" s="79" t="str">
        <f>IF(E76="","",VLOOKUP('OPĆI DIO'!$C$3,'OPĆI DIO'!$L$6:$U$120,9,FALSE))</f>
        <v/>
      </c>
      <c r="C76" s="63" t="str">
        <f t="shared" si="0"/>
        <v/>
      </c>
      <c r="D76" s="64" t="str">
        <f t="shared" si="1"/>
        <v/>
      </c>
      <c r="E76" s="68"/>
      <c r="F76" s="66" t="str">
        <f t="shared" si="2"/>
        <v/>
      </c>
      <c r="G76" s="67"/>
      <c r="H76" s="67"/>
      <c r="I76" s="67"/>
      <c r="J76" s="68"/>
      <c r="L76" s="51" t="str">
        <f t="shared" si="3"/>
        <v/>
      </c>
      <c r="M76" s="51" t="str">
        <f t="shared" si="7"/>
        <v/>
      </c>
      <c r="R76" s="73">
        <v>663230000</v>
      </c>
      <c r="S76" s="72" t="s">
        <v>582</v>
      </c>
      <c r="T76" s="73">
        <v>61</v>
      </c>
      <c r="U76" s="72" t="s">
        <v>576</v>
      </c>
      <c r="V76" s="69">
        <v>663</v>
      </c>
      <c r="W76" s="69">
        <v>66</v>
      </c>
    </row>
    <row r="77" spans="1:23" ht="15.75" customHeight="1">
      <c r="A77" s="79" t="str">
        <f>IF(E77="","",VLOOKUP('OPĆI DIO'!$C$3,'OPĆI DIO'!$L$6:$U$120,10,FALSE))</f>
        <v/>
      </c>
      <c r="B77" s="79" t="str">
        <f>IF(E77="","",VLOOKUP('OPĆI DIO'!$C$3,'OPĆI DIO'!$L$6:$U$120,9,FALSE))</f>
        <v/>
      </c>
      <c r="C77" s="63" t="str">
        <f t="shared" si="0"/>
        <v/>
      </c>
      <c r="D77" s="64" t="str">
        <f t="shared" si="1"/>
        <v/>
      </c>
      <c r="E77" s="68"/>
      <c r="F77" s="66" t="str">
        <f t="shared" si="2"/>
        <v/>
      </c>
      <c r="G77" s="67"/>
      <c r="H77" s="67"/>
      <c r="I77" s="67"/>
      <c r="J77" s="68"/>
      <c r="L77" s="51" t="str">
        <f t="shared" si="3"/>
        <v/>
      </c>
      <c r="M77" s="51" t="str">
        <f t="shared" si="7"/>
        <v/>
      </c>
      <c r="R77" s="73">
        <v>663240000</v>
      </c>
      <c r="S77" s="72" t="s">
        <v>583</v>
      </c>
      <c r="T77" s="73">
        <v>61</v>
      </c>
      <c r="U77" s="72" t="s">
        <v>576</v>
      </c>
      <c r="V77" s="69">
        <v>663</v>
      </c>
      <c r="W77" s="69">
        <v>66</v>
      </c>
    </row>
    <row r="78" spans="1:23" ht="15.75" customHeight="1">
      <c r="A78" s="79" t="str">
        <f>IF(E78="","",VLOOKUP('OPĆI DIO'!$C$3,'OPĆI DIO'!$L$6:$U$120,10,FALSE))</f>
        <v/>
      </c>
      <c r="B78" s="79" t="str">
        <f>IF(E78="","",VLOOKUP('OPĆI DIO'!$C$3,'OPĆI DIO'!$L$6:$U$120,9,FALSE))</f>
        <v/>
      </c>
      <c r="C78" s="63" t="str">
        <f t="shared" si="0"/>
        <v/>
      </c>
      <c r="D78" s="64" t="str">
        <f t="shared" si="1"/>
        <v/>
      </c>
      <c r="E78" s="68"/>
      <c r="F78" s="66" t="str">
        <f t="shared" si="2"/>
        <v/>
      </c>
      <c r="G78" s="67"/>
      <c r="H78" s="67"/>
      <c r="I78" s="67"/>
      <c r="J78" s="68"/>
      <c r="L78" s="51" t="str">
        <f t="shared" si="3"/>
        <v/>
      </c>
      <c r="M78" s="51" t="str">
        <f t="shared" si="7"/>
        <v/>
      </c>
      <c r="R78" s="73">
        <v>681910043</v>
      </c>
      <c r="S78" s="72" t="s">
        <v>584</v>
      </c>
      <c r="T78" s="73">
        <v>43</v>
      </c>
      <c r="U78" s="72" t="s">
        <v>495</v>
      </c>
      <c r="V78" s="69">
        <v>681</v>
      </c>
      <c r="W78" s="69">
        <v>68</v>
      </c>
    </row>
    <row r="79" spans="1:23" ht="15.75" customHeight="1">
      <c r="A79" s="79" t="str">
        <f>IF(E79="","",VLOOKUP('OPĆI DIO'!$C$3,'OPĆI DIO'!$L$6:$U$120,10,FALSE))</f>
        <v/>
      </c>
      <c r="B79" s="79" t="str">
        <f>IF(E79="","",VLOOKUP('OPĆI DIO'!$C$3,'OPĆI DIO'!$L$6:$U$120,9,FALSE))</f>
        <v/>
      </c>
      <c r="C79" s="63" t="str">
        <f t="shared" si="0"/>
        <v/>
      </c>
      <c r="D79" s="64" t="str">
        <f t="shared" si="1"/>
        <v/>
      </c>
      <c r="E79" s="68"/>
      <c r="F79" s="66" t="str">
        <f t="shared" si="2"/>
        <v/>
      </c>
      <c r="G79" s="67"/>
      <c r="H79" s="67"/>
      <c r="I79" s="67"/>
      <c r="J79" s="68"/>
      <c r="L79" s="51" t="str">
        <f t="shared" si="3"/>
        <v/>
      </c>
      <c r="M79" s="51" t="str">
        <f t="shared" si="7"/>
        <v/>
      </c>
      <c r="R79" s="73">
        <v>683110031</v>
      </c>
      <c r="S79" s="72" t="s">
        <v>585</v>
      </c>
      <c r="T79" s="73">
        <v>31</v>
      </c>
      <c r="U79" s="72" t="s">
        <v>490</v>
      </c>
      <c r="V79" s="69">
        <v>683</v>
      </c>
      <c r="W79" s="69">
        <v>68</v>
      </c>
    </row>
    <row r="80" spans="1:23" ht="15.75" customHeight="1">
      <c r="A80" s="79" t="str">
        <f>IF(E80="","",VLOOKUP('OPĆI DIO'!$C$3,'OPĆI DIO'!$L$6:$U$120,10,FALSE))</f>
        <v/>
      </c>
      <c r="B80" s="79" t="str">
        <f>IF(E80="","",VLOOKUP('OPĆI DIO'!$C$3,'OPĆI DIO'!$L$6:$U$120,9,FALSE))</f>
        <v/>
      </c>
      <c r="C80" s="63" t="str">
        <f t="shared" si="0"/>
        <v/>
      </c>
      <c r="D80" s="64" t="str">
        <f t="shared" si="1"/>
        <v/>
      </c>
      <c r="E80" s="68"/>
      <c r="F80" s="66" t="str">
        <f t="shared" si="2"/>
        <v/>
      </c>
      <c r="G80" s="67"/>
      <c r="H80" s="67"/>
      <c r="I80" s="67"/>
      <c r="J80" s="68"/>
      <c r="L80" s="51" t="str">
        <f t="shared" si="3"/>
        <v/>
      </c>
      <c r="M80" s="51" t="str">
        <f t="shared" si="7"/>
        <v/>
      </c>
      <c r="R80" s="73">
        <v>683110043</v>
      </c>
      <c r="S80" s="72" t="s">
        <v>586</v>
      </c>
      <c r="T80" s="73">
        <v>43</v>
      </c>
      <c r="U80" s="72" t="s">
        <v>495</v>
      </c>
      <c r="V80" s="69">
        <v>683</v>
      </c>
      <c r="W80" s="69">
        <v>68</v>
      </c>
    </row>
    <row r="81" spans="1:23" ht="15.75" customHeight="1">
      <c r="A81" s="79" t="str">
        <f>IF(E81="","",VLOOKUP('OPĆI DIO'!$C$3,'OPĆI DIO'!$L$6:$U$120,10,FALSE))</f>
        <v/>
      </c>
      <c r="B81" s="79" t="str">
        <f>IF(E81="","",VLOOKUP('OPĆI DIO'!$C$3,'OPĆI DIO'!$L$6:$U$120,9,FALSE))</f>
        <v/>
      </c>
      <c r="C81" s="63" t="str">
        <f t="shared" si="0"/>
        <v/>
      </c>
      <c r="D81" s="64" t="str">
        <f t="shared" si="1"/>
        <v/>
      </c>
      <c r="E81" s="68"/>
      <c r="F81" s="66" t="str">
        <f t="shared" si="2"/>
        <v/>
      </c>
      <c r="G81" s="67"/>
      <c r="H81" s="67"/>
      <c r="I81" s="67"/>
      <c r="J81" s="68"/>
      <c r="L81" s="51" t="str">
        <f t="shared" si="3"/>
        <v/>
      </c>
      <c r="M81" s="51" t="str">
        <f t="shared" si="7"/>
        <v/>
      </c>
      <c r="R81" s="73">
        <v>711110071</v>
      </c>
      <c r="S81" s="72" t="s">
        <v>587</v>
      </c>
      <c r="T81" s="73">
        <v>71</v>
      </c>
      <c r="U81" s="72" t="s">
        <v>588</v>
      </c>
      <c r="V81" s="69">
        <v>711</v>
      </c>
      <c r="W81" s="69">
        <v>71</v>
      </c>
    </row>
    <row r="82" spans="1:23" ht="15.75" customHeight="1">
      <c r="A82" s="79" t="str">
        <f>IF(E82="","",VLOOKUP('OPĆI DIO'!$C$3,'OPĆI DIO'!$L$6:$U$120,10,FALSE))</f>
        <v/>
      </c>
      <c r="B82" s="79" t="str">
        <f>IF(E82="","",VLOOKUP('OPĆI DIO'!$C$3,'OPĆI DIO'!$L$6:$U$120,9,FALSE))</f>
        <v/>
      </c>
      <c r="C82" s="63" t="str">
        <f t="shared" si="0"/>
        <v/>
      </c>
      <c r="D82" s="64" t="str">
        <f t="shared" si="1"/>
        <v/>
      </c>
      <c r="E82" s="68"/>
      <c r="F82" s="66" t="str">
        <f t="shared" si="2"/>
        <v/>
      </c>
      <c r="G82" s="67"/>
      <c r="H82" s="67"/>
      <c r="I82" s="67"/>
      <c r="J82" s="68"/>
      <c r="L82" s="51" t="str">
        <f t="shared" si="3"/>
        <v/>
      </c>
      <c r="M82" s="51" t="str">
        <f t="shared" si="7"/>
        <v/>
      </c>
      <c r="R82" s="73">
        <v>711120071</v>
      </c>
      <c r="S82" s="72" t="s">
        <v>589</v>
      </c>
      <c r="T82" s="73">
        <v>71</v>
      </c>
      <c r="U82" s="72" t="s">
        <v>588</v>
      </c>
      <c r="V82" s="69">
        <v>711</v>
      </c>
      <c r="W82" s="69">
        <v>71</v>
      </c>
    </row>
    <row r="83" spans="1:23" ht="15.75" customHeight="1">
      <c r="A83" s="79" t="str">
        <f>IF(E83="","",VLOOKUP('OPĆI DIO'!$C$3,'OPĆI DIO'!$L$6:$U$120,10,FALSE))</f>
        <v/>
      </c>
      <c r="B83" s="79" t="str">
        <f>IF(E83="","",VLOOKUP('OPĆI DIO'!$C$3,'OPĆI DIO'!$L$6:$U$120,9,FALSE))</f>
        <v/>
      </c>
      <c r="C83" s="63" t="str">
        <f t="shared" si="0"/>
        <v/>
      </c>
      <c r="D83" s="64" t="str">
        <f t="shared" si="1"/>
        <v/>
      </c>
      <c r="E83" s="68"/>
      <c r="F83" s="66" t="str">
        <f t="shared" si="2"/>
        <v/>
      </c>
      <c r="G83" s="67"/>
      <c r="H83" s="67"/>
      <c r="I83" s="67"/>
      <c r="J83" s="68"/>
      <c r="L83" s="51" t="str">
        <f t="shared" si="3"/>
        <v/>
      </c>
      <c r="M83" s="51" t="str">
        <f t="shared" si="7"/>
        <v/>
      </c>
      <c r="R83" s="73">
        <v>712410071</v>
      </c>
      <c r="S83" s="72" t="s">
        <v>590</v>
      </c>
      <c r="T83" s="73">
        <v>71</v>
      </c>
      <c r="U83" s="72" t="s">
        <v>588</v>
      </c>
      <c r="V83" s="69">
        <v>712</v>
      </c>
      <c r="W83" s="69">
        <v>71</v>
      </c>
    </row>
    <row r="84" spans="1:23" ht="15.75" customHeight="1">
      <c r="A84" s="79" t="str">
        <f>IF(E84="","",VLOOKUP('OPĆI DIO'!$C$3,'OPĆI DIO'!$L$6:$U$120,10,FALSE))</f>
        <v/>
      </c>
      <c r="B84" s="79" t="str">
        <f>IF(E84="","",VLOOKUP('OPĆI DIO'!$C$3,'OPĆI DIO'!$L$6:$U$120,9,FALSE))</f>
        <v/>
      </c>
      <c r="C84" s="63" t="str">
        <f t="shared" si="0"/>
        <v/>
      </c>
      <c r="D84" s="64" t="str">
        <f t="shared" si="1"/>
        <v/>
      </c>
      <c r="E84" s="68"/>
      <c r="F84" s="66" t="str">
        <f t="shared" si="2"/>
        <v/>
      </c>
      <c r="G84" s="67"/>
      <c r="H84" s="67"/>
      <c r="I84" s="67"/>
      <c r="J84" s="68"/>
      <c r="L84" s="51" t="str">
        <f t="shared" si="3"/>
        <v/>
      </c>
      <c r="M84" s="51" t="str">
        <f t="shared" si="7"/>
        <v/>
      </c>
      <c r="R84" s="73">
        <v>712490071</v>
      </c>
      <c r="S84" s="72" t="s">
        <v>591</v>
      </c>
      <c r="T84" s="73">
        <v>71</v>
      </c>
      <c r="U84" s="72" t="s">
        <v>588</v>
      </c>
      <c r="V84" s="69">
        <v>712</v>
      </c>
      <c r="W84" s="69">
        <v>71</v>
      </c>
    </row>
    <row r="85" spans="1:23" ht="15.75" customHeight="1">
      <c r="A85" s="79" t="str">
        <f>IF(E85="","",VLOOKUP('OPĆI DIO'!$C$3,'OPĆI DIO'!$L$6:$U$120,10,FALSE))</f>
        <v/>
      </c>
      <c r="B85" s="79" t="str">
        <f>IF(E85="","",VLOOKUP('OPĆI DIO'!$C$3,'OPĆI DIO'!$L$6:$U$120,9,FALSE))</f>
        <v/>
      </c>
      <c r="C85" s="63" t="str">
        <f t="shared" si="0"/>
        <v/>
      </c>
      <c r="D85" s="64" t="str">
        <f t="shared" si="1"/>
        <v/>
      </c>
      <c r="E85" s="68"/>
      <c r="F85" s="66" t="str">
        <f t="shared" si="2"/>
        <v/>
      </c>
      <c r="G85" s="67"/>
      <c r="H85" s="67"/>
      <c r="I85" s="67"/>
      <c r="J85" s="68"/>
      <c r="L85" s="51" t="str">
        <f t="shared" si="3"/>
        <v/>
      </c>
      <c r="M85" s="51" t="str">
        <f t="shared" si="7"/>
        <v/>
      </c>
      <c r="R85" s="73">
        <v>721110071</v>
      </c>
      <c r="S85" s="72" t="s">
        <v>592</v>
      </c>
      <c r="T85" s="73">
        <v>71</v>
      </c>
      <c r="U85" s="72" t="s">
        <v>588</v>
      </c>
      <c r="V85" s="69">
        <v>721</v>
      </c>
      <c r="W85" s="69">
        <v>72</v>
      </c>
    </row>
    <row r="86" spans="1:23" ht="15.75" customHeight="1">
      <c r="A86" s="79" t="str">
        <f>IF(E86="","",VLOOKUP('OPĆI DIO'!$C$3,'OPĆI DIO'!$L$6:$U$120,10,FALSE))</f>
        <v/>
      </c>
      <c r="B86" s="79" t="str">
        <f>IF(E86="","",VLOOKUP('OPĆI DIO'!$C$3,'OPĆI DIO'!$L$6:$U$120,9,FALSE))</f>
        <v/>
      </c>
      <c r="C86" s="63" t="str">
        <f t="shared" si="0"/>
        <v/>
      </c>
      <c r="D86" s="64" t="str">
        <f t="shared" si="1"/>
        <v/>
      </c>
      <c r="E86" s="68"/>
      <c r="F86" s="66" t="str">
        <f t="shared" si="2"/>
        <v/>
      </c>
      <c r="G86" s="67"/>
      <c r="H86" s="67"/>
      <c r="I86" s="67"/>
      <c r="J86" s="68"/>
      <c r="L86" s="51" t="str">
        <f t="shared" si="3"/>
        <v/>
      </c>
      <c r="M86" s="51" t="str">
        <f t="shared" si="7"/>
        <v/>
      </c>
      <c r="R86" s="73">
        <v>721190071</v>
      </c>
      <c r="S86" s="72" t="s">
        <v>593</v>
      </c>
      <c r="T86" s="73">
        <v>71</v>
      </c>
      <c r="U86" s="72" t="s">
        <v>588</v>
      </c>
      <c r="V86" s="69">
        <v>721</v>
      </c>
      <c r="W86" s="69">
        <v>72</v>
      </c>
    </row>
    <row r="87" spans="1:23" ht="15.75" customHeight="1">
      <c r="A87" s="79" t="str">
        <f>IF(E87="","",VLOOKUP('OPĆI DIO'!$C$3,'OPĆI DIO'!$L$6:$U$120,10,FALSE))</f>
        <v/>
      </c>
      <c r="B87" s="79" t="str">
        <f>IF(E87="","",VLOOKUP('OPĆI DIO'!$C$3,'OPĆI DIO'!$L$6:$U$120,9,FALSE))</f>
        <v/>
      </c>
      <c r="C87" s="63" t="str">
        <f t="shared" si="0"/>
        <v/>
      </c>
      <c r="D87" s="64" t="str">
        <f t="shared" si="1"/>
        <v/>
      </c>
      <c r="E87" s="68"/>
      <c r="F87" s="66" t="str">
        <f t="shared" si="2"/>
        <v/>
      </c>
      <c r="G87" s="67"/>
      <c r="H87" s="67"/>
      <c r="I87" s="67"/>
      <c r="J87" s="68"/>
      <c r="L87" s="51" t="str">
        <f t="shared" si="3"/>
        <v/>
      </c>
      <c r="M87" s="51" t="str">
        <f t="shared" si="7"/>
        <v/>
      </c>
      <c r="R87" s="73">
        <v>721230071</v>
      </c>
      <c r="S87" s="72" t="s">
        <v>594</v>
      </c>
      <c r="T87" s="73">
        <v>71</v>
      </c>
      <c r="U87" s="72" t="s">
        <v>588</v>
      </c>
      <c r="V87" s="69">
        <v>721</v>
      </c>
      <c r="W87" s="69">
        <v>72</v>
      </c>
    </row>
    <row r="88" spans="1:23" ht="15.75" customHeight="1">
      <c r="A88" s="79" t="str">
        <f>IF(E88="","",VLOOKUP('OPĆI DIO'!$C$3,'OPĆI DIO'!$L$6:$U$120,10,FALSE))</f>
        <v/>
      </c>
      <c r="B88" s="79" t="str">
        <f>IF(E88="","",VLOOKUP('OPĆI DIO'!$C$3,'OPĆI DIO'!$L$6:$U$120,9,FALSE))</f>
        <v/>
      </c>
      <c r="C88" s="63" t="str">
        <f t="shared" si="0"/>
        <v/>
      </c>
      <c r="D88" s="64" t="str">
        <f t="shared" si="1"/>
        <v/>
      </c>
      <c r="E88" s="68"/>
      <c r="F88" s="66" t="str">
        <f t="shared" si="2"/>
        <v/>
      </c>
      <c r="G88" s="67"/>
      <c r="H88" s="67"/>
      <c r="I88" s="67"/>
      <c r="J88" s="68"/>
      <c r="L88" s="51" t="str">
        <f t="shared" si="3"/>
        <v/>
      </c>
      <c r="M88" s="51" t="str">
        <f t="shared" si="7"/>
        <v/>
      </c>
      <c r="R88" s="73">
        <v>721290071</v>
      </c>
      <c r="S88" s="72" t="s">
        <v>595</v>
      </c>
      <c r="T88" s="73">
        <v>71</v>
      </c>
      <c r="U88" s="72" t="s">
        <v>588</v>
      </c>
      <c r="V88" s="69">
        <v>721</v>
      </c>
      <c r="W88" s="69">
        <v>72</v>
      </c>
    </row>
    <row r="89" spans="1:23" ht="15.75" customHeight="1">
      <c r="A89" s="79" t="str">
        <f>IF(E89="","",VLOOKUP('OPĆI DIO'!$C$3,'OPĆI DIO'!$L$6:$U$120,10,FALSE))</f>
        <v/>
      </c>
      <c r="B89" s="79" t="str">
        <f>IF(E89="","",VLOOKUP('OPĆI DIO'!$C$3,'OPĆI DIO'!$L$6:$U$120,9,FALSE))</f>
        <v/>
      </c>
      <c r="C89" s="63" t="str">
        <f t="shared" si="0"/>
        <v/>
      </c>
      <c r="D89" s="64" t="str">
        <f t="shared" si="1"/>
        <v/>
      </c>
      <c r="E89" s="68"/>
      <c r="F89" s="66" t="str">
        <f t="shared" si="2"/>
        <v/>
      </c>
      <c r="G89" s="67"/>
      <c r="H89" s="67"/>
      <c r="I89" s="67"/>
      <c r="J89" s="68"/>
      <c r="L89" s="51" t="str">
        <f t="shared" si="3"/>
        <v/>
      </c>
      <c r="M89" s="51" t="str">
        <f t="shared" si="7"/>
        <v/>
      </c>
      <c r="R89" s="73">
        <v>722110071</v>
      </c>
      <c r="S89" s="72" t="s">
        <v>596</v>
      </c>
      <c r="T89" s="73">
        <v>71</v>
      </c>
      <c r="U89" s="72" t="s">
        <v>588</v>
      </c>
      <c r="V89" s="69">
        <v>722</v>
      </c>
      <c r="W89" s="69">
        <v>72</v>
      </c>
    </row>
    <row r="90" spans="1:23" ht="15.75" customHeight="1">
      <c r="A90" s="79" t="str">
        <f>IF(E90="","",VLOOKUP('OPĆI DIO'!$C$3,'OPĆI DIO'!$L$6:$U$120,10,FALSE))</f>
        <v/>
      </c>
      <c r="B90" s="79" t="str">
        <f>IF(E90="","",VLOOKUP('OPĆI DIO'!$C$3,'OPĆI DIO'!$L$6:$U$120,9,FALSE))</f>
        <v/>
      </c>
      <c r="C90" s="63" t="str">
        <f t="shared" si="0"/>
        <v/>
      </c>
      <c r="D90" s="64" t="str">
        <f t="shared" si="1"/>
        <v/>
      </c>
      <c r="E90" s="68"/>
      <c r="F90" s="66" t="str">
        <f t="shared" si="2"/>
        <v/>
      </c>
      <c r="G90" s="67"/>
      <c r="H90" s="67"/>
      <c r="I90" s="67"/>
      <c r="J90" s="68"/>
      <c r="L90" s="51" t="str">
        <f t="shared" si="3"/>
        <v/>
      </c>
      <c r="M90" s="51" t="str">
        <f t="shared" si="7"/>
        <v/>
      </c>
      <c r="R90" s="73">
        <v>722120071</v>
      </c>
      <c r="S90" s="72" t="s">
        <v>597</v>
      </c>
      <c r="T90" s="73">
        <v>71</v>
      </c>
      <c r="U90" s="72" t="s">
        <v>588</v>
      </c>
      <c r="V90" s="69">
        <v>722</v>
      </c>
      <c r="W90" s="69">
        <v>72</v>
      </c>
    </row>
    <row r="91" spans="1:23" ht="15.75" customHeight="1">
      <c r="A91" s="79" t="str">
        <f>IF(E91="","",VLOOKUP('OPĆI DIO'!$C$3,'OPĆI DIO'!$L$6:$U$120,10,FALSE))</f>
        <v/>
      </c>
      <c r="B91" s="79" t="str">
        <f>IF(E91="","",VLOOKUP('OPĆI DIO'!$C$3,'OPĆI DIO'!$L$6:$U$120,9,FALSE))</f>
        <v/>
      </c>
      <c r="C91" s="63" t="str">
        <f t="shared" si="0"/>
        <v/>
      </c>
      <c r="D91" s="64" t="str">
        <f t="shared" si="1"/>
        <v/>
      </c>
      <c r="E91" s="68"/>
      <c r="F91" s="66" t="str">
        <f t="shared" si="2"/>
        <v/>
      </c>
      <c r="G91" s="67"/>
      <c r="H91" s="67"/>
      <c r="I91" s="67"/>
      <c r="J91" s="68"/>
      <c r="L91" s="51" t="str">
        <f t="shared" si="3"/>
        <v/>
      </c>
      <c r="M91" s="51" t="str">
        <f t="shared" si="7"/>
        <v/>
      </c>
      <c r="R91" s="73">
        <v>722190071</v>
      </c>
      <c r="S91" s="72" t="s">
        <v>598</v>
      </c>
      <c r="T91" s="73">
        <v>71</v>
      </c>
      <c r="U91" s="72" t="s">
        <v>588</v>
      </c>
      <c r="V91" s="69">
        <v>722</v>
      </c>
      <c r="W91" s="69">
        <v>72</v>
      </c>
    </row>
    <row r="92" spans="1:23" ht="15.75" customHeight="1">
      <c r="A92" s="79" t="str">
        <f>IF(E92="","",VLOOKUP('OPĆI DIO'!$C$3,'OPĆI DIO'!$L$6:$U$120,10,FALSE))</f>
        <v/>
      </c>
      <c r="B92" s="79" t="str">
        <f>IF(E92="","",VLOOKUP('OPĆI DIO'!$C$3,'OPĆI DIO'!$L$6:$U$120,9,FALSE))</f>
        <v/>
      </c>
      <c r="C92" s="63" t="str">
        <f t="shared" si="0"/>
        <v/>
      </c>
      <c r="D92" s="64" t="str">
        <f t="shared" si="1"/>
        <v/>
      </c>
      <c r="E92" s="68"/>
      <c r="F92" s="66" t="str">
        <f t="shared" si="2"/>
        <v/>
      </c>
      <c r="G92" s="67"/>
      <c r="H92" s="67"/>
      <c r="I92" s="67"/>
      <c r="J92" s="68"/>
      <c r="L92" s="51" t="str">
        <f t="shared" si="3"/>
        <v/>
      </c>
      <c r="M92" s="51" t="str">
        <f t="shared" si="7"/>
        <v/>
      </c>
      <c r="R92" s="73">
        <v>722620071</v>
      </c>
      <c r="S92" s="72" t="s">
        <v>599</v>
      </c>
      <c r="T92" s="73">
        <v>71</v>
      </c>
      <c r="U92" s="72" t="s">
        <v>588</v>
      </c>
      <c r="V92" s="69">
        <v>722</v>
      </c>
      <c r="W92" s="69">
        <v>72</v>
      </c>
    </row>
    <row r="93" spans="1:23" ht="15.75" customHeight="1">
      <c r="A93" s="79" t="str">
        <f>IF(E93="","",VLOOKUP('OPĆI DIO'!$C$3,'OPĆI DIO'!$L$6:$U$120,10,FALSE))</f>
        <v/>
      </c>
      <c r="B93" s="79" t="str">
        <f>IF(E93="","",VLOOKUP('OPĆI DIO'!$C$3,'OPĆI DIO'!$L$6:$U$120,9,FALSE))</f>
        <v/>
      </c>
      <c r="C93" s="63" t="str">
        <f t="shared" si="0"/>
        <v/>
      </c>
      <c r="D93" s="64" t="str">
        <f t="shared" si="1"/>
        <v/>
      </c>
      <c r="E93" s="68"/>
      <c r="F93" s="66" t="str">
        <f t="shared" si="2"/>
        <v/>
      </c>
      <c r="G93" s="67"/>
      <c r="H93" s="67"/>
      <c r="I93" s="67"/>
      <c r="J93" s="68"/>
      <c r="L93" s="51" t="str">
        <f t="shared" si="3"/>
        <v/>
      </c>
      <c r="M93" s="51" t="str">
        <f t="shared" si="7"/>
        <v/>
      </c>
      <c r="R93" s="73">
        <v>722720071</v>
      </c>
      <c r="S93" s="72" t="s">
        <v>600</v>
      </c>
      <c r="T93" s="73">
        <v>71</v>
      </c>
      <c r="U93" s="72" t="s">
        <v>528</v>
      </c>
      <c r="V93" s="69">
        <v>722</v>
      </c>
      <c r="W93" s="69">
        <v>72</v>
      </c>
    </row>
    <row r="94" spans="1:23" ht="15.75" customHeight="1">
      <c r="A94" s="79" t="str">
        <f>IF(E94="","",VLOOKUP('OPĆI DIO'!$C$3,'OPĆI DIO'!$L$6:$U$120,10,FALSE))</f>
        <v/>
      </c>
      <c r="B94" s="79" t="str">
        <f>IF(E94="","",VLOOKUP('OPĆI DIO'!$C$3,'OPĆI DIO'!$L$6:$U$120,9,FALSE))</f>
        <v/>
      </c>
      <c r="C94" s="63" t="str">
        <f t="shared" si="0"/>
        <v/>
      </c>
      <c r="D94" s="64" t="str">
        <f t="shared" si="1"/>
        <v/>
      </c>
      <c r="E94" s="68"/>
      <c r="F94" s="66" t="str">
        <f t="shared" si="2"/>
        <v/>
      </c>
      <c r="G94" s="67"/>
      <c r="H94" s="67"/>
      <c r="I94" s="67"/>
      <c r="J94" s="68"/>
      <c r="L94" s="51" t="str">
        <f t="shared" si="3"/>
        <v/>
      </c>
      <c r="M94" s="51" t="str">
        <f t="shared" si="7"/>
        <v/>
      </c>
      <c r="R94" s="73">
        <v>722730071</v>
      </c>
      <c r="S94" s="72" t="s">
        <v>601</v>
      </c>
      <c r="T94" s="73">
        <v>71</v>
      </c>
      <c r="U94" s="72" t="s">
        <v>588</v>
      </c>
      <c r="V94" s="69">
        <v>722</v>
      </c>
      <c r="W94" s="69">
        <v>72</v>
      </c>
    </row>
    <row r="95" spans="1:23" ht="15.75" customHeight="1">
      <c r="A95" s="79" t="str">
        <f>IF(E95="","",VLOOKUP('OPĆI DIO'!$C$3,'OPĆI DIO'!$L$6:$U$120,10,FALSE))</f>
        <v/>
      </c>
      <c r="B95" s="79" t="str">
        <f>IF(E95="","",VLOOKUP('OPĆI DIO'!$C$3,'OPĆI DIO'!$L$6:$U$120,9,FALSE))</f>
        <v/>
      </c>
      <c r="C95" s="63" t="str">
        <f t="shared" si="0"/>
        <v/>
      </c>
      <c r="D95" s="64" t="str">
        <f t="shared" si="1"/>
        <v/>
      </c>
      <c r="E95" s="68"/>
      <c r="F95" s="66" t="str">
        <f t="shared" si="2"/>
        <v/>
      </c>
      <c r="G95" s="67"/>
      <c r="H95" s="67"/>
      <c r="I95" s="67"/>
      <c r="J95" s="68"/>
      <c r="L95" s="51" t="str">
        <f t="shared" si="3"/>
        <v/>
      </c>
      <c r="M95" s="51" t="str">
        <f t="shared" si="7"/>
        <v/>
      </c>
      <c r="R95" s="73">
        <v>723110071</v>
      </c>
      <c r="S95" s="72" t="s">
        <v>602</v>
      </c>
      <c r="T95" s="73">
        <v>71</v>
      </c>
      <c r="U95" s="72" t="s">
        <v>588</v>
      </c>
      <c r="V95" s="69">
        <v>723</v>
      </c>
      <c r="W95" s="69">
        <v>72</v>
      </c>
    </row>
    <row r="96" spans="1:23" ht="15.75" customHeight="1">
      <c r="A96" s="79" t="str">
        <f>IF(E96="","",VLOOKUP('OPĆI DIO'!$C$3,'OPĆI DIO'!$L$6:$U$120,10,FALSE))</f>
        <v/>
      </c>
      <c r="B96" s="79" t="str">
        <f>IF(E96="","",VLOOKUP('OPĆI DIO'!$C$3,'OPĆI DIO'!$L$6:$U$120,9,FALSE))</f>
        <v/>
      </c>
      <c r="C96" s="63" t="str">
        <f t="shared" si="0"/>
        <v/>
      </c>
      <c r="D96" s="64" t="str">
        <f t="shared" si="1"/>
        <v/>
      </c>
      <c r="E96" s="68"/>
      <c r="F96" s="66" t="str">
        <f t="shared" si="2"/>
        <v/>
      </c>
      <c r="G96" s="67"/>
      <c r="H96" s="67"/>
      <c r="I96" s="67"/>
      <c r="J96" s="68"/>
      <c r="L96" s="51" t="str">
        <f t="shared" si="3"/>
        <v/>
      </c>
      <c r="M96" s="51" t="str">
        <f t="shared" si="7"/>
        <v/>
      </c>
      <c r="R96" s="73">
        <v>723130071</v>
      </c>
      <c r="S96" s="72" t="s">
        <v>603</v>
      </c>
      <c r="T96" s="73">
        <v>71</v>
      </c>
      <c r="U96" s="72" t="s">
        <v>588</v>
      </c>
      <c r="V96" s="69">
        <v>723</v>
      </c>
      <c r="W96" s="69">
        <v>72</v>
      </c>
    </row>
    <row r="97" spans="1:23" ht="15.75" customHeight="1">
      <c r="A97" s="79" t="str">
        <f>IF(E97="","",VLOOKUP('OPĆI DIO'!$C$3,'OPĆI DIO'!$L$6:$U$120,10,FALSE))</f>
        <v/>
      </c>
      <c r="B97" s="79" t="str">
        <f>IF(E97="","",VLOOKUP('OPĆI DIO'!$C$3,'OPĆI DIO'!$L$6:$U$120,9,FALSE))</f>
        <v/>
      </c>
      <c r="C97" s="63" t="str">
        <f t="shared" si="0"/>
        <v/>
      </c>
      <c r="D97" s="64" t="str">
        <f t="shared" si="1"/>
        <v/>
      </c>
      <c r="E97" s="68"/>
      <c r="F97" s="66" t="str">
        <f t="shared" si="2"/>
        <v/>
      </c>
      <c r="G97" s="67"/>
      <c r="H97" s="67"/>
      <c r="I97" s="67"/>
      <c r="J97" s="68"/>
      <c r="L97" s="51" t="str">
        <f t="shared" si="3"/>
        <v/>
      </c>
      <c r="M97" s="51" t="str">
        <f t="shared" si="7"/>
        <v/>
      </c>
      <c r="R97" s="73">
        <v>723140071</v>
      </c>
      <c r="S97" s="72" t="s">
        <v>604</v>
      </c>
      <c r="T97" s="73">
        <v>71</v>
      </c>
      <c r="U97" s="72" t="s">
        <v>588</v>
      </c>
      <c r="V97" s="69">
        <v>723</v>
      </c>
      <c r="W97" s="69">
        <v>72</v>
      </c>
    </row>
    <row r="98" spans="1:23" ht="15.75" customHeight="1">
      <c r="A98" s="79" t="str">
        <f>IF(E98="","",VLOOKUP('OPĆI DIO'!$C$3,'OPĆI DIO'!$L$6:$U$120,10,FALSE))</f>
        <v/>
      </c>
      <c r="B98" s="79" t="str">
        <f>IF(E98="","",VLOOKUP('OPĆI DIO'!$C$3,'OPĆI DIO'!$L$6:$U$120,9,FALSE))</f>
        <v/>
      </c>
      <c r="C98" s="63" t="str">
        <f t="shared" si="0"/>
        <v/>
      </c>
      <c r="D98" s="64" t="str">
        <f t="shared" si="1"/>
        <v/>
      </c>
      <c r="E98" s="68"/>
      <c r="F98" s="66" t="str">
        <f t="shared" si="2"/>
        <v/>
      </c>
      <c r="G98" s="67"/>
      <c r="H98" s="67"/>
      <c r="I98" s="67"/>
      <c r="J98" s="68"/>
      <c r="L98" s="51" t="str">
        <f t="shared" si="3"/>
        <v/>
      </c>
      <c r="M98" s="51" t="str">
        <f t="shared" si="7"/>
        <v/>
      </c>
      <c r="R98" s="73">
        <v>723150071</v>
      </c>
      <c r="S98" s="72" t="s">
        <v>605</v>
      </c>
      <c r="T98" s="73">
        <v>71</v>
      </c>
      <c r="U98" s="72" t="s">
        <v>588</v>
      </c>
      <c r="V98" s="69">
        <v>723</v>
      </c>
      <c r="W98" s="69">
        <v>72</v>
      </c>
    </row>
    <row r="99" spans="1:23" ht="15.75" customHeight="1">
      <c r="A99" s="79" t="str">
        <f>IF(E99="","",VLOOKUP('OPĆI DIO'!$C$3,'OPĆI DIO'!$L$6:$U$120,10,FALSE))</f>
        <v/>
      </c>
      <c r="B99" s="79" t="str">
        <f>IF(E99="","",VLOOKUP('OPĆI DIO'!$C$3,'OPĆI DIO'!$L$6:$U$120,9,FALSE))</f>
        <v/>
      </c>
      <c r="C99" s="63" t="str">
        <f t="shared" si="0"/>
        <v/>
      </c>
      <c r="D99" s="64" t="str">
        <f t="shared" si="1"/>
        <v/>
      </c>
      <c r="E99" s="68"/>
      <c r="F99" s="66" t="str">
        <f t="shared" si="2"/>
        <v/>
      </c>
      <c r="G99" s="67"/>
      <c r="H99" s="67"/>
      <c r="I99" s="67"/>
      <c r="J99" s="68"/>
      <c r="L99" s="51" t="str">
        <f t="shared" si="3"/>
        <v/>
      </c>
      <c r="M99" s="51" t="str">
        <f t="shared" si="7"/>
        <v/>
      </c>
      <c r="R99" s="73">
        <v>723160071</v>
      </c>
      <c r="S99" s="72" t="s">
        <v>606</v>
      </c>
      <c r="T99" s="73">
        <v>71</v>
      </c>
      <c r="U99" s="72" t="s">
        <v>588</v>
      </c>
      <c r="V99" s="69">
        <v>723</v>
      </c>
      <c r="W99" s="69">
        <v>72</v>
      </c>
    </row>
    <row r="100" spans="1:23" ht="15.75" customHeight="1">
      <c r="A100" s="79" t="str">
        <f>IF(E100="","",VLOOKUP('OPĆI DIO'!$C$3,'OPĆI DIO'!$L$6:$U$120,10,FALSE))</f>
        <v/>
      </c>
      <c r="B100" s="79" t="str">
        <f>IF(E100="","",VLOOKUP('OPĆI DIO'!$C$3,'OPĆI DIO'!$L$6:$U$120,9,FALSE))</f>
        <v/>
      </c>
      <c r="C100" s="63" t="str">
        <f t="shared" si="0"/>
        <v/>
      </c>
      <c r="D100" s="64" t="str">
        <f t="shared" si="1"/>
        <v/>
      </c>
      <c r="E100" s="68"/>
      <c r="F100" s="66" t="str">
        <f t="shared" si="2"/>
        <v/>
      </c>
      <c r="G100" s="67"/>
      <c r="H100" s="67"/>
      <c r="I100" s="67"/>
      <c r="J100" s="68"/>
      <c r="L100" s="51" t="str">
        <f t="shared" si="3"/>
        <v/>
      </c>
      <c r="M100" s="51" t="str">
        <f t="shared" si="7"/>
        <v/>
      </c>
      <c r="R100" s="73">
        <v>723190071</v>
      </c>
      <c r="S100" s="72" t="s">
        <v>607</v>
      </c>
      <c r="T100" s="73">
        <v>71</v>
      </c>
      <c r="U100" s="72" t="s">
        <v>528</v>
      </c>
      <c r="V100" s="69">
        <v>723</v>
      </c>
      <c r="W100" s="69">
        <v>72</v>
      </c>
    </row>
    <row r="101" spans="1:23" ht="15.75" customHeight="1">
      <c r="A101" s="79" t="str">
        <f>IF(E101="","",VLOOKUP('OPĆI DIO'!$C$3,'OPĆI DIO'!$L$6:$U$120,10,FALSE))</f>
        <v/>
      </c>
      <c r="B101" s="79" t="str">
        <f>IF(E101="","",VLOOKUP('OPĆI DIO'!$C$3,'OPĆI DIO'!$L$6:$U$120,9,FALSE))</f>
        <v/>
      </c>
      <c r="C101" s="63" t="str">
        <f t="shared" si="0"/>
        <v/>
      </c>
      <c r="D101" s="64" t="str">
        <f t="shared" si="1"/>
        <v/>
      </c>
      <c r="E101" s="68"/>
      <c r="F101" s="66" t="str">
        <f t="shared" si="2"/>
        <v/>
      </c>
      <c r="G101" s="67"/>
      <c r="H101" s="67"/>
      <c r="I101" s="67"/>
      <c r="J101" s="68"/>
      <c r="L101" s="51" t="str">
        <f t="shared" si="3"/>
        <v/>
      </c>
      <c r="M101" s="51" t="str">
        <f t="shared" si="7"/>
        <v/>
      </c>
      <c r="R101" s="73">
        <v>723310071</v>
      </c>
      <c r="S101" s="72" t="s">
        <v>608</v>
      </c>
      <c r="T101" s="73">
        <v>71</v>
      </c>
      <c r="U101" s="72" t="s">
        <v>588</v>
      </c>
      <c r="V101" s="69">
        <v>723</v>
      </c>
      <c r="W101" s="69">
        <v>72</v>
      </c>
    </row>
    <row r="102" spans="1:23" ht="15.75" customHeight="1">
      <c r="A102" s="79" t="str">
        <f>IF(E102="","",VLOOKUP('OPĆI DIO'!$C$3,'OPĆI DIO'!$L$6:$U$120,10,FALSE))</f>
        <v/>
      </c>
      <c r="B102" s="79" t="str">
        <f>IF(E102="","",VLOOKUP('OPĆI DIO'!$C$3,'OPĆI DIO'!$L$6:$U$120,9,FALSE))</f>
        <v/>
      </c>
      <c r="C102" s="63" t="str">
        <f t="shared" si="0"/>
        <v/>
      </c>
      <c r="D102" s="64" t="str">
        <f t="shared" si="1"/>
        <v/>
      </c>
      <c r="E102" s="68"/>
      <c r="F102" s="66" t="str">
        <f t="shared" si="2"/>
        <v/>
      </c>
      <c r="G102" s="67"/>
      <c r="H102" s="67"/>
      <c r="I102" s="67"/>
      <c r="J102" s="68"/>
      <c r="L102" s="51" t="str">
        <f t="shared" si="3"/>
        <v/>
      </c>
      <c r="M102" s="51" t="str">
        <f t="shared" si="7"/>
        <v/>
      </c>
      <c r="R102" s="73">
        <v>725210071</v>
      </c>
      <c r="S102" s="72" t="s">
        <v>609</v>
      </c>
      <c r="T102" s="73">
        <v>71</v>
      </c>
      <c r="U102" s="72" t="s">
        <v>588</v>
      </c>
      <c r="V102" s="69">
        <v>725</v>
      </c>
      <c r="W102" s="69">
        <v>72</v>
      </c>
    </row>
    <row r="103" spans="1:23" ht="15.75" customHeight="1">
      <c r="A103" s="79" t="str">
        <f>IF(E103="","",VLOOKUP('OPĆI DIO'!$C$3,'OPĆI DIO'!$L$6:$U$120,10,FALSE))</f>
        <v/>
      </c>
      <c r="B103" s="79" t="str">
        <f>IF(E103="","",VLOOKUP('OPĆI DIO'!$C$3,'OPĆI DIO'!$L$6:$U$120,9,FALSE))</f>
        <v/>
      </c>
      <c r="C103" s="63" t="str">
        <f t="shared" si="0"/>
        <v/>
      </c>
      <c r="D103" s="64" t="str">
        <f t="shared" si="1"/>
        <v/>
      </c>
      <c r="E103" s="68"/>
      <c r="F103" s="66" t="str">
        <f t="shared" si="2"/>
        <v/>
      </c>
      <c r="G103" s="67"/>
      <c r="H103" s="67"/>
      <c r="I103" s="67"/>
      <c r="J103" s="68"/>
      <c r="L103" s="51" t="str">
        <f t="shared" si="3"/>
        <v/>
      </c>
      <c r="M103" s="51" t="str">
        <f t="shared" si="7"/>
        <v/>
      </c>
      <c r="R103" s="73">
        <v>818110043</v>
      </c>
      <c r="S103" s="72" t="s">
        <v>610</v>
      </c>
      <c r="T103" s="73">
        <v>43</v>
      </c>
      <c r="U103" s="72" t="s">
        <v>495</v>
      </c>
      <c r="V103" s="69">
        <v>818</v>
      </c>
      <c r="W103" s="69">
        <v>81</v>
      </c>
    </row>
    <row r="104" spans="1:23" ht="15.75" customHeight="1">
      <c r="A104" s="79" t="str">
        <f>IF(E104="","",VLOOKUP('OPĆI DIO'!$C$3,'OPĆI DIO'!$L$6:$U$120,10,FALSE))</f>
        <v/>
      </c>
      <c r="B104" s="79" t="str">
        <f>IF(E104="","",VLOOKUP('OPĆI DIO'!$C$3,'OPĆI DIO'!$L$6:$U$120,9,FALSE))</f>
        <v/>
      </c>
      <c r="C104" s="63" t="str">
        <f t="shared" si="0"/>
        <v/>
      </c>
      <c r="D104" s="64" t="str">
        <f t="shared" si="1"/>
        <v/>
      </c>
      <c r="E104" s="68"/>
      <c r="F104" s="66" t="str">
        <f t="shared" si="2"/>
        <v/>
      </c>
      <c r="G104" s="67"/>
      <c r="H104" s="67"/>
      <c r="I104" s="67"/>
      <c r="J104" s="68"/>
      <c r="L104" s="51" t="str">
        <f t="shared" si="3"/>
        <v/>
      </c>
      <c r="M104" s="51" t="str">
        <f t="shared" si="7"/>
        <v/>
      </c>
      <c r="R104" s="73">
        <v>818120043</v>
      </c>
      <c r="S104" s="72" t="s">
        <v>611</v>
      </c>
      <c r="T104" s="73">
        <v>43</v>
      </c>
      <c r="U104" s="72" t="s">
        <v>495</v>
      </c>
      <c r="V104" s="69">
        <v>818</v>
      </c>
      <c r="W104" s="69">
        <v>81</v>
      </c>
    </row>
    <row r="105" spans="1:23" ht="15.75" customHeight="1">
      <c r="A105" s="79" t="str">
        <f>IF(E105="","",VLOOKUP('OPĆI DIO'!$C$3,'OPĆI DIO'!$L$6:$U$120,10,FALSE))</f>
        <v/>
      </c>
      <c r="B105" s="79" t="str">
        <f>IF(E105="","",VLOOKUP('OPĆI DIO'!$C$3,'OPĆI DIO'!$L$6:$U$120,9,FALSE))</f>
        <v/>
      </c>
      <c r="C105" s="63" t="str">
        <f t="shared" si="0"/>
        <v/>
      </c>
      <c r="D105" s="64" t="str">
        <f t="shared" si="1"/>
        <v/>
      </c>
      <c r="E105" s="68"/>
      <c r="F105" s="66" t="str">
        <f t="shared" si="2"/>
        <v/>
      </c>
      <c r="G105" s="67"/>
      <c r="H105" s="67"/>
      <c r="I105" s="67"/>
      <c r="J105" s="68"/>
      <c r="L105" s="51" t="str">
        <f t="shared" si="3"/>
        <v/>
      </c>
      <c r="M105" s="51" t="str">
        <f t="shared" si="7"/>
        <v/>
      </c>
      <c r="R105" s="73">
        <v>832120043</v>
      </c>
      <c r="S105" s="72" t="s">
        <v>612</v>
      </c>
      <c r="T105" s="73">
        <v>43</v>
      </c>
      <c r="U105" s="72" t="s">
        <v>495</v>
      </c>
      <c r="V105" s="69">
        <v>832</v>
      </c>
      <c r="W105" s="69">
        <v>83</v>
      </c>
    </row>
    <row r="106" spans="1:23" ht="15.75" customHeight="1">
      <c r="A106" s="79" t="str">
        <f>IF(E106="","",VLOOKUP('OPĆI DIO'!$C$3,'OPĆI DIO'!$L$6:$U$120,10,FALSE))</f>
        <v/>
      </c>
      <c r="B106" s="79" t="str">
        <f>IF(E106="","",VLOOKUP('OPĆI DIO'!$C$3,'OPĆI DIO'!$L$6:$U$120,9,FALSE))</f>
        <v/>
      </c>
      <c r="C106" s="63" t="str">
        <f t="shared" si="0"/>
        <v/>
      </c>
      <c r="D106" s="64" t="str">
        <f t="shared" si="1"/>
        <v/>
      </c>
      <c r="E106" s="68"/>
      <c r="F106" s="66" t="str">
        <f t="shared" si="2"/>
        <v/>
      </c>
      <c r="G106" s="67"/>
      <c r="H106" s="67"/>
      <c r="I106" s="67"/>
      <c r="J106" s="68"/>
      <c r="L106" s="51" t="str">
        <f t="shared" si="3"/>
        <v/>
      </c>
      <c r="M106" s="51" t="str">
        <f t="shared" si="7"/>
        <v/>
      </c>
      <c r="R106" s="73">
        <v>833130043</v>
      </c>
      <c r="S106" s="72" t="s">
        <v>613</v>
      </c>
      <c r="T106" s="73">
        <v>43</v>
      </c>
      <c r="U106" s="72" t="s">
        <v>495</v>
      </c>
      <c r="V106" s="69">
        <v>833</v>
      </c>
      <c r="W106" s="69">
        <v>83</v>
      </c>
    </row>
    <row r="107" spans="1:23" ht="15.75" customHeight="1">
      <c r="A107" s="79" t="str">
        <f>IF(E107="","",VLOOKUP('OPĆI DIO'!$C$3,'OPĆI DIO'!$L$6:$U$120,10,FALSE))</f>
        <v/>
      </c>
      <c r="B107" s="79" t="str">
        <f>IF(E107="","",VLOOKUP('OPĆI DIO'!$C$3,'OPĆI DIO'!$L$6:$U$120,9,FALSE))</f>
        <v/>
      </c>
      <c r="C107" s="63" t="str">
        <f t="shared" si="0"/>
        <v/>
      </c>
      <c r="D107" s="64" t="str">
        <f t="shared" si="1"/>
        <v/>
      </c>
      <c r="E107" s="68"/>
      <c r="F107" s="66" t="str">
        <f t="shared" si="2"/>
        <v/>
      </c>
      <c r="G107" s="67"/>
      <c r="H107" s="67"/>
      <c r="I107" s="67"/>
      <c r="J107" s="68"/>
      <c r="L107" s="51" t="str">
        <f t="shared" si="3"/>
        <v/>
      </c>
      <c r="M107" s="51" t="str">
        <f t="shared" si="7"/>
        <v/>
      </c>
      <c r="R107" s="73">
        <v>841320000</v>
      </c>
      <c r="S107" s="72" t="s">
        <v>614</v>
      </c>
      <c r="T107" s="73">
        <v>81</v>
      </c>
      <c r="U107" s="72" t="s">
        <v>615</v>
      </c>
      <c r="V107" s="69">
        <v>841</v>
      </c>
      <c r="W107" s="69">
        <v>84</v>
      </c>
    </row>
    <row r="108" spans="1:23" ht="15.75" customHeight="1">
      <c r="A108" s="79" t="str">
        <f>IF(E108="","",VLOOKUP('OPĆI DIO'!$C$3,'OPĆI DIO'!$L$6:$U$120,10,FALSE))</f>
        <v/>
      </c>
      <c r="B108" s="79" t="str">
        <f>IF(E108="","",VLOOKUP('OPĆI DIO'!$C$3,'OPĆI DIO'!$L$6:$U$120,9,FALSE))</f>
        <v/>
      </c>
      <c r="C108" s="63" t="str">
        <f t="shared" si="0"/>
        <v/>
      </c>
      <c r="D108" s="64" t="str">
        <f t="shared" si="1"/>
        <v/>
      </c>
      <c r="E108" s="68"/>
      <c r="F108" s="66" t="str">
        <f t="shared" si="2"/>
        <v/>
      </c>
      <c r="G108" s="67"/>
      <c r="H108" s="67"/>
      <c r="I108" s="67"/>
      <c r="J108" s="68"/>
      <c r="L108" s="51" t="str">
        <f t="shared" si="3"/>
        <v/>
      </c>
      <c r="M108" s="51" t="str">
        <f t="shared" si="7"/>
        <v/>
      </c>
      <c r="R108" s="77">
        <v>841320150</v>
      </c>
      <c r="S108" s="78" t="s">
        <v>616</v>
      </c>
      <c r="T108" s="77">
        <v>81</v>
      </c>
      <c r="U108" s="78" t="s">
        <v>615</v>
      </c>
      <c r="V108" s="75">
        <v>841</v>
      </c>
      <c r="W108" s="75">
        <v>84</v>
      </c>
    </row>
    <row r="109" spans="1:23" ht="15.75" customHeight="1">
      <c r="A109" s="79" t="str">
        <f>IF(E109="","",VLOOKUP('OPĆI DIO'!$C$3,'OPĆI DIO'!$L$6:$U$120,10,FALSE))</f>
        <v/>
      </c>
      <c r="B109" s="79" t="str">
        <f>IF(E109="","",VLOOKUP('OPĆI DIO'!$C$3,'OPĆI DIO'!$L$6:$U$120,9,FALSE))</f>
        <v/>
      </c>
      <c r="C109" s="63" t="str">
        <f t="shared" si="0"/>
        <v/>
      </c>
      <c r="D109" s="64" t="str">
        <f t="shared" si="1"/>
        <v/>
      </c>
      <c r="E109" s="68"/>
      <c r="F109" s="66" t="str">
        <f t="shared" si="2"/>
        <v/>
      </c>
      <c r="G109" s="67"/>
      <c r="H109" s="67"/>
      <c r="I109" s="67"/>
      <c r="J109" s="68"/>
      <c r="L109" s="51" t="str">
        <f t="shared" si="3"/>
        <v/>
      </c>
      <c r="M109" s="51" t="str">
        <f t="shared" si="7"/>
        <v/>
      </c>
      <c r="R109" s="73">
        <v>842220081</v>
      </c>
      <c r="S109" s="72" t="s">
        <v>617</v>
      </c>
      <c r="T109" s="73">
        <v>81</v>
      </c>
      <c r="U109" s="72" t="s">
        <v>615</v>
      </c>
      <c r="V109" s="69">
        <v>842</v>
      </c>
      <c r="W109" s="69">
        <v>84</v>
      </c>
    </row>
    <row r="110" spans="1:23" ht="15.75" customHeight="1">
      <c r="A110" s="79" t="str">
        <f>IF(E110="","",VLOOKUP('OPĆI DIO'!$C$3,'OPĆI DIO'!$L$6:$U$120,10,FALSE))</f>
        <v/>
      </c>
      <c r="B110" s="79" t="str">
        <f>IF(E110="","",VLOOKUP('OPĆI DIO'!$C$3,'OPĆI DIO'!$L$6:$U$120,9,FALSE))</f>
        <v/>
      </c>
      <c r="C110" s="63" t="str">
        <f t="shared" si="0"/>
        <v/>
      </c>
      <c r="D110" s="64" t="str">
        <f t="shared" si="1"/>
        <v/>
      </c>
      <c r="E110" s="68"/>
      <c r="F110" s="66" t="str">
        <f t="shared" si="2"/>
        <v/>
      </c>
      <c r="G110" s="67"/>
      <c r="H110" s="67"/>
      <c r="I110" s="67"/>
      <c r="J110" s="68"/>
      <c r="L110" s="51" t="str">
        <f t="shared" si="3"/>
        <v/>
      </c>
      <c r="M110" s="51" t="str">
        <f t="shared" si="7"/>
        <v/>
      </c>
    </row>
    <row r="111" spans="1:23" ht="15.75" customHeight="1">
      <c r="A111" s="79" t="str">
        <f>IF(E111="","",VLOOKUP('OPĆI DIO'!$C$3,'OPĆI DIO'!$L$6:$U$120,10,FALSE))</f>
        <v/>
      </c>
      <c r="B111" s="79" t="str">
        <f>IF(E111="","",VLOOKUP('OPĆI DIO'!$C$3,'OPĆI DIO'!$L$6:$U$120,9,FALSE))</f>
        <v/>
      </c>
      <c r="C111" s="63" t="str">
        <f t="shared" si="0"/>
        <v/>
      </c>
      <c r="D111" s="64" t="str">
        <f t="shared" si="1"/>
        <v/>
      </c>
      <c r="E111" s="68"/>
      <c r="F111" s="66" t="str">
        <f t="shared" si="2"/>
        <v/>
      </c>
      <c r="G111" s="67"/>
      <c r="H111" s="67"/>
      <c r="I111" s="67"/>
      <c r="J111" s="68"/>
      <c r="L111" s="51" t="str">
        <f t="shared" si="3"/>
        <v/>
      </c>
      <c r="M111" s="51" t="str">
        <f t="shared" si="7"/>
        <v/>
      </c>
    </row>
    <row r="112" spans="1:23" ht="15.75" customHeight="1">
      <c r="A112" s="79" t="str">
        <f>IF(E112="","",VLOOKUP('OPĆI DIO'!$C$3,'OPĆI DIO'!$L$6:$U$120,10,FALSE))</f>
        <v/>
      </c>
      <c r="B112" s="79" t="str">
        <f>IF(E112="","",VLOOKUP('OPĆI DIO'!$C$3,'OPĆI DIO'!$L$6:$U$120,9,FALSE))</f>
        <v/>
      </c>
      <c r="C112" s="63" t="str">
        <f t="shared" si="0"/>
        <v/>
      </c>
      <c r="D112" s="64" t="str">
        <f t="shared" si="1"/>
        <v/>
      </c>
      <c r="E112" s="68"/>
      <c r="F112" s="66" t="str">
        <f t="shared" si="2"/>
        <v/>
      </c>
      <c r="G112" s="67"/>
      <c r="H112" s="67"/>
      <c r="I112" s="67"/>
      <c r="J112" s="68"/>
      <c r="L112" s="51" t="str">
        <f t="shared" si="3"/>
        <v/>
      </c>
      <c r="M112" s="51" t="str">
        <f t="shared" si="7"/>
        <v/>
      </c>
    </row>
    <row r="113" spans="1:13" ht="15.75" customHeight="1">
      <c r="A113" s="79" t="str">
        <f>IF(E113="","",VLOOKUP('OPĆI DIO'!$C$3,'OPĆI DIO'!$L$6:$U$120,10,FALSE))</f>
        <v/>
      </c>
      <c r="B113" s="79" t="str">
        <f>IF(E113="","",VLOOKUP('OPĆI DIO'!$C$3,'OPĆI DIO'!$L$6:$U$120,9,FALSE))</f>
        <v/>
      </c>
      <c r="C113" s="63" t="str">
        <f t="shared" si="0"/>
        <v/>
      </c>
      <c r="D113" s="64" t="str">
        <f t="shared" si="1"/>
        <v/>
      </c>
      <c r="E113" s="68"/>
      <c r="F113" s="66" t="str">
        <f t="shared" si="2"/>
        <v/>
      </c>
      <c r="G113" s="67"/>
      <c r="H113" s="67"/>
      <c r="I113" s="67"/>
      <c r="J113" s="68"/>
      <c r="L113" s="51" t="str">
        <f t="shared" si="3"/>
        <v/>
      </c>
      <c r="M113" s="51" t="str">
        <f t="shared" si="7"/>
        <v/>
      </c>
    </row>
    <row r="114" spans="1:13" ht="15.75" customHeight="1">
      <c r="A114" s="79" t="str">
        <f>IF(E114="","",VLOOKUP('OPĆI DIO'!$C$3,'OPĆI DIO'!$L$6:$U$120,10,FALSE))</f>
        <v/>
      </c>
      <c r="B114" s="79" t="str">
        <f>IF(E114="","",VLOOKUP('OPĆI DIO'!$C$3,'OPĆI DIO'!$L$6:$U$120,9,FALSE))</f>
        <v/>
      </c>
      <c r="C114" s="63" t="str">
        <f t="shared" si="0"/>
        <v/>
      </c>
      <c r="D114" s="64" t="str">
        <f t="shared" si="1"/>
        <v/>
      </c>
      <c r="E114" s="68"/>
      <c r="F114" s="66" t="str">
        <f t="shared" si="2"/>
        <v/>
      </c>
      <c r="G114" s="67"/>
      <c r="H114" s="67"/>
      <c r="I114" s="67"/>
      <c r="J114" s="68"/>
      <c r="L114" s="51" t="str">
        <f t="shared" si="3"/>
        <v/>
      </c>
      <c r="M114" s="51" t="str">
        <f t="shared" si="7"/>
        <v/>
      </c>
    </row>
    <row r="115" spans="1:13" ht="15.75" customHeight="1">
      <c r="A115" s="79" t="str">
        <f>IF(E115="","",VLOOKUP('OPĆI DIO'!$C$3,'OPĆI DIO'!$L$6:$U$120,10,FALSE))</f>
        <v/>
      </c>
      <c r="B115" s="79" t="str">
        <f>IF(E115="","",VLOOKUP('OPĆI DIO'!$C$3,'OPĆI DIO'!$L$6:$U$120,9,FALSE))</f>
        <v/>
      </c>
      <c r="C115" s="63" t="str">
        <f t="shared" si="0"/>
        <v/>
      </c>
      <c r="D115" s="64" t="str">
        <f t="shared" si="1"/>
        <v/>
      </c>
      <c r="E115" s="68"/>
      <c r="F115" s="66" t="str">
        <f t="shared" si="2"/>
        <v/>
      </c>
      <c r="G115" s="67"/>
      <c r="H115" s="67"/>
      <c r="I115" s="67"/>
      <c r="J115" s="68"/>
      <c r="L115" s="51" t="str">
        <f t="shared" si="3"/>
        <v/>
      </c>
      <c r="M115" s="51" t="str">
        <f t="shared" si="7"/>
        <v/>
      </c>
    </row>
    <row r="116" spans="1:13" ht="15.75" customHeight="1">
      <c r="A116" s="79" t="str">
        <f>IF(E116="","",VLOOKUP('OPĆI DIO'!$C$3,'OPĆI DIO'!$L$6:$U$120,10,FALSE))</f>
        <v/>
      </c>
      <c r="B116" s="79" t="str">
        <f>IF(E116="","",VLOOKUP('OPĆI DIO'!$C$3,'OPĆI DIO'!$L$6:$U$120,9,FALSE))</f>
        <v/>
      </c>
      <c r="C116" s="63" t="str">
        <f t="shared" si="0"/>
        <v/>
      </c>
      <c r="D116" s="64" t="str">
        <f t="shared" si="1"/>
        <v/>
      </c>
      <c r="E116" s="68"/>
      <c r="F116" s="66" t="str">
        <f t="shared" si="2"/>
        <v/>
      </c>
      <c r="G116" s="67"/>
      <c r="H116" s="67"/>
      <c r="I116" s="67"/>
      <c r="J116" s="68"/>
      <c r="L116" s="51" t="str">
        <f t="shared" si="3"/>
        <v/>
      </c>
      <c r="M116" s="51" t="str">
        <f t="shared" si="7"/>
        <v/>
      </c>
    </row>
    <row r="117" spans="1:13" ht="15.75" customHeight="1">
      <c r="A117" s="79" t="str">
        <f>IF(E117="","",VLOOKUP('OPĆI DIO'!$C$3,'OPĆI DIO'!$L$6:$U$120,10,FALSE))</f>
        <v/>
      </c>
      <c r="B117" s="79" t="str">
        <f>IF(E117="","",VLOOKUP('OPĆI DIO'!$C$3,'OPĆI DIO'!$L$6:$U$120,9,FALSE))</f>
        <v/>
      </c>
      <c r="C117" s="63" t="str">
        <f t="shared" si="0"/>
        <v/>
      </c>
      <c r="D117" s="64" t="str">
        <f t="shared" si="1"/>
        <v/>
      </c>
      <c r="E117" s="68"/>
      <c r="F117" s="66" t="str">
        <f t="shared" si="2"/>
        <v/>
      </c>
      <c r="G117" s="67"/>
      <c r="H117" s="67"/>
      <c r="I117" s="67"/>
      <c r="J117" s="68"/>
      <c r="L117" s="51" t="str">
        <f t="shared" si="3"/>
        <v/>
      </c>
      <c r="M117" s="51" t="str">
        <f t="shared" si="7"/>
        <v/>
      </c>
    </row>
    <row r="118" spans="1:13" ht="15.75" customHeight="1">
      <c r="A118" s="79" t="str">
        <f>IF(E118="","",VLOOKUP('OPĆI DIO'!$C$3,'OPĆI DIO'!$L$6:$U$120,10,FALSE))</f>
        <v/>
      </c>
      <c r="B118" s="79" t="str">
        <f>IF(E118="","",VLOOKUP('OPĆI DIO'!$C$3,'OPĆI DIO'!$L$6:$U$120,9,FALSE))</f>
        <v/>
      </c>
      <c r="C118" s="63" t="str">
        <f t="shared" si="0"/>
        <v/>
      </c>
      <c r="D118" s="64" t="str">
        <f t="shared" si="1"/>
        <v/>
      </c>
      <c r="E118" s="68"/>
      <c r="F118" s="66" t="str">
        <f t="shared" si="2"/>
        <v/>
      </c>
      <c r="G118" s="67"/>
      <c r="H118" s="67"/>
      <c r="I118" s="67"/>
      <c r="J118" s="68"/>
      <c r="L118" s="51" t="str">
        <f t="shared" si="3"/>
        <v/>
      </c>
      <c r="M118" s="51" t="str">
        <f t="shared" si="7"/>
        <v/>
      </c>
    </row>
    <row r="119" spans="1:13" ht="15.75" customHeight="1">
      <c r="A119" s="79" t="str">
        <f>IF(E119="","",VLOOKUP('OPĆI DIO'!$C$3,'OPĆI DIO'!$L$6:$U$120,10,FALSE))</f>
        <v/>
      </c>
      <c r="B119" s="79" t="str">
        <f>IF(E119="","",VLOOKUP('OPĆI DIO'!$C$3,'OPĆI DIO'!$L$6:$U$120,9,FALSE))</f>
        <v/>
      </c>
      <c r="C119" s="63" t="str">
        <f t="shared" si="0"/>
        <v/>
      </c>
      <c r="D119" s="64" t="str">
        <f t="shared" si="1"/>
        <v/>
      </c>
      <c r="E119" s="68"/>
      <c r="F119" s="66" t="str">
        <f t="shared" si="2"/>
        <v/>
      </c>
      <c r="G119" s="67"/>
      <c r="H119" s="67"/>
      <c r="I119" s="67"/>
      <c r="J119" s="68"/>
      <c r="L119" s="51" t="str">
        <f t="shared" si="3"/>
        <v/>
      </c>
      <c r="M119" s="51" t="str">
        <f t="shared" si="7"/>
        <v/>
      </c>
    </row>
    <row r="120" spans="1:13" ht="15.75" customHeight="1">
      <c r="A120" s="79" t="str">
        <f>IF(E120="","",VLOOKUP('OPĆI DIO'!$C$3,'OPĆI DIO'!$L$6:$U$120,10,FALSE))</f>
        <v/>
      </c>
      <c r="B120" s="79" t="str">
        <f>IF(E120="","",VLOOKUP('OPĆI DIO'!$C$3,'OPĆI DIO'!$L$6:$U$120,9,FALSE))</f>
        <v/>
      </c>
      <c r="C120" s="63" t="str">
        <f t="shared" si="0"/>
        <v/>
      </c>
      <c r="D120" s="64" t="str">
        <f t="shared" si="1"/>
        <v/>
      </c>
      <c r="E120" s="68"/>
      <c r="F120" s="66" t="str">
        <f t="shared" si="2"/>
        <v/>
      </c>
      <c r="G120" s="67"/>
      <c r="H120" s="67"/>
      <c r="I120" s="67"/>
      <c r="J120" s="68"/>
      <c r="L120" s="51" t="str">
        <f t="shared" si="3"/>
        <v/>
      </c>
      <c r="M120" s="51" t="str">
        <f t="shared" si="7"/>
        <v/>
      </c>
    </row>
    <row r="121" spans="1:13" ht="15.75" customHeight="1">
      <c r="A121" s="79" t="str">
        <f>IF(E121="","",VLOOKUP('OPĆI DIO'!$C$3,'OPĆI DIO'!$L$6:$U$120,10,FALSE))</f>
        <v/>
      </c>
      <c r="B121" s="79" t="str">
        <f>IF(E121="","",VLOOKUP('OPĆI DIO'!$C$3,'OPĆI DIO'!$L$6:$U$120,9,FALSE))</f>
        <v/>
      </c>
      <c r="C121" s="63" t="str">
        <f t="shared" si="0"/>
        <v/>
      </c>
      <c r="D121" s="64" t="str">
        <f t="shared" si="1"/>
        <v/>
      </c>
      <c r="E121" s="68"/>
      <c r="F121" s="66" t="str">
        <f t="shared" si="2"/>
        <v/>
      </c>
      <c r="G121" s="67"/>
      <c r="H121" s="67"/>
      <c r="I121" s="67"/>
      <c r="J121" s="68"/>
      <c r="L121" s="51" t="str">
        <f t="shared" si="3"/>
        <v/>
      </c>
      <c r="M121" s="51" t="str">
        <f t="shared" si="7"/>
        <v/>
      </c>
    </row>
    <row r="122" spans="1:13" ht="15.75" customHeight="1">
      <c r="A122" s="79" t="str">
        <f>IF(E122="","",VLOOKUP('OPĆI DIO'!$C$3,'OPĆI DIO'!$L$6:$U$120,10,FALSE))</f>
        <v/>
      </c>
      <c r="B122" s="79" t="str">
        <f>IF(E122="","",VLOOKUP('OPĆI DIO'!$C$3,'OPĆI DIO'!$L$6:$U$120,9,FALSE))</f>
        <v/>
      </c>
      <c r="C122" s="63" t="str">
        <f t="shared" si="0"/>
        <v/>
      </c>
      <c r="D122" s="64" t="str">
        <f t="shared" si="1"/>
        <v/>
      </c>
      <c r="E122" s="68"/>
      <c r="F122" s="66" t="str">
        <f t="shared" si="2"/>
        <v/>
      </c>
      <c r="G122" s="67"/>
      <c r="H122" s="67"/>
      <c r="I122" s="67"/>
      <c r="J122" s="68"/>
      <c r="L122" s="51" t="str">
        <f t="shared" si="3"/>
        <v/>
      </c>
      <c r="M122" s="51" t="str">
        <f t="shared" si="7"/>
        <v/>
      </c>
    </row>
    <row r="123" spans="1:13" ht="15.75" customHeight="1">
      <c r="A123" s="79" t="str">
        <f>IF(E123="","",VLOOKUP('OPĆI DIO'!$C$3,'OPĆI DIO'!$L$6:$U$120,10,FALSE))</f>
        <v/>
      </c>
      <c r="B123" s="79" t="str">
        <f>IF(E123="","",VLOOKUP('OPĆI DIO'!$C$3,'OPĆI DIO'!$L$6:$U$120,9,FALSE))</f>
        <v/>
      </c>
      <c r="C123" s="63" t="str">
        <f t="shared" si="0"/>
        <v/>
      </c>
      <c r="D123" s="64" t="str">
        <f t="shared" si="1"/>
        <v/>
      </c>
      <c r="E123" s="68"/>
      <c r="F123" s="66" t="str">
        <f t="shared" si="2"/>
        <v/>
      </c>
      <c r="G123" s="67"/>
      <c r="H123" s="67"/>
      <c r="I123" s="67"/>
      <c r="J123" s="68"/>
      <c r="L123" s="51" t="str">
        <f t="shared" si="3"/>
        <v/>
      </c>
      <c r="M123" s="51" t="str">
        <f t="shared" si="7"/>
        <v/>
      </c>
    </row>
    <row r="124" spans="1:13" ht="15.75" customHeight="1">
      <c r="A124" s="79" t="str">
        <f>IF(E124="","",VLOOKUP('OPĆI DIO'!$C$3,'OPĆI DIO'!$L$6:$U$120,10,FALSE))</f>
        <v/>
      </c>
      <c r="B124" s="79" t="str">
        <f>IF(E124="","",VLOOKUP('OPĆI DIO'!$C$3,'OPĆI DIO'!$L$6:$U$120,9,FALSE))</f>
        <v/>
      </c>
      <c r="C124" s="63" t="str">
        <f t="shared" si="0"/>
        <v/>
      </c>
      <c r="D124" s="64" t="str">
        <f t="shared" si="1"/>
        <v/>
      </c>
      <c r="E124" s="68"/>
      <c r="F124" s="66" t="str">
        <f t="shared" si="2"/>
        <v/>
      </c>
      <c r="G124" s="67"/>
      <c r="H124" s="67"/>
      <c r="I124" s="67"/>
      <c r="J124" s="68"/>
      <c r="L124" s="51" t="str">
        <f t="shared" si="3"/>
        <v/>
      </c>
      <c r="M124" s="51" t="str">
        <f t="shared" si="7"/>
        <v/>
      </c>
    </row>
    <row r="125" spans="1:13" ht="15.75" customHeight="1">
      <c r="A125" s="79" t="str">
        <f>IF(E125="","",VLOOKUP('OPĆI DIO'!$C$3,'OPĆI DIO'!$L$6:$U$120,10,FALSE))</f>
        <v/>
      </c>
      <c r="B125" s="79" t="str">
        <f>IF(E125="","",VLOOKUP('OPĆI DIO'!$C$3,'OPĆI DIO'!$L$6:$U$120,9,FALSE))</f>
        <v/>
      </c>
      <c r="C125" s="63" t="str">
        <f t="shared" si="0"/>
        <v/>
      </c>
      <c r="D125" s="64" t="str">
        <f t="shared" si="1"/>
        <v/>
      </c>
      <c r="E125" s="68"/>
      <c r="F125" s="66" t="str">
        <f t="shared" si="2"/>
        <v/>
      </c>
      <c r="G125" s="67"/>
      <c r="H125" s="67"/>
      <c r="I125" s="67"/>
      <c r="J125" s="68"/>
      <c r="L125" s="51" t="str">
        <f t="shared" si="3"/>
        <v/>
      </c>
      <c r="M125" s="51" t="str">
        <f t="shared" si="7"/>
        <v/>
      </c>
    </row>
    <row r="126" spans="1:13" ht="15.75" customHeight="1">
      <c r="A126" s="79" t="str">
        <f>IF(E126="","",VLOOKUP('OPĆI DIO'!$C$3,'OPĆI DIO'!$L$6:$U$120,10,FALSE))</f>
        <v/>
      </c>
      <c r="B126" s="79" t="str">
        <f>IF(E126="","",VLOOKUP('OPĆI DIO'!$C$3,'OPĆI DIO'!$L$6:$U$120,9,FALSE))</f>
        <v/>
      </c>
      <c r="C126" s="63" t="str">
        <f t="shared" si="0"/>
        <v/>
      </c>
      <c r="D126" s="64" t="str">
        <f t="shared" si="1"/>
        <v/>
      </c>
      <c r="E126" s="68"/>
      <c r="F126" s="66" t="str">
        <f t="shared" si="2"/>
        <v/>
      </c>
      <c r="G126" s="67"/>
      <c r="H126" s="67"/>
      <c r="I126" s="67"/>
      <c r="J126" s="68"/>
      <c r="L126" s="51" t="str">
        <f t="shared" si="3"/>
        <v/>
      </c>
      <c r="M126" s="51" t="str">
        <f t="shared" si="7"/>
        <v/>
      </c>
    </row>
    <row r="127" spans="1:13" ht="15.75" customHeight="1">
      <c r="A127" s="79" t="str">
        <f>IF(E127="","",VLOOKUP('OPĆI DIO'!$C$3,'OPĆI DIO'!$L$6:$U$120,10,FALSE))</f>
        <v/>
      </c>
      <c r="B127" s="79" t="str">
        <f>IF(E127="","",VLOOKUP('OPĆI DIO'!$C$3,'OPĆI DIO'!$L$6:$U$120,9,FALSE))</f>
        <v/>
      </c>
      <c r="C127" s="63" t="str">
        <f t="shared" si="0"/>
        <v/>
      </c>
      <c r="D127" s="64" t="str">
        <f t="shared" si="1"/>
        <v/>
      </c>
      <c r="E127" s="68"/>
      <c r="F127" s="66" t="str">
        <f t="shared" si="2"/>
        <v/>
      </c>
      <c r="G127" s="67"/>
      <c r="H127" s="67"/>
      <c r="I127" s="67"/>
      <c r="J127" s="68"/>
      <c r="L127" s="51" t="str">
        <f t="shared" si="3"/>
        <v/>
      </c>
      <c r="M127" s="51" t="str">
        <f t="shared" si="7"/>
        <v/>
      </c>
    </row>
    <row r="128" spans="1:13" ht="15.75" customHeight="1">
      <c r="A128" s="79" t="str">
        <f>IF(E128="","",VLOOKUP('OPĆI DIO'!$C$3,'OPĆI DIO'!$L$6:$U$120,10,FALSE))</f>
        <v/>
      </c>
      <c r="B128" s="79" t="str">
        <f>IF(E128="","",VLOOKUP('OPĆI DIO'!$C$3,'OPĆI DIO'!$L$6:$U$120,9,FALSE))</f>
        <v/>
      </c>
      <c r="C128" s="63" t="str">
        <f t="shared" si="0"/>
        <v/>
      </c>
      <c r="D128" s="64" t="str">
        <f t="shared" si="1"/>
        <v/>
      </c>
      <c r="E128" s="68"/>
      <c r="F128" s="66" t="str">
        <f t="shared" si="2"/>
        <v/>
      </c>
      <c r="G128" s="67"/>
      <c r="H128" s="67"/>
      <c r="I128" s="67"/>
      <c r="J128" s="68"/>
      <c r="L128" s="51" t="str">
        <f t="shared" si="3"/>
        <v/>
      </c>
      <c r="M128" s="51" t="str">
        <f t="shared" si="7"/>
        <v/>
      </c>
    </row>
    <row r="129" spans="1:13" ht="15.75" customHeight="1">
      <c r="A129" s="79" t="str">
        <f>IF(E129="","",VLOOKUP('OPĆI DIO'!$C$3,'OPĆI DIO'!$L$6:$U$120,10,FALSE))</f>
        <v/>
      </c>
      <c r="B129" s="79" t="str">
        <f>IF(E129="","",VLOOKUP('OPĆI DIO'!$C$3,'OPĆI DIO'!$L$6:$U$120,9,FALSE))</f>
        <v/>
      </c>
      <c r="C129" s="63" t="str">
        <f t="shared" si="0"/>
        <v/>
      </c>
      <c r="D129" s="64" t="str">
        <f t="shared" si="1"/>
        <v/>
      </c>
      <c r="E129" s="68"/>
      <c r="F129" s="66" t="str">
        <f t="shared" si="2"/>
        <v/>
      </c>
      <c r="G129" s="67"/>
      <c r="H129" s="67"/>
      <c r="I129" s="67"/>
      <c r="J129" s="68"/>
      <c r="L129" s="51" t="str">
        <f t="shared" si="3"/>
        <v/>
      </c>
      <c r="M129" s="51" t="str">
        <f t="shared" si="7"/>
        <v/>
      </c>
    </row>
    <row r="130" spans="1:13" ht="15.75" customHeight="1">
      <c r="A130" s="79" t="str">
        <f>IF(E130="","",VLOOKUP('OPĆI DIO'!$C$3,'OPĆI DIO'!$L$6:$U$120,10,FALSE))</f>
        <v/>
      </c>
      <c r="B130" s="79" t="str">
        <f>IF(E130="","",VLOOKUP('OPĆI DIO'!$C$3,'OPĆI DIO'!$L$6:$U$120,9,FALSE))</f>
        <v/>
      </c>
      <c r="C130" s="63" t="str">
        <f t="shared" si="0"/>
        <v/>
      </c>
      <c r="D130" s="64" t="str">
        <f t="shared" si="1"/>
        <v/>
      </c>
      <c r="E130" s="68"/>
      <c r="F130" s="66" t="str">
        <f t="shared" si="2"/>
        <v/>
      </c>
      <c r="G130" s="67"/>
      <c r="H130" s="67"/>
      <c r="I130" s="67"/>
      <c r="J130" s="68"/>
      <c r="L130" s="51" t="str">
        <f t="shared" si="3"/>
        <v/>
      </c>
      <c r="M130" s="51" t="str">
        <f t="shared" si="7"/>
        <v/>
      </c>
    </row>
    <row r="131" spans="1:13" ht="15.75" customHeight="1">
      <c r="A131" s="79" t="str">
        <f>IF(E131="","",VLOOKUP('OPĆI DIO'!$C$3,'OPĆI DIO'!$L$6:$U$120,10,FALSE))</f>
        <v/>
      </c>
      <c r="B131" s="79" t="str">
        <f>IF(E131="","",VLOOKUP('OPĆI DIO'!$C$3,'OPĆI DIO'!$L$6:$U$120,9,FALSE))</f>
        <v/>
      </c>
      <c r="C131" s="63" t="str">
        <f t="shared" si="0"/>
        <v/>
      </c>
      <c r="D131" s="64" t="str">
        <f t="shared" si="1"/>
        <v/>
      </c>
      <c r="E131" s="68"/>
      <c r="F131" s="66" t="str">
        <f t="shared" si="2"/>
        <v/>
      </c>
      <c r="G131" s="67"/>
      <c r="H131" s="67"/>
      <c r="I131" s="67"/>
      <c r="J131" s="68"/>
      <c r="L131" s="51" t="str">
        <f t="shared" si="3"/>
        <v/>
      </c>
      <c r="M131" s="51" t="str">
        <f t="shared" si="7"/>
        <v/>
      </c>
    </row>
    <row r="132" spans="1:13" ht="15.75" customHeight="1">
      <c r="A132" s="79" t="str">
        <f>IF(E132="","",VLOOKUP('OPĆI DIO'!$C$3,'OPĆI DIO'!$L$6:$U$120,10,FALSE))</f>
        <v/>
      </c>
      <c r="B132" s="79" t="str">
        <f>IF(E132="","",VLOOKUP('OPĆI DIO'!$C$3,'OPĆI DIO'!$L$6:$U$120,9,FALSE))</f>
        <v/>
      </c>
      <c r="C132" s="63" t="str">
        <f t="shared" si="0"/>
        <v/>
      </c>
      <c r="D132" s="64" t="str">
        <f t="shared" si="1"/>
        <v/>
      </c>
      <c r="E132" s="68"/>
      <c r="F132" s="66" t="str">
        <f t="shared" si="2"/>
        <v/>
      </c>
      <c r="G132" s="67"/>
      <c r="H132" s="67"/>
      <c r="I132" s="67"/>
      <c r="J132" s="68"/>
      <c r="L132" s="51" t="str">
        <f t="shared" si="3"/>
        <v/>
      </c>
      <c r="M132" s="51" t="str">
        <f t="shared" si="7"/>
        <v/>
      </c>
    </row>
    <row r="133" spans="1:13" ht="15.75" customHeight="1">
      <c r="A133" s="79" t="str">
        <f>IF(E133="","",VLOOKUP('OPĆI DIO'!$C$3,'OPĆI DIO'!$L$6:$U$120,10,FALSE))</f>
        <v/>
      </c>
      <c r="B133" s="79" t="str">
        <f>IF(E133="","",VLOOKUP('OPĆI DIO'!$C$3,'OPĆI DIO'!$L$6:$U$120,9,FALSE))</f>
        <v/>
      </c>
      <c r="C133" s="63" t="str">
        <f t="shared" si="0"/>
        <v/>
      </c>
      <c r="D133" s="64" t="str">
        <f t="shared" si="1"/>
        <v/>
      </c>
      <c r="E133" s="68"/>
      <c r="F133" s="66" t="str">
        <f t="shared" si="2"/>
        <v/>
      </c>
      <c r="G133" s="67"/>
      <c r="H133" s="67"/>
      <c r="I133" s="67"/>
      <c r="J133" s="68"/>
      <c r="L133" s="51" t="str">
        <f t="shared" si="3"/>
        <v/>
      </c>
      <c r="M133" s="51" t="str">
        <f t="shared" si="7"/>
        <v/>
      </c>
    </row>
    <row r="134" spans="1:13" ht="15.75" customHeight="1">
      <c r="A134" s="79" t="str">
        <f>IF(E134="","",VLOOKUP('OPĆI DIO'!$C$3,'OPĆI DIO'!$L$6:$U$120,10,FALSE))</f>
        <v/>
      </c>
      <c r="B134" s="79" t="str">
        <f>IF(E134="","",VLOOKUP('OPĆI DIO'!$C$3,'OPĆI DIO'!$L$6:$U$120,9,FALSE))</f>
        <v/>
      </c>
      <c r="C134" s="63" t="str">
        <f t="shared" si="0"/>
        <v/>
      </c>
      <c r="D134" s="64" t="str">
        <f t="shared" si="1"/>
        <v/>
      </c>
      <c r="E134" s="68"/>
      <c r="F134" s="66" t="str">
        <f t="shared" si="2"/>
        <v/>
      </c>
      <c r="G134" s="67"/>
      <c r="H134" s="67"/>
      <c r="I134" s="67"/>
      <c r="J134" s="68"/>
      <c r="L134" s="51" t="str">
        <f t="shared" si="3"/>
        <v/>
      </c>
      <c r="M134" s="51" t="str">
        <f t="shared" si="7"/>
        <v/>
      </c>
    </row>
    <row r="135" spans="1:13" ht="15.75" customHeight="1">
      <c r="A135" s="79" t="str">
        <f>IF(E135="","",VLOOKUP('OPĆI DIO'!$C$3,'OPĆI DIO'!$L$6:$U$120,10,FALSE))</f>
        <v/>
      </c>
      <c r="B135" s="79" t="str">
        <f>IF(E135="","",VLOOKUP('OPĆI DIO'!$C$3,'OPĆI DIO'!$L$6:$U$120,9,FALSE))</f>
        <v/>
      </c>
      <c r="C135" s="63" t="str">
        <f t="shared" si="0"/>
        <v/>
      </c>
      <c r="D135" s="64" t="str">
        <f t="shared" si="1"/>
        <v/>
      </c>
      <c r="E135" s="68"/>
      <c r="F135" s="66" t="str">
        <f t="shared" si="2"/>
        <v/>
      </c>
      <c r="G135" s="67"/>
      <c r="H135" s="67"/>
      <c r="I135" s="67"/>
      <c r="J135" s="68"/>
      <c r="L135" s="51" t="str">
        <f t="shared" si="3"/>
        <v/>
      </c>
      <c r="M135" s="51" t="str">
        <f t="shared" si="7"/>
        <v/>
      </c>
    </row>
    <row r="136" spans="1:13" ht="15.75" customHeight="1">
      <c r="A136" s="79" t="str">
        <f>IF(E136="","",VLOOKUP('OPĆI DIO'!$C$3,'OPĆI DIO'!$L$6:$U$120,10,FALSE))</f>
        <v/>
      </c>
      <c r="B136" s="79" t="str">
        <f>IF(E136="","",VLOOKUP('OPĆI DIO'!$C$3,'OPĆI DIO'!$L$6:$U$120,9,FALSE))</f>
        <v/>
      </c>
      <c r="C136" s="63" t="str">
        <f t="shared" si="0"/>
        <v/>
      </c>
      <c r="D136" s="64" t="str">
        <f t="shared" si="1"/>
        <v/>
      </c>
      <c r="E136" s="68"/>
      <c r="F136" s="66" t="str">
        <f t="shared" si="2"/>
        <v/>
      </c>
      <c r="G136" s="67"/>
      <c r="H136" s="67"/>
      <c r="I136" s="67"/>
      <c r="J136" s="68"/>
      <c r="L136" s="51" t="str">
        <f t="shared" si="3"/>
        <v/>
      </c>
      <c r="M136" s="51" t="str">
        <f t="shared" si="7"/>
        <v/>
      </c>
    </row>
    <row r="137" spans="1:13" ht="15.75" customHeight="1">
      <c r="A137" s="79" t="str">
        <f>IF(E137="","",VLOOKUP('OPĆI DIO'!$C$3,'OPĆI DIO'!$L$6:$U$120,10,FALSE))</f>
        <v/>
      </c>
      <c r="B137" s="79" t="str">
        <f>IF(E137="","",VLOOKUP('OPĆI DIO'!$C$3,'OPĆI DIO'!$L$6:$U$120,9,FALSE))</f>
        <v/>
      </c>
      <c r="C137" s="63" t="str">
        <f t="shared" si="0"/>
        <v/>
      </c>
      <c r="D137" s="64" t="str">
        <f t="shared" si="1"/>
        <v/>
      </c>
      <c r="E137" s="68"/>
      <c r="F137" s="66" t="str">
        <f t="shared" si="2"/>
        <v/>
      </c>
      <c r="G137" s="67"/>
      <c r="H137" s="67"/>
      <c r="I137" s="67"/>
      <c r="J137" s="68"/>
      <c r="L137" s="51" t="str">
        <f t="shared" si="3"/>
        <v/>
      </c>
      <c r="M137" s="51" t="str">
        <f t="shared" si="7"/>
        <v/>
      </c>
    </row>
    <row r="138" spans="1:13" ht="15.75" customHeight="1">
      <c r="A138" s="79" t="str">
        <f>IF(E138="","",VLOOKUP('OPĆI DIO'!$C$3,'OPĆI DIO'!$L$6:$U$120,10,FALSE))</f>
        <v/>
      </c>
      <c r="B138" s="79" t="str">
        <f>IF(E138="","",VLOOKUP('OPĆI DIO'!$C$3,'OPĆI DIO'!$L$6:$U$120,9,FALSE))</f>
        <v/>
      </c>
      <c r="C138" s="63" t="str">
        <f t="shared" si="0"/>
        <v/>
      </c>
      <c r="D138" s="64" t="str">
        <f t="shared" si="1"/>
        <v/>
      </c>
      <c r="E138" s="68"/>
      <c r="F138" s="66" t="str">
        <f t="shared" si="2"/>
        <v/>
      </c>
      <c r="G138" s="67"/>
      <c r="H138" s="67"/>
      <c r="I138" s="67"/>
      <c r="J138" s="68"/>
      <c r="L138" s="51" t="str">
        <f t="shared" si="3"/>
        <v/>
      </c>
      <c r="M138" s="51" t="str">
        <f t="shared" si="7"/>
        <v/>
      </c>
    </row>
    <row r="139" spans="1:13" ht="15.75" customHeight="1">
      <c r="A139" s="79" t="str">
        <f>IF(E139="","",VLOOKUP('OPĆI DIO'!$C$3,'OPĆI DIO'!$L$6:$U$120,10,FALSE))</f>
        <v/>
      </c>
      <c r="B139" s="79" t="str">
        <f>IF(E139="","",VLOOKUP('OPĆI DIO'!$C$3,'OPĆI DIO'!$L$6:$U$120,9,FALSE))</f>
        <v/>
      </c>
      <c r="C139" s="63" t="str">
        <f t="shared" si="0"/>
        <v/>
      </c>
      <c r="D139" s="64" t="str">
        <f t="shared" si="1"/>
        <v/>
      </c>
      <c r="E139" s="68"/>
      <c r="F139" s="66" t="str">
        <f t="shared" si="2"/>
        <v/>
      </c>
      <c r="G139" s="67"/>
      <c r="H139" s="67"/>
      <c r="I139" s="67"/>
      <c r="J139" s="68"/>
      <c r="L139" s="51" t="str">
        <f t="shared" si="3"/>
        <v/>
      </c>
      <c r="M139" s="51" t="str">
        <f t="shared" si="7"/>
        <v/>
      </c>
    </row>
    <row r="140" spans="1:13" ht="15.75" customHeight="1">
      <c r="A140" s="79" t="str">
        <f>IF(E140="","",VLOOKUP('OPĆI DIO'!$C$3,'OPĆI DIO'!$L$6:$U$120,10,FALSE))</f>
        <v/>
      </c>
      <c r="B140" s="79" t="str">
        <f>IF(E140="","",VLOOKUP('OPĆI DIO'!$C$3,'OPĆI DIO'!$L$6:$U$120,9,FALSE))</f>
        <v/>
      </c>
      <c r="C140" s="63" t="str">
        <f t="shared" si="0"/>
        <v/>
      </c>
      <c r="D140" s="64" t="str">
        <f t="shared" si="1"/>
        <v/>
      </c>
      <c r="E140" s="68"/>
      <c r="F140" s="66" t="str">
        <f t="shared" si="2"/>
        <v/>
      </c>
      <c r="G140" s="67"/>
      <c r="H140" s="67"/>
      <c r="I140" s="67"/>
      <c r="J140" s="68"/>
      <c r="L140" s="51" t="str">
        <f t="shared" si="3"/>
        <v/>
      </c>
      <c r="M140" s="51" t="str">
        <f t="shared" si="7"/>
        <v/>
      </c>
    </row>
    <row r="141" spans="1:13" ht="15.75" customHeight="1">
      <c r="A141" s="79" t="str">
        <f>IF(E141="","",VLOOKUP('OPĆI DIO'!$C$3,'OPĆI DIO'!$L$6:$U$120,10,FALSE))</f>
        <v/>
      </c>
      <c r="B141" s="79" t="str">
        <f>IF(E141="","",VLOOKUP('OPĆI DIO'!$C$3,'OPĆI DIO'!$L$6:$U$120,9,FALSE))</f>
        <v/>
      </c>
      <c r="C141" s="63" t="str">
        <f t="shared" si="0"/>
        <v/>
      </c>
      <c r="D141" s="64" t="str">
        <f t="shared" si="1"/>
        <v/>
      </c>
      <c r="E141" s="68"/>
      <c r="F141" s="66" t="str">
        <f t="shared" si="2"/>
        <v/>
      </c>
      <c r="G141" s="67"/>
      <c r="H141" s="67"/>
      <c r="I141" s="67"/>
      <c r="J141" s="68"/>
      <c r="L141" s="51" t="str">
        <f t="shared" si="3"/>
        <v/>
      </c>
      <c r="M141" s="51" t="str">
        <f t="shared" si="7"/>
        <v/>
      </c>
    </row>
    <row r="142" spans="1:13" ht="15.75" customHeight="1">
      <c r="A142" s="79" t="str">
        <f>IF(E142="","",VLOOKUP('OPĆI DIO'!$C$3,'OPĆI DIO'!$L$6:$U$120,10,FALSE))</f>
        <v/>
      </c>
      <c r="B142" s="79" t="str">
        <f>IF(E142="","",VLOOKUP('OPĆI DIO'!$C$3,'OPĆI DIO'!$L$6:$U$120,9,FALSE))</f>
        <v/>
      </c>
      <c r="C142" s="63" t="str">
        <f t="shared" si="0"/>
        <v/>
      </c>
      <c r="D142" s="64" t="str">
        <f t="shared" si="1"/>
        <v/>
      </c>
      <c r="E142" s="68"/>
      <c r="F142" s="66" t="str">
        <f t="shared" si="2"/>
        <v/>
      </c>
      <c r="G142" s="67"/>
      <c r="H142" s="67"/>
      <c r="I142" s="67"/>
      <c r="J142" s="68"/>
      <c r="L142" s="51" t="str">
        <f t="shared" si="3"/>
        <v/>
      </c>
      <c r="M142" s="51" t="str">
        <f t="shared" si="7"/>
        <v/>
      </c>
    </row>
    <row r="143" spans="1:13" ht="15.75" customHeight="1">
      <c r="A143" s="79" t="str">
        <f>IF(E143="","",VLOOKUP('OPĆI DIO'!$C$3,'OPĆI DIO'!$L$6:$U$120,10,FALSE))</f>
        <v/>
      </c>
      <c r="B143" s="79" t="str">
        <f>IF(E143="","",VLOOKUP('OPĆI DIO'!$C$3,'OPĆI DIO'!$L$6:$U$120,9,FALSE))</f>
        <v/>
      </c>
      <c r="C143" s="63" t="str">
        <f t="shared" si="0"/>
        <v/>
      </c>
      <c r="D143" s="64" t="str">
        <f t="shared" si="1"/>
        <v/>
      </c>
      <c r="E143" s="68"/>
      <c r="F143" s="66" t="str">
        <f t="shared" si="2"/>
        <v/>
      </c>
      <c r="G143" s="67"/>
      <c r="H143" s="67"/>
      <c r="I143" s="67"/>
      <c r="J143" s="68"/>
      <c r="L143" s="51" t="str">
        <f t="shared" si="3"/>
        <v/>
      </c>
      <c r="M143" s="51" t="str">
        <f t="shared" si="7"/>
        <v/>
      </c>
    </row>
    <row r="144" spans="1:13" ht="15.75" customHeight="1">
      <c r="A144" s="79" t="str">
        <f>IF(E144="","",VLOOKUP('OPĆI DIO'!$C$3,'OPĆI DIO'!$L$6:$U$120,10,FALSE))</f>
        <v/>
      </c>
      <c r="B144" s="79" t="str">
        <f>IF(E144="","",VLOOKUP('OPĆI DIO'!$C$3,'OPĆI DIO'!$L$6:$U$120,9,FALSE))</f>
        <v/>
      </c>
      <c r="C144" s="63" t="str">
        <f t="shared" si="0"/>
        <v/>
      </c>
      <c r="D144" s="64" t="str">
        <f t="shared" si="1"/>
        <v/>
      </c>
      <c r="E144" s="68"/>
      <c r="F144" s="66" t="str">
        <f t="shared" si="2"/>
        <v/>
      </c>
      <c r="G144" s="67"/>
      <c r="H144" s="67"/>
      <c r="I144" s="67"/>
      <c r="J144" s="68"/>
      <c r="L144" s="51" t="str">
        <f t="shared" si="3"/>
        <v/>
      </c>
      <c r="M144" s="51" t="str">
        <f t="shared" si="7"/>
        <v/>
      </c>
    </row>
    <row r="145" spans="1:13" ht="15.75" customHeight="1">
      <c r="A145" s="79" t="str">
        <f>IF(E145="","",VLOOKUP('OPĆI DIO'!$C$3,'OPĆI DIO'!$L$6:$U$120,10,FALSE))</f>
        <v/>
      </c>
      <c r="B145" s="79" t="str">
        <f>IF(E145="","",VLOOKUP('OPĆI DIO'!$C$3,'OPĆI DIO'!$L$6:$U$120,9,FALSE))</f>
        <v/>
      </c>
      <c r="C145" s="63" t="str">
        <f t="shared" si="0"/>
        <v/>
      </c>
      <c r="D145" s="64" t="str">
        <f t="shared" si="1"/>
        <v/>
      </c>
      <c r="E145" s="68"/>
      <c r="F145" s="66" t="str">
        <f t="shared" si="2"/>
        <v/>
      </c>
      <c r="G145" s="67"/>
      <c r="H145" s="67"/>
      <c r="I145" s="67"/>
      <c r="J145" s="68"/>
      <c r="L145" s="51" t="str">
        <f t="shared" si="3"/>
        <v/>
      </c>
      <c r="M145" s="51" t="str">
        <f t="shared" si="7"/>
        <v/>
      </c>
    </row>
    <row r="146" spans="1:13" ht="15.75" customHeight="1">
      <c r="A146" s="79" t="str">
        <f>IF(E146="","",VLOOKUP('OPĆI DIO'!$C$3,'OPĆI DIO'!$L$6:$U$120,10,FALSE))</f>
        <v/>
      </c>
      <c r="B146" s="79" t="str">
        <f>IF(E146="","",VLOOKUP('OPĆI DIO'!$C$3,'OPĆI DIO'!$L$6:$U$120,9,FALSE))</f>
        <v/>
      </c>
      <c r="C146" s="63" t="str">
        <f t="shared" si="0"/>
        <v/>
      </c>
      <c r="D146" s="64" t="str">
        <f t="shared" si="1"/>
        <v/>
      </c>
      <c r="E146" s="68"/>
      <c r="F146" s="66" t="str">
        <f t="shared" si="2"/>
        <v/>
      </c>
      <c r="G146" s="67"/>
      <c r="H146" s="67"/>
      <c r="I146" s="67"/>
      <c r="J146" s="68"/>
      <c r="L146" s="51" t="str">
        <f t="shared" si="3"/>
        <v/>
      </c>
      <c r="M146" s="51" t="str">
        <f t="shared" si="7"/>
        <v/>
      </c>
    </row>
    <row r="147" spans="1:13" ht="15.75" customHeight="1">
      <c r="A147" s="79" t="str">
        <f>IF(E147="","",VLOOKUP('OPĆI DIO'!$C$3,'OPĆI DIO'!$L$6:$U$120,10,FALSE))</f>
        <v/>
      </c>
      <c r="B147" s="79" t="str">
        <f>IF(E147="","",VLOOKUP('OPĆI DIO'!$C$3,'OPĆI DIO'!$L$6:$U$120,9,FALSE))</f>
        <v/>
      </c>
      <c r="C147" s="63" t="str">
        <f t="shared" si="0"/>
        <v/>
      </c>
      <c r="D147" s="64" t="str">
        <f t="shared" si="1"/>
        <v/>
      </c>
      <c r="E147" s="68"/>
      <c r="F147" s="66" t="str">
        <f t="shared" si="2"/>
        <v/>
      </c>
      <c r="G147" s="67"/>
      <c r="H147" s="67"/>
      <c r="I147" s="67"/>
      <c r="J147" s="68"/>
      <c r="L147" s="51" t="str">
        <f t="shared" si="3"/>
        <v/>
      </c>
      <c r="M147" s="51" t="str">
        <f t="shared" si="7"/>
        <v/>
      </c>
    </row>
    <row r="148" spans="1:13" ht="15.75" customHeight="1">
      <c r="A148" s="79" t="str">
        <f>IF(E148="","",VLOOKUP('OPĆI DIO'!$C$3,'OPĆI DIO'!$L$6:$U$120,10,FALSE))</f>
        <v/>
      </c>
      <c r="B148" s="79" t="str">
        <f>IF(E148="","",VLOOKUP('OPĆI DIO'!$C$3,'OPĆI DIO'!$L$6:$U$120,9,FALSE))</f>
        <v/>
      </c>
      <c r="C148" s="63" t="str">
        <f t="shared" si="0"/>
        <v/>
      </c>
      <c r="D148" s="64" t="str">
        <f t="shared" si="1"/>
        <v/>
      </c>
      <c r="E148" s="68"/>
      <c r="F148" s="66" t="str">
        <f t="shared" si="2"/>
        <v/>
      </c>
      <c r="G148" s="67"/>
      <c r="H148" s="67"/>
      <c r="I148" s="67"/>
      <c r="J148" s="68"/>
      <c r="L148" s="51" t="str">
        <f t="shared" si="3"/>
        <v/>
      </c>
      <c r="M148" s="51" t="str">
        <f t="shared" si="7"/>
        <v/>
      </c>
    </row>
    <row r="149" spans="1:13" ht="15.75" customHeight="1">
      <c r="A149" s="79" t="str">
        <f>IF(E149="","",VLOOKUP('OPĆI DIO'!$C$3,'OPĆI DIO'!$L$6:$U$120,10,FALSE))</f>
        <v/>
      </c>
      <c r="B149" s="79" t="str">
        <f>IF(E149="","",VLOOKUP('OPĆI DIO'!$C$3,'OPĆI DIO'!$L$6:$U$120,9,FALSE))</f>
        <v/>
      </c>
      <c r="C149" s="63" t="str">
        <f t="shared" si="0"/>
        <v/>
      </c>
      <c r="D149" s="64" t="str">
        <f t="shared" si="1"/>
        <v/>
      </c>
      <c r="E149" s="68"/>
      <c r="F149" s="66" t="str">
        <f t="shared" si="2"/>
        <v/>
      </c>
      <c r="G149" s="67"/>
      <c r="H149" s="67"/>
      <c r="I149" s="67"/>
      <c r="J149" s="68"/>
      <c r="L149" s="51" t="str">
        <f t="shared" si="3"/>
        <v/>
      </c>
      <c r="M149" s="51" t="str">
        <f t="shared" si="7"/>
        <v/>
      </c>
    </row>
    <row r="150" spans="1:13" ht="15.75" customHeight="1">
      <c r="A150" s="79" t="str">
        <f>IF(E150="","",VLOOKUP('OPĆI DIO'!$C$3,'OPĆI DIO'!$L$6:$U$120,10,FALSE))</f>
        <v/>
      </c>
      <c r="B150" s="79" t="str">
        <f>IF(E150="","",VLOOKUP('OPĆI DIO'!$C$3,'OPĆI DIO'!$L$6:$U$120,9,FALSE))</f>
        <v/>
      </c>
      <c r="C150" s="63" t="str">
        <f t="shared" si="0"/>
        <v/>
      </c>
      <c r="D150" s="64" t="str">
        <f t="shared" si="1"/>
        <v/>
      </c>
      <c r="E150" s="68"/>
      <c r="F150" s="66" t="str">
        <f t="shared" si="2"/>
        <v/>
      </c>
      <c r="G150" s="67"/>
      <c r="H150" s="67"/>
      <c r="I150" s="67"/>
      <c r="J150" s="68"/>
      <c r="L150" s="51" t="str">
        <f t="shared" si="3"/>
        <v/>
      </c>
      <c r="M150" s="51" t="str">
        <f t="shared" si="7"/>
        <v/>
      </c>
    </row>
    <row r="151" spans="1:13" ht="15.75" customHeight="1">
      <c r="A151" s="79" t="str">
        <f>IF(E151="","",VLOOKUP('OPĆI DIO'!$C$3,'OPĆI DIO'!$L$6:$U$120,10,FALSE))</f>
        <v/>
      </c>
      <c r="B151" s="79" t="str">
        <f>IF(E151="","",VLOOKUP('OPĆI DIO'!$C$3,'OPĆI DIO'!$L$6:$U$120,9,FALSE))</f>
        <v/>
      </c>
      <c r="C151" s="63" t="str">
        <f t="shared" si="0"/>
        <v/>
      </c>
      <c r="D151" s="64" t="str">
        <f t="shared" si="1"/>
        <v/>
      </c>
      <c r="E151" s="68"/>
      <c r="F151" s="66" t="str">
        <f t="shared" si="2"/>
        <v/>
      </c>
      <c r="G151" s="67"/>
      <c r="H151" s="67"/>
      <c r="I151" s="67"/>
      <c r="J151" s="68"/>
      <c r="L151" s="51" t="str">
        <f t="shared" si="3"/>
        <v/>
      </c>
      <c r="M151" s="51" t="str">
        <f t="shared" si="7"/>
        <v/>
      </c>
    </row>
    <row r="152" spans="1:13" ht="15.75" customHeight="1">
      <c r="A152" s="79" t="str">
        <f>IF(E152="","",VLOOKUP('OPĆI DIO'!$C$3,'OPĆI DIO'!$L$6:$U$120,10,FALSE))</f>
        <v/>
      </c>
      <c r="B152" s="79" t="str">
        <f>IF(E152="","",VLOOKUP('OPĆI DIO'!$C$3,'OPĆI DIO'!$L$6:$U$120,9,FALSE))</f>
        <v/>
      </c>
      <c r="C152" s="63" t="str">
        <f t="shared" si="0"/>
        <v/>
      </c>
      <c r="D152" s="64" t="str">
        <f t="shared" si="1"/>
        <v/>
      </c>
      <c r="E152" s="68"/>
      <c r="F152" s="66" t="str">
        <f t="shared" si="2"/>
        <v/>
      </c>
      <c r="G152" s="67"/>
      <c r="H152" s="67"/>
      <c r="I152" s="67"/>
      <c r="J152" s="68"/>
      <c r="L152" s="51" t="str">
        <f t="shared" si="3"/>
        <v/>
      </c>
      <c r="M152" s="51" t="str">
        <f t="shared" si="7"/>
        <v/>
      </c>
    </row>
    <row r="153" spans="1:13" ht="15.75" customHeight="1">
      <c r="A153" s="79" t="str">
        <f>IF(E153="","",VLOOKUP('OPĆI DIO'!$C$3,'OPĆI DIO'!$L$6:$U$120,10,FALSE))</f>
        <v/>
      </c>
      <c r="B153" s="79" t="str">
        <f>IF(E153="","",VLOOKUP('OPĆI DIO'!$C$3,'OPĆI DIO'!$L$6:$U$120,9,FALSE))</f>
        <v/>
      </c>
      <c r="C153" s="63" t="str">
        <f t="shared" si="0"/>
        <v/>
      </c>
      <c r="D153" s="64" t="str">
        <f t="shared" si="1"/>
        <v/>
      </c>
      <c r="E153" s="68"/>
      <c r="F153" s="66" t="str">
        <f t="shared" si="2"/>
        <v/>
      </c>
      <c r="G153" s="67"/>
      <c r="H153" s="67"/>
      <c r="I153" s="67"/>
      <c r="J153" s="68"/>
      <c r="L153" s="51" t="str">
        <f t="shared" si="3"/>
        <v/>
      </c>
      <c r="M153" s="51" t="str">
        <f t="shared" si="7"/>
        <v/>
      </c>
    </row>
    <row r="154" spans="1:13" ht="15.75" customHeight="1">
      <c r="A154" s="79" t="str">
        <f>IF(E154="","",VLOOKUP('OPĆI DIO'!$C$3,'OPĆI DIO'!$L$6:$U$120,10,FALSE))</f>
        <v/>
      </c>
      <c r="B154" s="79" t="str">
        <f>IF(E154="","",VLOOKUP('OPĆI DIO'!$C$3,'OPĆI DIO'!$L$6:$U$120,9,FALSE))</f>
        <v/>
      </c>
      <c r="C154" s="63" t="str">
        <f t="shared" si="0"/>
        <v/>
      </c>
      <c r="D154" s="64" t="str">
        <f t="shared" si="1"/>
        <v/>
      </c>
      <c r="E154" s="68"/>
      <c r="F154" s="66" t="str">
        <f t="shared" si="2"/>
        <v/>
      </c>
      <c r="G154" s="67"/>
      <c r="H154" s="67"/>
      <c r="I154" s="67"/>
      <c r="J154" s="68"/>
      <c r="L154" s="51" t="str">
        <f t="shared" si="3"/>
        <v/>
      </c>
      <c r="M154" s="51" t="str">
        <f t="shared" si="7"/>
        <v/>
      </c>
    </row>
    <row r="155" spans="1:13" ht="15.75" customHeight="1">
      <c r="A155" s="79" t="str">
        <f>IF(E155="","",VLOOKUP('OPĆI DIO'!$C$3,'OPĆI DIO'!$L$6:$U$120,10,FALSE))</f>
        <v/>
      </c>
      <c r="B155" s="79" t="str">
        <f>IF(E155="","",VLOOKUP('OPĆI DIO'!$C$3,'OPĆI DIO'!$L$6:$U$120,9,FALSE))</f>
        <v/>
      </c>
      <c r="C155" s="63" t="str">
        <f t="shared" si="0"/>
        <v/>
      </c>
      <c r="D155" s="64" t="str">
        <f t="shared" si="1"/>
        <v/>
      </c>
      <c r="E155" s="68"/>
      <c r="F155" s="66" t="str">
        <f t="shared" si="2"/>
        <v/>
      </c>
      <c r="G155" s="67"/>
      <c r="H155" s="67"/>
      <c r="I155" s="67"/>
      <c r="J155" s="68"/>
      <c r="L155" s="51" t="str">
        <f t="shared" si="3"/>
        <v/>
      </c>
      <c r="M155" s="51" t="str">
        <f t="shared" si="7"/>
        <v/>
      </c>
    </row>
    <row r="156" spans="1:13" ht="15.75" customHeight="1">
      <c r="A156" s="79" t="str">
        <f>IF(E156="","",VLOOKUP('OPĆI DIO'!$C$3,'OPĆI DIO'!$L$6:$U$120,10,FALSE))</f>
        <v/>
      </c>
      <c r="B156" s="79" t="str">
        <f>IF(E156="","",VLOOKUP('OPĆI DIO'!$C$3,'OPĆI DIO'!$L$6:$U$120,9,FALSE))</f>
        <v/>
      </c>
      <c r="C156" s="63" t="str">
        <f t="shared" si="0"/>
        <v/>
      </c>
      <c r="D156" s="64" t="str">
        <f t="shared" si="1"/>
        <v/>
      </c>
      <c r="E156" s="68"/>
      <c r="F156" s="66" t="str">
        <f t="shared" si="2"/>
        <v/>
      </c>
      <c r="G156" s="67"/>
      <c r="H156" s="67"/>
      <c r="I156" s="67"/>
      <c r="J156" s="68"/>
      <c r="L156" s="51" t="str">
        <f t="shared" si="3"/>
        <v/>
      </c>
      <c r="M156" s="51" t="str">
        <f t="shared" si="7"/>
        <v/>
      </c>
    </row>
    <row r="157" spans="1:13" ht="15.75" customHeight="1">
      <c r="A157" s="79" t="str">
        <f>IF(E157="","",VLOOKUP('OPĆI DIO'!$C$3,'OPĆI DIO'!$L$6:$U$120,10,FALSE))</f>
        <v/>
      </c>
      <c r="B157" s="79" t="str">
        <f>IF(E157="","",VLOOKUP('OPĆI DIO'!$C$3,'OPĆI DIO'!$L$6:$U$120,9,FALSE))</f>
        <v/>
      </c>
      <c r="C157" s="63" t="str">
        <f t="shared" si="0"/>
        <v/>
      </c>
      <c r="D157" s="64" t="str">
        <f t="shared" si="1"/>
        <v/>
      </c>
      <c r="E157" s="68"/>
      <c r="F157" s="66" t="str">
        <f t="shared" si="2"/>
        <v/>
      </c>
      <c r="G157" s="67"/>
      <c r="H157" s="67"/>
      <c r="I157" s="67"/>
      <c r="J157" s="68"/>
      <c r="L157" s="51" t="str">
        <f t="shared" si="3"/>
        <v/>
      </c>
      <c r="M157" s="51" t="str">
        <f t="shared" si="7"/>
        <v/>
      </c>
    </row>
    <row r="158" spans="1:13" ht="15.75" customHeight="1">
      <c r="A158" s="79" t="str">
        <f>IF(E158="","",VLOOKUP('OPĆI DIO'!$C$3,'OPĆI DIO'!$L$6:$U$120,10,FALSE))</f>
        <v/>
      </c>
      <c r="B158" s="79" t="str">
        <f>IF(E158="","",VLOOKUP('OPĆI DIO'!$C$3,'OPĆI DIO'!$L$6:$U$120,9,FALSE))</f>
        <v/>
      </c>
      <c r="C158" s="63" t="str">
        <f t="shared" si="0"/>
        <v/>
      </c>
      <c r="D158" s="64" t="str">
        <f t="shared" si="1"/>
        <v/>
      </c>
      <c r="E158" s="68"/>
      <c r="F158" s="66" t="str">
        <f t="shared" si="2"/>
        <v/>
      </c>
      <c r="G158" s="67"/>
      <c r="H158" s="67"/>
      <c r="I158" s="67"/>
      <c r="J158" s="68"/>
      <c r="L158" s="51" t="str">
        <f t="shared" si="3"/>
        <v/>
      </c>
      <c r="M158" s="51" t="str">
        <f t="shared" si="7"/>
        <v/>
      </c>
    </row>
    <row r="159" spans="1:13" ht="15.75" customHeight="1">
      <c r="A159" s="79" t="str">
        <f>IF(E159="","",VLOOKUP('OPĆI DIO'!$C$3,'OPĆI DIO'!$L$6:$U$120,10,FALSE))</f>
        <v/>
      </c>
      <c r="B159" s="79" t="str">
        <f>IF(E159="","",VLOOKUP('OPĆI DIO'!$C$3,'OPĆI DIO'!$L$6:$U$120,9,FALSE))</f>
        <v/>
      </c>
      <c r="C159" s="63" t="str">
        <f t="shared" si="0"/>
        <v/>
      </c>
      <c r="D159" s="64" t="str">
        <f t="shared" si="1"/>
        <v/>
      </c>
      <c r="E159" s="68"/>
      <c r="F159" s="66" t="str">
        <f t="shared" si="2"/>
        <v/>
      </c>
      <c r="G159" s="67"/>
      <c r="H159" s="67"/>
      <c r="I159" s="67"/>
      <c r="J159" s="68"/>
      <c r="L159" s="51" t="str">
        <f t="shared" si="3"/>
        <v/>
      </c>
      <c r="M159" s="51" t="str">
        <f t="shared" si="7"/>
        <v/>
      </c>
    </row>
    <row r="160" spans="1:13" ht="15.75" customHeight="1">
      <c r="A160" s="79" t="str">
        <f>IF(E160="","",VLOOKUP('OPĆI DIO'!$C$3,'OPĆI DIO'!$L$6:$U$120,10,FALSE))</f>
        <v/>
      </c>
      <c r="B160" s="79" t="str">
        <f>IF(E160="","",VLOOKUP('OPĆI DIO'!$C$3,'OPĆI DIO'!$L$6:$U$120,9,FALSE))</f>
        <v/>
      </c>
      <c r="C160" s="63" t="str">
        <f t="shared" si="0"/>
        <v/>
      </c>
      <c r="D160" s="64" t="str">
        <f t="shared" si="1"/>
        <v/>
      </c>
      <c r="E160" s="68"/>
      <c r="F160" s="66" t="str">
        <f t="shared" si="2"/>
        <v/>
      </c>
      <c r="G160" s="67"/>
      <c r="H160" s="67"/>
      <c r="I160" s="67"/>
      <c r="J160" s="68"/>
      <c r="L160" s="51" t="str">
        <f t="shared" si="3"/>
        <v/>
      </c>
      <c r="M160" s="51" t="str">
        <f t="shared" si="7"/>
        <v/>
      </c>
    </row>
    <row r="161" spans="1:13" ht="15.75" customHeight="1">
      <c r="A161" s="79" t="str">
        <f>IF(E161="","",VLOOKUP('OPĆI DIO'!$C$3,'OPĆI DIO'!$L$6:$U$120,10,FALSE))</f>
        <v/>
      </c>
      <c r="B161" s="79" t="str">
        <f>IF(E161="","",VLOOKUP('OPĆI DIO'!$C$3,'OPĆI DIO'!$L$6:$U$120,9,FALSE))</f>
        <v/>
      </c>
      <c r="C161" s="63" t="str">
        <f t="shared" si="0"/>
        <v/>
      </c>
      <c r="D161" s="64" t="str">
        <f t="shared" si="1"/>
        <v/>
      </c>
      <c r="E161" s="68"/>
      <c r="F161" s="66" t="str">
        <f t="shared" si="2"/>
        <v/>
      </c>
      <c r="G161" s="67"/>
      <c r="H161" s="67"/>
      <c r="I161" s="67"/>
      <c r="J161" s="68"/>
      <c r="L161" s="51" t="str">
        <f t="shared" si="3"/>
        <v/>
      </c>
      <c r="M161" s="51" t="str">
        <f t="shared" si="7"/>
        <v/>
      </c>
    </row>
    <row r="162" spans="1:13" ht="15.75" customHeight="1">
      <c r="A162" s="79" t="str">
        <f>IF(E162="","",VLOOKUP('OPĆI DIO'!$C$3,'OPĆI DIO'!$L$6:$U$120,10,FALSE))</f>
        <v/>
      </c>
      <c r="B162" s="79" t="str">
        <f>IF(E162="","",VLOOKUP('OPĆI DIO'!$C$3,'OPĆI DIO'!$L$6:$U$120,9,FALSE))</f>
        <v/>
      </c>
      <c r="C162" s="63" t="str">
        <f t="shared" si="0"/>
        <v/>
      </c>
      <c r="D162" s="64" t="str">
        <f t="shared" si="1"/>
        <v/>
      </c>
      <c r="E162" s="68"/>
      <c r="F162" s="66" t="str">
        <f t="shared" si="2"/>
        <v/>
      </c>
      <c r="G162" s="67"/>
      <c r="H162" s="67"/>
      <c r="I162" s="67"/>
      <c r="J162" s="68"/>
      <c r="L162" s="51" t="str">
        <f t="shared" si="3"/>
        <v/>
      </c>
      <c r="M162" s="51" t="str">
        <f t="shared" si="7"/>
        <v/>
      </c>
    </row>
    <row r="163" spans="1:13" ht="15.75" customHeight="1">
      <c r="A163" s="79" t="str">
        <f>IF(E163="","",VLOOKUP('OPĆI DIO'!$C$3,'OPĆI DIO'!$L$6:$U$120,10,FALSE))</f>
        <v/>
      </c>
      <c r="B163" s="79" t="str">
        <f>IF(E163="","",VLOOKUP('OPĆI DIO'!$C$3,'OPĆI DIO'!$L$6:$U$120,9,FALSE))</f>
        <v/>
      </c>
      <c r="C163" s="63" t="str">
        <f t="shared" si="0"/>
        <v/>
      </c>
      <c r="D163" s="64" t="str">
        <f t="shared" si="1"/>
        <v/>
      </c>
      <c r="E163" s="68"/>
      <c r="F163" s="66" t="str">
        <f t="shared" si="2"/>
        <v/>
      </c>
      <c r="G163" s="67"/>
      <c r="H163" s="67"/>
      <c r="I163" s="67"/>
      <c r="J163" s="68"/>
      <c r="L163" s="51" t="str">
        <f t="shared" si="3"/>
        <v/>
      </c>
      <c r="M163" s="51" t="str">
        <f t="shared" si="7"/>
        <v/>
      </c>
    </row>
    <row r="164" spans="1:13" ht="15.75" customHeight="1">
      <c r="A164" s="79" t="str">
        <f>IF(E164="","",VLOOKUP('OPĆI DIO'!$C$3,'OPĆI DIO'!$L$6:$U$120,10,FALSE))</f>
        <v/>
      </c>
      <c r="B164" s="79" t="str">
        <f>IF(E164="","",VLOOKUP('OPĆI DIO'!$C$3,'OPĆI DIO'!$L$6:$U$120,9,FALSE))</f>
        <v/>
      </c>
      <c r="C164" s="63" t="str">
        <f t="shared" si="0"/>
        <v/>
      </c>
      <c r="D164" s="64" t="str">
        <f t="shared" si="1"/>
        <v/>
      </c>
      <c r="E164" s="68"/>
      <c r="F164" s="66" t="str">
        <f t="shared" si="2"/>
        <v/>
      </c>
      <c r="G164" s="67"/>
      <c r="H164" s="67"/>
      <c r="I164" s="67"/>
      <c r="J164" s="68"/>
      <c r="L164" s="51" t="str">
        <f t="shared" si="3"/>
        <v/>
      </c>
      <c r="M164" s="51" t="str">
        <f t="shared" si="7"/>
        <v/>
      </c>
    </row>
    <row r="165" spans="1:13" ht="15.75" customHeight="1">
      <c r="A165" s="79" t="str">
        <f>IF(E165="","",VLOOKUP('OPĆI DIO'!$C$3,'OPĆI DIO'!$L$6:$U$120,10,FALSE))</f>
        <v/>
      </c>
      <c r="B165" s="79" t="str">
        <f>IF(E165="","",VLOOKUP('OPĆI DIO'!$C$3,'OPĆI DIO'!$L$6:$U$120,9,FALSE))</f>
        <v/>
      </c>
      <c r="C165" s="63" t="str">
        <f t="shared" si="0"/>
        <v/>
      </c>
      <c r="D165" s="64" t="str">
        <f t="shared" si="1"/>
        <v/>
      </c>
      <c r="E165" s="68"/>
      <c r="F165" s="66" t="str">
        <f t="shared" si="2"/>
        <v/>
      </c>
      <c r="G165" s="67"/>
      <c r="H165" s="67"/>
      <c r="I165" s="67"/>
      <c r="J165" s="68"/>
      <c r="L165" s="51" t="str">
        <f t="shared" si="3"/>
        <v/>
      </c>
      <c r="M165" s="51" t="str">
        <f t="shared" si="7"/>
        <v/>
      </c>
    </row>
    <row r="166" spans="1:13" ht="15.75" customHeight="1">
      <c r="A166" s="79" t="str">
        <f>IF(E166="","",VLOOKUP('OPĆI DIO'!$C$3,'OPĆI DIO'!$L$6:$U$120,10,FALSE))</f>
        <v/>
      </c>
      <c r="B166" s="79" t="str">
        <f>IF(E166="","",VLOOKUP('OPĆI DIO'!$C$3,'OPĆI DIO'!$L$6:$U$120,9,FALSE))</f>
        <v/>
      </c>
      <c r="C166" s="63" t="str">
        <f t="shared" si="0"/>
        <v/>
      </c>
      <c r="D166" s="64" t="str">
        <f t="shared" si="1"/>
        <v/>
      </c>
      <c r="E166" s="68"/>
      <c r="F166" s="66" t="str">
        <f t="shared" si="2"/>
        <v/>
      </c>
      <c r="G166" s="67"/>
      <c r="H166" s="67"/>
      <c r="I166" s="67"/>
      <c r="J166" s="68"/>
      <c r="L166" s="51" t="str">
        <f t="shared" si="3"/>
        <v/>
      </c>
      <c r="M166" s="51" t="str">
        <f t="shared" si="7"/>
        <v/>
      </c>
    </row>
    <row r="167" spans="1:13" ht="15.75" customHeight="1">
      <c r="A167" s="79" t="str">
        <f>IF(E167="","",VLOOKUP('OPĆI DIO'!$C$3,'OPĆI DIO'!$L$6:$U$120,10,FALSE))</f>
        <v/>
      </c>
      <c r="B167" s="79" t="str">
        <f>IF(E167="","",VLOOKUP('OPĆI DIO'!$C$3,'OPĆI DIO'!$L$6:$U$120,9,FALSE))</f>
        <v/>
      </c>
      <c r="C167" s="63" t="str">
        <f t="shared" si="0"/>
        <v/>
      </c>
      <c r="D167" s="64" t="str">
        <f t="shared" si="1"/>
        <v/>
      </c>
      <c r="E167" s="68"/>
      <c r="F167" s="66" t="str">
        <f t="shared" si="2"/>
        <v/>
      </c>
      <c r="G167" s="67"/>
      <c r="H167" s="67"/>
      <c r="I167" s="67"/>
      <c r="J167" s="68"/>
      <c r="L167" s="51" t="str">
        <f t="shared" si="3"/>
        <v/>
      </c>
      <c r="M167" s="51" t="str">
        <f t="shared" si="7"/>
        <v/>
      </c>
    </row>
    <row r="168" spans="1:13" ht="15.75" customHeight="1">
      <c r="A168" s="79" t="str">
        <f>IF(E168="","",VLOOKUP('OPĆI DIO'!$C$3,'OPĆI DIO'!$L$6:$U$120,10,FALSE))</f>
        <v/>
      </c>
      <c r="B168" s="79" t="str">
        <f>IF(E168="","",VLOOKUP('OPĆI DIO'!$C$3,'OPĆI DIO'!$L$6:$U$120,9,FALSE))</f>
        <v/>
      </c>
      <c r="C168" s="63" t="str">
        <f t="shared" si="0"/>
        <v/>
      </c>
      <c r="D168" s="64" t="str">
        <f t="shared" si="1"/>
        <v/>
      </c>
      <c r="E168" s="68"/>
      <c r="F168" s="66" t="str">
        <f t="shared" si="2"/>
        <v/>
      </c>
      <c r="G168" s="67"/>
      <c r="H168" s="67"/>
      <c r="I168" s="67"/>
      <c r="J168" s="68"/>
      <c r="L168" s="51" t="str">
        <f t="shared" si="3"/>
        <v/>
      </c>
      <c r="M168" s="51" t="str">
        <f t="shared" si="7"/>
        <v/>
      </c>
    </row>
    <row r="169" spans="1:13" ht="15.75" customHeight="1">
      <c r="A169" s="79" t="str">
        <f>IF(E169="","",VLOOKUP('OPĆI DIO'!$C$3,'OPĆI DIO'!$L$6:$U$120,10,FALSE))</f>
        <v/>
      </c>
      <c r="B169" s="79" t="str">
        <f>IF(E169="","",VLOOKUP('OPĆI DIO'!$C$3,'OPĆI DIO'!$L$6:$U$120,9,FALSE))</f>
        <v/>
      </c>
      <c r="C169" s="63" t="str">
        <f t="shared" si="0"/>
        <v/>
      </c>
      <c r="D169" s="64" t="str">
        <f t="shared" si="1"/>
        <v/>
      </c>
      <c r="E169" s="68"/>
      <c r="F169" s="66" t="str">
        <f t="shared" si="2"/>
        <v/>
      </c>
      <c r="G169" s="67"/>
      <c r="H169" s="67"/>
      <c r="I169" s="67"/>
      <c r="J169" s="68"/>
      <c r="L169" s="51" t="str">
        <f t="shared" si="3"/>
        <v/>
      </c>
      <c r="M169" s="51" t="str">
        <f t="shared" si="7"/>
        <v/>
      </c>
    </row>
    <row r="170" spans="1:13" ht="15.75" customHeight="1">
      <c r="A170" s="79" t="str">
        <f>IF(E170="","",VLOOKUP('OPĆI DIO'!$C$3,'OPĆI DIO'!$L$6:$U$120,10,FALSE))</f>
        <v/>
      </c>
      <c r="B170" s="79" t="str">
        <f>IF(E170="","",VLOOKUP('OPĆI DIO'!$C$3,'OPĆI DIO'!$L$6:$U$120,9,FALSE))</f>
        <v/>
      </c>
      <c r="C170" s="63" t="str">
        <f t="shared" si="0"/>
        <v/>
      </c>
      <c r="D170" s="64" t="str">
        <f t="shared" si="1"/>
        <v/>
      </c>
      <c r="E170" s="68"/>
      <c r="F170" s="66" t="str">
        <f t="shared" si="2"/>
        <v/>
      </c>
      <c r="G170" s="67"/>
      <c r="H170" s="67"/>
      <c r="I170" s="67"/>
      <c r="J170" s="68"/>
      <c r="L170" s="51" t="str">
        <f t="shared" si="3"/>
        <v/>
      </c>
      <c r="M170" s="51" t="str">
        <f t="shared" si="7"/>
        <v/>
      </c>
    </row>
    <row r="171" spans="1:13" ht="15.75" customHeight="1">
      <c r="A171" s="79" t="str">
        <f>IF(E171="","",VLOOKUP('OPĆI DIO'!$C$3,'OPĆI DIO'!$L$6:$U$120,10,FALSE))</f>
        <v/>
      </c>
      <c r="B171" s="79" t="str">
        <f>IF(E171="","",VLOOKUP('OPĆI DIO'!$C$3,'OPĆI DIO'!$L$6:$U$120,9,FALSE))</f>
        <v/>
      </c>
      <c r="C171" s="63" t="str">
        <f t="shared" si="0"/>
        <v/>
      </c>
      <c r="D171" s="64" t="str">
        <f t="shared" si="1"/>
        <v/>
      </c>
      <c r="E171" s="68"/>
      <c r="F171" s="66" t="str">
        <f t="shared" si="2"/>
        <v/>
      </c>
      <c r="G171" s="67"/>
      <c r="H171" s="67"/>
      <c r="I171" s="67"/>
      <c r="J171" s="68"/>
      <c r="L171" s="51" t="str">
        <f t="shared" si="3"/>
        <v/>
      </c>
      <c r="M171" s="51" t="str">
        <f t="shared" si="7"/>
        <v/>
      </c>
    </row>
    <row r="172" spans="1:13" ht="15.75" customHeight="1">
      <c r="A172" s="79" t="str">
        <f>IF(E172="","",VLOOKUP('OPĆI DIO'!$C$3,'OPĆI DIO'!$L$6:$U$120,10,FALSE))</f>
        <v/>
      </c>
      <c r="B172" s="79" t="str">
        <f>IF(E172="","",VLOOKUP('OPĆI DIO'!$C$3,'OPĆI DIO'!$L$6:$U$120,9,FALSE))</f>
        <v/>
      </c>
      <c r="C172" s="63" t="str">
        <f t="shared" si="0"/>
        <v/>
      </c>
      <c r="D172" s="64" t="str">
        <f t="shared" si="1"/>
        <v/>
      </c>
      <c r="E172" s="68"/>
      <c r="F172" s="66" t="str">
        <f t="shared" si="2"/>
        <v/>
      </c>
      <c r="G172" s="67"/>
      <c r="H172" s="67"/>
      <c r="I172" s="67"/>
      <c r="J172" s="68"/>
      <c r="L172" s="51" t="str">
        <f t="shared" si="3"/>
        <v/>
      </c>
      <c r="M172" s="51" t="str">
        <f t="shared" si="7"/>
        <v/>
      </c>
    </row>
    <row r="173" spans="1:13" ht="15.75" customHeight="1">
      <c r="A173" s="79" t="str">
        <f>IF(E173="","",VLOOKUP('OPĆI DIO'!$C$3,'OPĆI DIO'!$L$6:$U$120,10,FALSE))</f>
        <v/>
      </c>
      <c r="B173" s="79" t="str">
        <f>IF(E173="","",VLOOKUP('OPĆI DIO'!$C$3,'OPĆI DIO'!$L$6:$U$120,9,FALSE))</f>
        <v/>
      </c>
      <c r="C173" s="63" t="str">
        <f t="shared" si="0"/>
        <v/>
      </c>
      <c r="D173" s="64" t="str">
        <f t="shared" si="1"/>
        <v/>
      </c>
      <c r="E173" s="68"/>
      <c r="F173" s="66" t="str">
        <f t="shared" si="2"/>
        <v/>
      </c>
      <c r="G173" s="67"/>
      <c r="H173" s="67"/>
      <c r="I173" s="67"/>
      <c r="J173" s="68"/>
      <c r="L173" s="51" t="str">
        <f t="shared" si="3"/>
        <v/>
      </c>
      <c r="M173" s="51" t="str">
        <f t="shared" si="7"/>
        <v/>
      </c>
    </row>
    <row r="174" spans="1:13" ht="15.75" customHeight="1">
      <c r="A174" s="79" t="str">
        <f>IF(E174="","",VLOOKUP('OPĆI DIO'!$C$3,'OPĆI DIO'!$L$6:$U$120,10,FALSE))</f>
        <v/>
      </c>
      <c r="B174" s="79" t="str">
        <f>IF(E174="","",VLOOKUP('OPĆI DIO'!$C$3,'OPĆI DIO'!$L$6:$U$120,9,FALSE))</f>
        <v/>
      </c>
      <c r="C174" s="63" t="str">
        <f t="shared" si="0"/>
        <v/>
      </c>
      <c r="D174" s="64" t="str">
        <f t="shared" si="1"/>
        <v/>
      </c>
      <c r="E174" s="68"/>
      <c r="F174" s="66" t="str">
        <f t="shared" si="2"/>
        <v/>
      </c>
      <c r="G174" s="67"/>
      <c r="H174" s="67"/>
      <c r="I174" s="67"/>
      <c r="J174" s="68"/>
      <c r="L174" s="51" t="str">
        <f t="shared" si="3"/>
        <v/>
      </c>
      <c r="M174" s="51" t="str">
        <f t="shared" si="7"/>
        <v/>
      </c>
    </row>
    <row r="175" spans="1:13" ht="15.75" customHeight="1">
      <c r="A175" s="79" t="str">
        <f>IF(E175="","",VLOOKUP('OPĆI DIO'!$C$3,'OPĆI DIO'!$L$6:$U$120,10,FALSE))</f>
        <v/>
      </c>
      <c r="B175" s="79" t="str">
        <f>IF(E175="","",VLOOKUP('OPĆI DIO'!$C$3,'OPĆI DIO'!$L$6:$U$120,9,FALSE))</f>
        <v/>
      </c>
      <c r="C175" s="63" t="str">
        <f t="shared" si="0"/>
        <v/>
      </c>
      <c r="D175" s="64" t="str">
        <f t="shared" si="1"/>
        <v/>
      </c>
      <c r="E175" s="68"/>
      <c r="F175" s="66" t="str">
        <f t="shared" si="2"/>
        <v/>
      </c>
      <c r="G175" s="67"/>
      <c r="H175" s="67"/>
      <c r="I175" s="67"/>
      <c r="J175" s="68"/>
      <c r="L175" s="51" t="str">
        <f t="shared" si="3"/>
        <v/>
      </c>
      <c r="M175" s="51" t="str">
        <f t="shared" si="7"/>
        <v/>
      </c>
    </row>
    <row r="176" spans="1:13" ht="15.75" customHeight="1">
      <c r="A176" s="79" t="str">
        <f>IF(E176="","",VLOOKUP('OPĆI DIO'!$C$3,'OPĆI DIO'!$L$6:$U$120,10,FALSE))</f>
        <v/>
      </c>
      <c r="B176" s="79" t="str">
        <f>IF(E176="","",VLOOKUP('OPĆI DIO'!$C$3,'OPĆI DIO'!$L$6:$U$120,9,FALSE))</f>
        <v/>
      </c>
      <c r="C176" s="63" t="str">
        <f t="shared" si="0"/>
        <v/>
      </c>
      <c r="D176" s="64" t="str">
        <f t="shared" si="1"/>
        <v/>
      </c>
      <c r="E176" s="68"/>
      <c r="F176" s="66" t="str">
        <f t="shared" si="2"/>
        <v/>
      </c>
      <c r="G176" s="67"/>
      <c r="H176" s="67"/>
      <c r="I176" s="67"/>
      <c r="J176" s="68"/>
      <c r="L176" s="51" t="str">
        <f t="shared" si="3"/>
        <v/>
      </c>
      <c r="M176" s="51" t="str">
        <f t="shared" si="7"/>
        <v/>
      </c>
    </row>
    <row r="177" spans="1:13" ht="15.75" customHeight="1">
      <c r="A177" s="79" t="str">
        <f>IF(E177="","",VLOOKUP('OPĆI DIO'!$C$3,'OPĆI DIO'!$L$6:$U$120,10,FALSE))</f>
        <v/>
      </c>
      <c r="B177" s="79" t="str">
        <f>IF(E177="","",VLOOKUP('OPĆI DIO'!$C$3,'OPĆI DIO'!$L$6:$U$120,9,FALSE))</f>
        <v/>
      </c>
      <c r="C177" s="63" t="str">
        <f t="shared" si="0"/>
        <v/>
      </c>
      <c r="D177" s="64" t="str">
        <f t="shared" si="1"/>
        <v/>
      </c>
      <c r="E177" s="68"/>
      <c r="F177" s="66" t="str">
        <f t="shared" si="2"/>
        <v/>
      </c>
      <c r="G177" s="67"/>
      <c r="H177" s="67"/>
      <c r="I177" s="67"/>
      <c r="J177" s="68"/>
      <c r="L177" s="51" t="str">
        <f t="shared" si="3"/>
        <v/>
      </c>
      <c r="M177" s="51" t="str">
        <f t="shared" si="7"/>
        <v/>
      </c>
    </row>
    <row r="178" spans="1:13" ht="15.75" customHeight="1">
      <c r="A178" s="79" t="str">
        <f>IF(E178="","",VLOOKUP('OPĆI DIO'!$C$3,'OPĆI DIO'!$L$6:$U$120,10,FALSE))</f>
        <v/>
      </c>
      <c r="B178" s="79" t="str">
        <f>IF(E178="","",VLOOKUP('OPĆI DIO'!$C$3,'OPĆI DIO'!$L$6:$U$120,9,FALSE))</f>
        <v/>
      </c>
      <c r="C178" s="63" t="str">
        <f t="shared" si="0"/>
        <v/>
      </c>
      <c r="D178" s="64" t="str">
        <f t="shared" si="1"/>
        <v/>
      </c>
      <c r="E178" s="68"/>
      <c r="F178" s="66" t="str">
        <f t="shared" si="2"/>
        <v/>
      </c>
      <c r="G178" s="67"/>
      <c r="H178" s="67"/>
      <c r="I178" s="67"/>
      <c r="J178" s="68"/>
      <c r="L178" s="51" t="str">
        <f t="shared" si="3"/>
        <v/>
      </c>
      <c r="M178" s="51" t="str">
        <f t="shared" si="7"/>
        <v/>
      </c>
    </row>
    <row r="179" spans="1:13" ht="15.75" customHeight="1">
      <c r="A179" s="79" t="str">
        <f>IF(E179="","",VLOOKUP('OPĆI DIO'!$C$3,'OPĆI DIO'!$L$6:$U$120,10,FALSE))</f>
        <v/>
      </c>
      <c r="B179" s="79" t="str">
        <f>IF(E179="","",VLOOKUP('OPĆI DIO'!$C$3,'OPĆI DIO'!$L$6:$U$120,9,FALSE))</f>
        <v/>
      </c>
      <c r="C179" s="63" t="str">
        <f t="shared" si="0"/>
        <v/>
      </c>
      <c r="D179" s="64" t="str">
        <f t="shared" si="1"/>
        <v/>
      </c>
      <c r="E179" s="68"/>
      <c r="F179" s="66" t="str">
        <f t="shared" si="2"/>
        <v/>
      </c>
      <c r="G179" s="67"/>
      <c r="H179" s="67"/>
      <c r="I179" s="67"/>
      <c r="J179" s="68"/>
      <c r="L179" s="51" t="str">
        <f t="shared" si="3"/>
        <v/>
      </c>
      <c r="M179" s="51" t="str">
        <f t="shared" si="7"/>
        <v/>
      </c>
    </row>
    <row r="180" spans="1:13" ht="15.75" customHeight="1">
      <c r="A180" s="79" t="str">
        <f>IF(E180="","",VLOOKUP('OPĆI DIO'!$C$3,'OPĆI DIO'!$L$6:$U$120,10,FALSE))</f>
        <v/>
      </c>
      <c r="B180" s="79" t="str">
        <f>IF(E180="","",VLOOKUP('OPĆI DIO'!$C$3,'OPĆI DIO'!$L$6:$U$120,9,FALSE))</f>
        <v/>
      </c>
      <c r="C180" s="63" t="str">
        <f t="shared" si="0"/>
        <v/>
      </c>
      <c r="D180" s="64" t="str">
        <f t="shared" si="1"/>
        <v/>
      </c>
      <c r="E180" s="68"/>
      <c r="F180" s="66" t="str">
        <f t="shared" si="2"/>
        <v/>
      </c>
      <c r="G180" s="67"/>
      <c r="H180" s="67"/>
      <c r="I180" s="67"/>
      <c r="J180" s="68"/>
      <c r="L180" s="51" t="str">
        <f t="shared" si="3"/>
        <v/>
      </c>
      <c r="M180" s="51" t="str">
        <f t="shared" si="7"/>
        <v/>
      </c>
    </row>
    <row r="181" spans="1:13" ht="15.75" customHeight="1">
      <c r="A181" s="79" t="str">
        <f>IF(E181="","",VLOOKUP('OPĆI DIO'!$C$3,'OPĆI DIO'!$L$6:$U$120,10,FALSE))</f>
        <v/>
      </c>
      <c r="B181" s="79" t="str">
        <f>IF(E181="","",VLOOKUP('OPĆI DIO'!$C$3,'OPĆI DIO'!$L$6:$U$120,9,FALSE))</f>
        <v/>
      </c>
      <c r="C181" s="63" t="str">
        <f t="shared" si="0"/>
        <v/>
      </c>
      <c r="D181" s="64" t="str">
        <f t="shared" si="1"/>
        <v/>
      </c>
      <c r="E181" s="68"/>
      <c r="F181" s="66" t="str">
        <f t="shared" si="2"/>
        <v/>
      </c>
      <c r="G181" s="67"/>
      <c r="H181" s="67"/>
      <c r="I181" s="67"/>
      <c r="J181" s="68"/>
      <c r="L181" s="51" t="str">
        <f t="shared" si="3"/>
        <v/>
      </c>
      <c r="M181" s="51" t="str">
        <f t="shared" si="7"/>
        <v/>
      </c>
    </row>
    <row r="182" spans="1:13" ht="15.75" customHeight="1">
      <c r="A182" s="79" t="str">
        <f>IF(E182="","",VLOOKUP('OPĆI DIO'!$C$3,'OPĆI DIO'!$L$6:$U$120,10,FALSE))</f>
        <v/>
      </c>
      <c r="B182" s="79" t="str">
        <f>IF(E182="","",VLOOKUP('OPĆI DIO'!$C$3,'OPĆI DIO'!$L$6:$U$120,9,FALSE))</f>
        <v/>
      </c>
      <c r="C182" s="63" t="str">
        <f t="shared" si="0"/>
        <v/>
      </c>
      <c r="D182" s="64" t="str">
        <f t="shared" si="1"/>
        <v/>
      </c>
      <c r="E182" s="68"/>
      <c r="F182" s="66" t="str">
        <f t="shared" si="2"/>
        <v/>
      </c>
      <c r="G182" s="67"/>
      <c r="H182" s="67"/>
      <c r="I182" s="67"/>
      <c r="J182" s="68"/>
      <c r="L182" s="51" t="str">
        <f t="shared" si="3"/>
        <v/>
      </c>
      <c r="M182" s="51" t="str">
        <f t="shared" si="7"/>
        <v/>
      </c>
    </row>
    <row r="183" spans="1:13" ht="15.75" customHeight="1">
      <c r="A183" s="79" t="str">
        <f>IF(E183="","",VLOOKUP('OPĆI DIO'!$C$3,'OPĆI DIO'!$L$6:$U$120,10,FALSE))</f>
        <v/>
      </c>
      <c r="B183" s="79" t="str">
        <f>IF(E183="","",VLOOKUP('OPĆI DIO'!$C$3,'OPĆI DIO'!$L$6:$U$120,9,FALSE))</f>
        <v/>
      </c>
      <c r="C183" s="63" t="str">
        <f t="shared" si="0"/>
        <v/>
      </c>
      <c r="D183" s="64" t="str">
        <f t="shared" si="1"/>
        <v/>
      </c>
      <c r="E183" s="68"/>
      <c r="F183" s="66" t="str">
        <f t="shared" si="2"/>
        <v/>
      </c>
      <c r="G183" s="67"/>
      <c r="H183" s="67"/>
      <c r="I183" s="67"/>
      <c r="J183" s="68"/>
      <c r="L183" s="51" t="str">
        <f t="shared" si="3"/>
        <v/>
      </c>
      <c r="M183" s="51" t="str">
        <f t="shared" si="7"/>
        <v/>
      </c>
    </row>
    <row r="184" spans="1:13" ht="15.75" customHeight="1">
      <c r="A184" s="79" t="str">
        <f>IF(E184="","",VLOOKUP('OPĆI DIO'!$C$3,'OPĆI DIO'!$L$6:$U$120,10,FALSE))</f>
        <v/>
      </c>
      <c r="B184" s="79" t="str">
        <f>IF(E184="","",VLOOKUP('OPĆI DIO'!$C$3,'OPĆI DIO'!$L$6:$U$120,9,FALSE))</f>
        <v/>
      </c>
      <c r="C184" s="63" t="str">
        <f t="shared" si="0"/>
        <v/>
      </c>
      <c r="D184" s="64" t="str">
        <f t="shared" si="1"/>
        <v/>
      </c>
      <c r="E184" s="68"/>
      <c r="F184" s="66" t="str">
        <f t="shared" si="2"/>
        <v/>
      </c>
      <c r="G184" s="67"/>
      <c r="H184" s="67"/>
      <c r="I184" s="67"/>
      <c r="J184" s="68"/>
      <c r="L184" s="51" t="str">
        <f t="shared" si="3"/>
        <v/>
      </c>
      <c r="M184" s="51" t="str">
        <f t="shared" si="7"/>
        <v/>
      </c>
    </row>
    <row r="185" spans="1:13" ht="15.75" customHeight="1">
      <c r="A185" s="79" t="str">
        <f>IF(E185="","",VLOOKUP('OPĆI DIO'!$C$3,'OPĆI DIO'!$L$6:$U$120,10,FALSE))</f>
        <v/>
      </c>
      <c r="B185" s="79" t="str">
        <f>IF(E185="","",VLOOKUP('OPĆI DIO'!$C$3,'OPĆI DIO'!$L$6:$U$120,9,FALSE))</f>
        <v/>
      </c>
      <c r="C185" s="63" t="str">
        <f t="shared" si="0"/>
        <v/>
      </c>
      <c r="D185" s="64" t="str">
        <f t="shared" si="1"/>
        <v/>
      </c>
      <c r="E185" s="68"/>
      <c r="F185" s="66" t="str">
        <f t="shared" si="2"/>
        <v/>
      </c>
      <c r="G185" s="67"/>
      <c r="H185" s="67"/>
      <c r="I185" s="67"/>
      <c r="J185" s="68"/>
      <c r="L185" s="51" t="str">
        <f t="shared" si="3"/>
        <v/>
      </c>
      <c r="M185" s="51" t="str">
        <f t="shared" si="7"/>
        <v/>
      </c>
    </row>
    <row r="186" spans="1:13" ht="15.75" customHeight="1">
      <c r="A186" s="79" t="str">
        <f>IF(E186="","",VLOOKUP('OPĆI DIO'!$C$3,'OPĆI DIO'!$L$6:$U$120,10,FALSE))</f>
        <v/>
      </c>
      <c r="B186" s="79" t="str">
        <f>IF(E186="","",VLOOKUP('OPĆI DIO'!$C$3,'OPĆI DIO'!$L$6:$U$120,9,FALSE))</f>
        <v/>
      </c>
      <c r="C186" s="63" t="str">
        <f t="shared" si="0"/>
        <v/>
      </c>
      <c r="D186" s="64" t="str">
        <f t="shared" si="1"/>
        <v/>
      </c>
      <c r="E186" s="68"/>
      <c r="F186" s="66" t="str">
        <f t="shared" si="2"/>
        <v/>
      </c>
      <c r="G186" s="67"/>
      <c r="H186" s="67"/>
      <c r="I186" s="67"/>
      <c r="J186" s="68"/>
      <c r="L186" s="51" t="str">
        <f t="shared" si="3"/>
        <v/>
      </c>
      <c r="M186" s="51" t="str">
        <f t="shared" si="7"/>
        <v/>
      </c>
    </row>
    <row r="187" spans="1:13" ht="15.75" customHeight="1">
      <c r="A187" s="79" t="str">
        <f>IF(E187="","",VLOOKUP('OPĆI DIO'!$C$3,'OPĆI DIO'!$L$6:$U$120,10,FALSE))</f>
        <v/>
      </c>
      <c r="B187" s="79" t="str">
        <f>IF(E187="","",VLOOKUP('OPĆI DIO'!$C$3,'OPĆI DIO'!$L$6:$U$120,9,FALSE))</f>
        <v/>
      </c>
      <c r="C187" s="63" t="str">
        <f t="shared" si="0"/>
        <v/>
      </c>
      <c r="D187" s="64" t="str">
        <f t="shared" si="1"/>
        <v/>
      </c>
      <c r="E187" s="68"/>
      <c r="F187" s="66" t="str">
        <f t="shared" si="2"/>
        <v/>
      </c>
      <c r="G187" s="67"/>
      <c r="H187" s="67"/>
      <c r="I187" s="67"/>
      <c r="J187" s="68"/>
      <c r="L187" s="51" t="str">
        <f t="shared" si="3"/>
        <v/>
      </c>
      <c r="M187" s="51" t="str">
        <f t="shared" si="7"/>
        <v/>
      </c>
    </row>
    <row r="188" spans="1:13" ht="15.75" customHeight="1">
      <c r="A188" s="79" t="str">
        <f>IF(E188="","",VLOOKUP('OPĆI DIO'!$C$3,'OPĆI DIO'!$L$6:$U$120,10,FALSE))</f>
        <v/>
      </c>
      <c r="B188" s="79" t="str">
        <f>IF(E188="","",VLOOKUP('OPĆI DIO'!$C$3,'OPĆI DIO'!$L$6:$U$120,9,FALSE))</f>
        <v/>
      </c>
      <c r="C188" s="63" t="str">
        <f t="shared" si="0"/>
        <v/>
      </c>
      <c r="D188" s="64" t="str">
        <f t="shared" si="1"/>
        <v/>
      </c>
      <c r="E188" s="68"/>
      <c r="F188" s="66" t="str">
        <f t="shared" si="2"/>
        <v/>
      </c>
      <c r="G188" s="67"/>
      <c r="H188" s="67"/>
      <c r="I188" s="67"/>
      <c r="J188" s="68"/>
      <c r="L188" s="51" t="str">
        <f t="shared" si="3"/>
        <v/>
      </c>
      <c r="M188" s="51" t="str">
        <f t="shared" si="7"/>
        <v/>
      </c>
    </row>
    <row r="189" spans="1:13" ht="15.75" customHeight="1">
      <c r="A189" s="79" t="str">
        <f>IF(E189="","",VLOOKUP('OPĆI DIO'!$C$3,'OPĆI DIO'!$L$6:$U$120,10,FALSE))</f>
        <v/>
      </c>
      <c r="B189" s="79" t="str">
        <f>IF(E189="","",VLOOKUP('OPĆI DIO'!$C$3,'OPĆI DIO'!$L$6:$U$120,9,FALSE))</f>
        <v/>
      </c>
      <c r="C189" s="63" t="str">
        <f t="shared" si="0"/>
        <v/>
      </c>
      <c r="D189" s="64" t="str">
        <f t="shared" si="1"/>
        <v/>
      </c>
      <c r="E189" s="68"/>
      <c r="F189" s="66" t="str">
        <f t="shared" si="2"/>
        <v/>
      </c>
      <c r="G189" s="67"/>
      <c r="H189" s="67"/>
      <c r="I189" s="67"/>
      <c r="J189" s="68"/>
      <c r="L189" s="51" t="str">
        <f t="shared" si="3"/>
        <v/>
      </c>
      <c r="M189" s="51" t="str">
        <f t="shared" si="7"/>
        <v/>
      </c>
    </row>
    <row r="190" spans="1:13" ht="15.75" customHeight="1">
      <c r="A190" s="79" t="str">
        <f>IF(E190="","",VLOOKUP('OPĆI DIO'!$C$3,'OPĆI DIO'!$L$6:$U$120,10,FALSE))</f>
        <v/>
      </c>
      <c r="B190" s="79" t="str">
        <f>IF(E190="","",VLOOKUP('OPĆI DIO'!$C$3,'OPĆI DIO'!$L$6:$U$120,9,FALSE))</f>
        <v/>
      </c>
      <c r="C190" s="63" t="str">
        <f t="shared" si="0"/>
        <v/>
      </c>
      <c r="D190" s="64" t="str">
        <f t="shared" si="1"/>
        <v/>
      </c>
      <c r="E190" s="68"/>
      <c r="F190" s="66" t="str">
        <f t="shared" si="2"/>
        <v/>
      </c>
      <c r="G190" s="67"/>
      <c r="H190" s="67"/>
      <c r="I190" s="67"/>
      <c r="J190" s="68"/>
      <c r="L190" s="51" t="str">
        <f t="shared" si="3"/>
        <v/>
      </c>
      <c r="M190" s="51" t="str">
        <f t="shared" si="7"/>
        <v/>
      </c>
    </row>
    <row r="191" spans="1:13" ht="15.75" customHeight="1">
      <c r="A191" s="79" t="str">
        <f>IF(E191="","",VLOOKUP('OPĆI DIO'!$C$3,'OPĆI DIO'!$L$6:$U$120,10,FALSE))</f>
        <v/>
      </c>
      <c r="B191" s="79" t="str">
        <f>IF(E191="","",VLOOKUP('OPĆI DIO'!$C$3,'OPĆI DIO'!$L$6:$U$120,9,FALSE))</f>
        <v/>
      </c>
      <c r="C191" s="63" t="str">
        <f t="shared" si="0"/>
        <v/>
      </c>
      <c r="D191" s="64" t="str">
        <f t="shared" si="1"/>
        <v/>
      </c>
      <c r="E191" s="68"/>
      <c r="F191" s="66" t="str">
        <f t="shared" si="2"/>
        <v/>
      </c>
      <c r="G191" s="67"/>
      <c r="H191" s="67"/>
      <c r="I191" s="67"/>
      <c r="J191" s="68"/>
      <c r="L191" s="51" t="str">
        <f t="shared" si="3"/>
        <v/>
      </c>
      <c r="M191" s="51" t="str">
        <f t="shared" si="7"/>
        <v/>
      </c>
    </row>
    <row r="192" spans="1:13" ht="15.75" customHeight="1">
      <c r="A192" s="79" t="str">
        <f>IF(E192="","",VLOOKUP('OPĆI DIO'!$C$3,'OPĆI DIO'!$L$6:$U$120,10,FALSE))</f>
        <v/>
      </c>
      <c r="B192" s="79" t="str">
        <f>IF(E192="","",VLOOKUP('OPĆI DIO'!$C$3,'OPĆI DIO'!$L$6:$U$120,9,FALSE))</f>
        <v/>
      </c>
      <c r="C192" s="63" t="str">
        <f t="shared" si="0"/>
        <v/>
      </c>
      <c r="D192" s="64" t="str">
        <f t="shared" si="1"/>
        <v/>
      </c>
      <c r="E192" s="68"/>
      <c r="F192" s="66" t="str">
        <f t="shared" si="2"/>
        <v/>
      </c>
      <c r="G192" s="67"/>
      <c r="H192" s="67"/>
      <c r="I192" s="67"/>
      <c r="J192" s="68"/>
      <c r="L192" s="51" t="str">
        <f t="shared" si="3"/>
        <v/>
      </c>
      <c r="M192" s="51" t="str">
        <f t="shared" si="7"/>
        <v/>
      </c>
    </row>
    <row r="193" spans="1:13" ht="15.75" customHeight="1">
      <c r="A193" s="79" t="str">
        <f>IF(E193="","",VLOOKUP('OPĆI DIO'!$C$3,'OPĆI DIO'!$L$6:$U$120,10,FALSE))</f>
        <v/>
      </c>
      <c r="B193" s="79" t="str">
        <f>IF(E193="","",VLOOKUP('OPĆI DIO'!$C$3,'OPĆI DIO'!$L$6:$U$120,9,FALSE))</f>
        <v/>
      </c>
      <c r="C193" s="63" t="str">
        <f t="shared" si="0"/>
        <v/>
      </c>
      <c r="D193" s="64" t="str">
        <f t="shared" si="1"/>
        <v/>
      </c>
      <c r="E193" s="68"/>
      <c r="F193" s="66" t="str">
        <f t="shared" si="2"/>
        <v/>
      </c>
      <c r="G193" s="67"/>
      <c r="H193" s="67"/>
      <c r="I193" s="67"/>
      <c r="J193" s="68"/>
      <c r="L193" s="51" t="str">
        <f t="shared" si="3"/>
        <v/>
      </c>
      <c r="M193" s="51" t="str">
        <f t="shared" si="7"/>
        <v/>
      </c>
    </row>
    <row r="194" spans="1:13" ht="15.75" customHeight="1">
      <c r="A194" s="79" t="str">
        <f>IF(E194="","",VLOOKUP('OPĆI DIO'!$C$3,'OPĆI DIO'!$L$6:$U$120,10,FALSE))</f>
        <v/>
      </c>
      <c r="B194" s="79" t="str">
        <f>IF(E194="","",VLOOKUP('OPĆI DIO'!$C$3,'OPĆI DIO'!$L$6:$U$120,9,FALSE))</f>
        <v/>
      </c>
      <c r="C194" s="63" t="str">
        <f t="shared" si="0"/>
        <v/>
      </c>
      <c r="D194" s="64" t="str">
        <f t="shared" si="1"/>
        <v/>
      </c>
      <c r="E194" s="68"/>
      <c r="F194" s="66" t="str">
        <f t="shared" si="2"/>
        <v/>
      </c>
      <c r="G194" s="67"/>
      <c r="H194" s="67"/>
      <c r="I194" s="67"/>
      <c r="J194" s="68"/>
      <c r="L194" s="51" t="str">
        <f t="shared" si="3"/>
        <v/>
      </c>
      <c r="M194" s="51" t="str">
        <f t="shared" si="7"/>
        <v/>
      </c>
    </row>
    <row r="195" spans="1:13" ht="15.75" customHeight="1">
      <c r="A195" s="79" t="str">
        <f>IF(E195="","",VLOOKUP('OPĆI DIO'!$C$3,'OPĆI DIO'!$L$6:$U$120,10,FALSE))</f>
        <v/>
      </c>
      <c r="B195" s="79" t="str">
        <f>IF(E195="","",VLOOKUP('OPĆI DIO'!$C$3,'OPĆI DIO'!$L$6:$U$120,9,FALSE))</f>
        <v/>
      </c>
      <c r="C195" s="63" t="str">
        <f t="shared" si="0"/>
        <v/>
      </c>
      <c r="D195" s="64" t="str">
        <f t="shared" si="1"/>
        <v/>
      </c>
      <c r="E195" s="68"/>
      <c r="F195" s="66" t="str">
        <f t="shared" si="2"/>
        <v/>
      </c>
      <c r="G195" s="67"/>
      <c r="H195" s="67"/>
      <c r="I195" s="67"/>
      <c r="J195" s="68"/>
      <c r="L195" s="51" t="str">
        <f t="shared" si="3"/>
        <v/>
      </c>
      <c r="M195" s="51" t="str">
        <f t="shared" si="7"/>
        <v/>
      </c>
    </row>
    <row r="196" spans="1:13" ht="15.75" customHeight="1">
      <c r="A196" s="79" t="str">
        <f>IF(E196="","",VLOOKUP('OPĆI DIO'!$C$3,'OPĆI DIO'!$L$6:$U$120,10,FALSE))</f>
        <v/>
      </c>
      <c r="B196" s="79" t="str">
        <f>IF(E196="","",VLOOKUP('OPĆI DIO'!$C$3,'OPĆI DIO'!$L$6:$U$120,9,FALSE))</f>
        <v/>
      </c>
      <c r="C196" s="63" t="str">
        <f t="shared" si="0"/>
        <v/>
      </c>
      <c r="D196" s="64" t="str">
        <f t="shared" si="1"/>
        <v/>
      </c>
      <c r="E196" s="68"/>
      <c r="F196" s="66" t="str">
        <f t="shared" si="2"/>
        <v/>
      </c>
      <c r="G196" s="67"/>
      <c r="H196" s="67"/>
      <c r="I196" s="67"/>
      <c r="J196" s="68"/>
      <c r="L196" s="51" t="str">
        <f t="shared" si="3"/>
        <v/>
      </c>
      <c r="M196" s="51" t="str">
        <f t="shared" si="7"/>
        <v/>
      </c>
    </row>
    <row r="197" spans="1:13" ht="15.75" customHeight="1">
      <c r="A197" s="79" t="str">
        <f>IF(E197="","",VLOOKUP('OPĆI DIO'!$C$3,'OPĆI DIO'!$L$6:$U$120,10,FALSE))</f>
        <v/>
      </c>
      <c r="B197" s="79" t="str">
        <f>IF(E197="","",VLOOKUP('OPĆI DIO'!$C$3,'OPĆI DIO'!$L$6:$U$120,9,FALSE))</f>
        <v/>
      </c>
      <c r="C197" s="63" t="str">
        <f t="shared" si="0"/>
        <v/>
      </c>
      <c r="D197" s="64" t="str">
        <f t="shared" si="1"/>
        <v/>
      </c>
      <c r="E197" s="68"/>
      <c r="F197" s="66" t="str">
        <f t="shared" si="2"/>
        <v/>
      </c>
      <c r="G197" s="67"/>
      <c r="H197" s="67"/>
      <c r="I197" s="67"/>
      <c r="J197" s="68"/>
      <c r="L197" s="51" t="str">
        <f t="shared" si="3"/>
        <v/>
      </c>
      <c r="M197" s="51" t="str">
        <f t="shared" si="7"/>
        <v/>
      </c>
    </row>
    <row r="198" spans="1:13" ht="15.75" customHeight="1">
      <c r="A198" s="79" t="str">
        <f>IF(E198="","",VLOOKUP('OPĆI DIO'!$C$3,'OPĆI DIO'!$L$6:$U$120,10,FALSE))</f>
        <v/>
      </c>
      <c r="B198" s="79" t="str">
        <f>IF(E198="","",VLOOKUP('OPĆI DIO'!$C$3,'OPĆI DIO'!$L$6:$U$120,9,FALSE))</f>
        <v/>
      </c>
      <c r="C198" s="63" t="str">
        <f t="shared" si="0"/>
        <v/>
      </c>
      <c r="D198" s="64" t="str">
        <f t="shared" si="1"/>
        <v/>
      </c>
      <c r="E198" s="68"/>
      <c r="F198" s="66" t="str">
        <f t="shared" si="2"/>
        <v/>
      </c>
      <c r="G198" s="67"/>
      <c r="H198" s="67"/>
      <c r="I198" s="67"/>
      <c r="J198" s="68"/>
      <c r="L198" s="51" t="str">
        <f t="shared" si="3"/>
        <v/>
      </c>
      <c r="M198" s="51" t="str">
        <f t="shared" si="7"/>
        <v/>
      </c>
    </row>
    <row r="199" spans="1:13" ht="15.75" customHeight="1">
      <c r="A199" s="79" t="str">
        <f>IF(E199="","",VLOOKUP('OPĆI DIO'!$C$3,'OPĆI DIO'!$L$6:$U$120,10,FALSE))</f>
        <v/>
      </c>
      <c r="B199" s="79" t="str">
        <f>IF(E199="","",VLOOKUP('OPĆI DIO'!$C$3,'OPĆI DIO'!$L$6:$U$120,9,FALSE))</f>
        <v/>
      </c>
      <c r="C199" s="63" t="str">
        <f t="shared" si="0"/>
        <v/>
      </c>
      <c r="D199" s="64" t="str">
        <f t="shared" si="1"/>
        <v/>
      </c>
      <c r="E199" s="68"/>
      <c r="F199" s="66" t="str">
        <f t="shared" si="2"/>
        <v/>
      </c>
      <c r="G199" s="67"/>
      <c r="H199" s="67"/>
      <c r="I199" s="67"/>
      <c r="J199" s="68"/>
      <c r="L199" s="51" t="str">
        <f t="shared" si="3"/>
        <v/>
      </c>
      <c r="M199" s="51" t="str">
        <f t="shared" si="7"/>
        <v/>
      </c>
    </row>
    <row r="200" spans="1:13" ht="15.75" customHeight="1">
      <c r="A200" s="79" t="str">
        <f>IF(E200="","",VLOOKUP('OPĆI DIO'!$C$3,'OPĆI DIO'!$L$6:$U$120,10,FALSE))</f>
        <v/>
      </c>
      <c r="B200" s="79" t="str">
        <f>IF(E200="","",VLOOKUP('OPĆI DIO'!$C$3,'OPĆI DIO'!$L$6:$U$120,9,FALSE))</f>
        <v/>
      </c>
      <c r="C200" s="63" t="str">
        <f t="shared" si="0"/>
        <v/>
      </c>
      <c r="D200" s="64" t="str">
        <f t="shared" si="1"/>
        <v/>
      </c>
      <c r="E200" s="68"/>
      <c r="F200" s="66" t="str">
        <f t="shared" si="2"/>
        <v/>
      </c>
      <c r="G200" s="67"/>
      <c r="H200" s="67"/>
      <c r="I200" s="67"/>
      <c r="J200" s="68"/>
      <c r="L200" s="51" t="str">
        <f t="shared" si="3"/>
        <v/>
      </c>
      <c r="M200" s="51" t="str">
        <f t="shared" si="7"/>
        <v/>
      </c>
    </row>
    <row r="201" spans="1:13" ht="15.75" customHeight="1">
      <c r="A201" s="79" t="str">
        <f>IF(E201="","",VLOOKUP('OPĆI DIO'!$C$3,'OPĆI DIO'!$L$6:$U$120,10,FALSE))</f>
        <v/>
      </c>
      <c r="B201" s="79" t="str">
        <f>IF(E201="","",VLOOKUP('OPĆI DIO'!$C$3,'OPĆI DIO'!$L$6:$U$120,9,FALSE))</f>
        <v/>
      </c>
      <c r="C201" s="63" t="str">
        <f t="shared" si="0"/>
        <v/>
      </c>
      <c r="D201" s="64" t="str">
        <f t="shared" si="1"/>
        <v/>
      </c>
      <c r="E201" s="68"/>
      <c r="F201" s="66" t="str">
        <f t="shared" si="2"/>
        <v/>
      </c>
      <c r="G201" s="67"/>
      <c r="H201" s="67"/>
      <c r="I201" s="67"/>
      <c r="J201" s="68"/>
      <c r="L201" s="51" t="str">
        <f t="shared" si="3"/>
        <v/>
      </c>
      <c r="M201" s="51" t="str">
        <f t="shared" si="7"/>
        <v/>
      </c>
    </row>
    <row r="202" spans="1:13" ht="15.75" customHeight="1">
      <c r="A202" s="79" t="str">
        <f>IF(E202="","",VLOOKUP('OPĆI DIO'!$C$3,'OPĆI DIO'!$L$6:$U$120,10,FALSE))</f>
        <v/>
      </c>
      <c r="B202" s="79" t="str">
        <f>IF(E202="","",VLOOKUP('OPĆI DIO'!$C$3,'OPĆI DIO'!$L$6:$U$120,9,FALSE))</f>
        <v/>
      </c>
      <c r="C202" s="63" t="str">
        <f t="shared" si="0"/>
        <v/>
      </c>
      <c r="D202" s="64" t="str">
        <f t="shared" si="1"/>
        <v/>
      </c>
      <c r="E202" s="68"/>
      <c r="F202" s="66" t="str">
        <f t="shared" si="2"/>
        <v/>
      </c>
      <c r="G202" s="67"/>
      <c r="H202" s="67"/>
      <c r="I202" s="67"/>
      <c r="J202" s="68"/>
      <c r="L202" s="51" t="str">
        <f t="shared" si="3"/>
        <v/>
      </c>
      <c r="M202" s="51" t="str">
        <f t="shared" si="7"/>
        <v/>
      </c>
    </row>
    <row r="203" spans="1:13" ht="15.75" customHeight="1">
      <c r="A203" s="79" t="str">
        <f>IF(E203="","",VLOOKUP('OPĆI DIO'!$C$3,'OPĆI DIO'!$L$6:$U$120,10,FALSE))</f>
        <v/>
      </c>
      <c r="B203" s="79" t="str">
        <f>IF(E203="","",VLOOKUP('OPĆI DIO'!$C$3,'OPĆI DIO'!$L$6:$U$120,9,FALSE))</f>
        <v/>
      </c>
      <c r="C203" s="63" t="str">
        <f t="shared" si="0"/>
        <v/>
      </c>
      <c r="D203" s="64" t="str">
        <f t="shared" si="1"/>
        <v/>
      </c>
      <c r="E203" s="68"/>
      <c r="F203" s="66" t="str">
        <f t="shared" si="2"/>
        <v/>
      </c>
      <c r="G203" s="67"/>
      <c r="H203" s="67"/>
      <c r="I203" s="67"/>
      <c r="J203" s="68"/>
      <c r="L203" s="51" t="str">
        <f t="shared" si="3"/>
        <v/>
      </c>
      <c r="M203" s="51" t="str">
        <f t="shared" si="7"/>
        <v/>
      </c>
    </row>
    <row r="204" spans="1:13" ht="15.75" customHeight="1">
      <c r="A204" s="79" t="str">
        <f>IF(E204="","",VLOOKUP('OPĆI DIO'!$C$3,'OPĆI DIO'!$L$6:$U$120,10,FALSE))</f>
        <v/>
      </c>
      <c r="B204" s="79" t="str">
        <f>IF(E204="","",VLOOKUP('OPĆI DIO'!$C$3,'OPĆI DIO'!$L$6:$U$120,9,FALSE))</f>
        <v/>
      </c>
      <c r="C204" s="63" t="str">
        <f t="shared" si="0"/>
        <v/>
      </c>
      <c r="D204" s="64" t="str">
        <f t="shared" si="1"/>
        <v/>
      </c>
      <c r="E204" s="68"/>
      <c r="F204" s="66" t="str">
        <f t="shared" si="2"/>
        <v/>
      </c>
      <c r="G204" s="67"/>
      <c r="H204" s="67"/>
      <c r="I204" s="67"/>
      <c r="J204" s="68"/>
      <c r="L204" s="51" t="str">
        <f t="shared" si="3"/>
        <v/>
      </c>
      <c r="M204" s="51" t="str">
        <f t="shared" si="7"/>
        <v/>
      </c>
    </row>
    <row r="205" spans="1:13" ht="15.75" customHeight="1">
      <c r="A205" s="79" t="str">
        <f>IF(E205="","",VLOOKUP('OPĆI DIO'!$C$3,'OPĆI DIO'!$L$6:$U$120,10,FALSE))</f>
        <v/>
      </c>
      <c r="B205" s="79" t="str">
        <f>IF(E205="","",VLOOKUP('OPĆI DIO'!$C$3,'OPĆI DIO'!$L$6:$U$120,9,FALSE))</f>
        <v/>
      </c>
      <c r="C205" s="63" t="str">
        <f t="shared" si="0"/>
        <v/>
      </c>
      <c r="D205" s="64" t="str">
        <f t="shared" si="1"/>
        <v/>
      </c>
      <c r="E205" s="68"/>
      <c r="F205" s="66" t="str">
        <f t="shared" si="2"/>
        <v/>
      </c>
      <c r="G205" s="67"/>
      <c r="H205" s="67"/>
      <c r="I205" s="67"/>
      <c r="J205" s="68"/>
      <c r="L205" s="51" t="str">
        <f t="shared" si="3"/>
        <v/>
      </c>
      <c r="M205" s="51" t="str">
        <f t="shared" si="7"/>
        <v/>
      </c>
    </row>
    <row r="206" spans="1:13" ht="15.75" customHeight="1">
      <c r="A206" s="79" t="str">
        <f>IF(E206="","",VLOOKUP('OPĆI DIO'!$C$3,'OPĆI DIO'!$L$6:$U$120,10,FALSE))</f>
        <v/>
      </c>
      <c r="B206" s="79" t="str">
        <f>IF(E206="","",VLOOKUP('OPĆI DIO'!$C$3,'OPĆI DIO'!$L$6:$U$120,9,FALSE))</f>
        <v/>
      </c>
      <c r="C206" s="63" t="str">
        <f t="shared" si="0"/>
        <v/>
      </c>
      <c r="D206" s="64" t="str">
        <f t="shared" si="1"/>
        <v/>
      </c>
      <c r="E206" s="68"/>
      <c r="F206" s="66" t="str">
        <f t="shared" si="2"/>
        <v/>
      </c>
      <c r="G206" s="67"/>
      <c r="H206" s="67"/>
      <c r="I206" s="67"/>
      <c r="J206" s="68"/>
      <c r="L206" s="51" t="str">
        <f t="shared" si="3"/>
        <v/>
      </c>
      <c r="M206" s="51" t="str">
        <f t="shared" si="7"/>
        <v/>
      </c>
    </row>
    <row r="207" spans="1:13" ht="15.75" customHeight="1">
      <c r="A207" s="79" t="str">
        <f>IF(E207="","",VLOOKUP('OPĆI DIO'!$C$3,'OPĆI DIO'!$L$6:$U$120,10,FALSE))</f>
        <v/>
      </c>
      <c r="B207" s="79" t="str">
        <f>IF(E207="","",VLOOKUP('OPĆI DIO'!$C$3,'OPĆI DIO'!$L$6:$U$120,9,FALSE))</f>
        <v/>
      </c>
      <c r="C207" s="63" t="str">
        <f t="shared" si="0"/>
        <v/>
      </c>
      <c r="D207" s="64" t="str">
        <f t="shared" si="1"/>
        <v/>
      </c>
      <c r="E207" s="68"/>
      <c r="F207" s="66" t="str">
        <f t="shared" si="2"/>
        <v/>
      </c>
      <c r="G207" s="67"/>
      <c r="H207" s="67"/>
      <c r="I207" s="67"/>
      <c r="J207" s="68"/>
      <c r="L207" s="51" t="str">
        <f t="shared" si="3"/>
        <v/>
      </c>
      <c r="M207" s="51" t="str">
        <f t="shared" si="7"/>
        <v/>
      </c>
    </row>
    <row r="208" spans="1:13" ht="15.75" customHeight="1">
      <c r="A208" s="79" t="str">
        <f>IF(E208="","",VLOOKUP('OPĆI DIO'!$C$3,'OPĆI DIO'!$L$6:$U$120,10,FALSE))</f>
        <v/>
      </c>
      <c r="B208" s="79" t="str">
        <f>IF(E208="","",VLOOKUP('OPĆI DIO'!$C$3,'OPĆI DIO'!$L$6:$U$120,9,FALSE))</f>
        <v/>
      </c>
      <c r="C208" s="63" t="str">
        <f t="shared" si="0"/>
        <v/>
      </c>
      <c r="D208" s="64" t="str">
        <f t="shared" si="1"/>
        <v/>
      </c>
      <c r="E208" s="68"/>
      <c r="F208" s="66" t="str">
        <f t="shared" si="2"/>
        <v/>
      </c>
      <c r="G208" s="67"/>
      <c r="H208" s="67"/>
      <c r="I208" s="67"/>
      <c r="J208" s="68"/>
      <c r="L208" s="51" t="str">
        <f t="shared" si="3"/>
        <v/>
      </c>
      <c r="M208" s="51" t="str">
        <f t="shared" si="7"/>
        <v/>
      </c>
    </row>
    <row r="209" spans="1:13" ht="15.75" customHeight="1">
      <c r="A209" s="79" t="str">
        <f>IF(E209="","",VLOOKUP('OPĆI DIO'!$C$3,'OPĆI DIO'!$L$6:$U$120,10,FALSE))</f>
        <v/>
      </c>
      <c r="B209" s="79" t="str">
        <f>IF(E209="","",VLOOKUP('OPĆI DIO'!$C$3,'OPĆI DIO'!$L$6:$U$120,9,FALSE))</f>
        <v/>
      </c>
      <c r="C209" s="63" t="str">
        <f t="shared" si="0"/>
        <v/>
      </c>
      <c r="D209" s="64" t="str">
        <f t="shared" si="1"/>
        <v/>
      </c>
      <c r="E209" s="68"/>
      <c r="F209" s="66" t="str">
        <f t="shared" si="2"/>
        <v/>
      </c>
      <c r="G209" s="67"/>
      <c r="H209" s="67"/>
      <c r="I209" s="67"/>
      <c r="J209" s="68"/>
      <c r="L209" s="51" t="str">
        <f t="shared" si="3"/>
        <v/>
      </c>
      <c r="M209" s="51" t="str">
        <f t="shared" si="7"/>
        <v/>
      </c>
    </row>
    <row r="210" spans="1:13" ht="15.75" customHeight="1">
      <c r="A210" s="79" t="str">
        <f>IF(E210="","",VLOOKUP('OPĆI DIO'!$C$3,'OPĆI DIO'!$L$6:$U$120,10,FALSE))</f>
        <v/>
      </c>
      <c r="B210" s="79" t="str">
        <f>IF(E210="","",VLOOKUP('OPĆI DIO'!$C$3,'OPĆI DIO'!$L$6:$U$120,9,FALSE))</f>
        <v/>
      </c>
      <c r="C210" s="63" t="str">
        <f t="shared" si="0"/>
        <v/>
      </c>
      <c r="D210" s="64" t="str">
        <f t="shared" si="1"/>
        <v/>
      </c>
      <c r="E210" s="68"/>
      <c r="F210" s="66" t="str">
        <f t="shared" si="2"/>
        <v/>
      </c>
      <c r="G210" s="67"/>
      <c r="H210" s="67"/>
      <c r="I210" s="67"/>
      <c r="J210" s="68"/>
      <c r="L210" s="51" t="str">
        <f t="shared" si="3"/>
        <v/>
      </c>
      <c r="M210" s="51" t="str">
        <f t="shared" si="7"/>
        <v/>
      </c>
    </row>
    <row r="211" spans="1:13" ht="15.75" customHeight="1">
      <c r="A211" s="79" t="str">
        <f>IF(E211="","",VLOOKUP('OPĆI DIO'!$C$3,'OPĆI DIO'!$L$6:$U$120,10,FALSE))</f>
        <v/>
      </c>
      <c r="B211" s="79" t="str">
        <f>IF(E211="","",VLOOKUP('OPĆI DIO'!$C$3,'OPĆI DIO'!$L$6:$U$120,9,FALSE))</f>
        <v/>
      </c>
      <c r="C211" s="63" t="str">
        <f t="shared" si="0"/>
        <v/>
      </c>
      <c r="D211" s="64" t="str">
        <f t="shared" si="1"/>
        <v/>
      </c>
      <c r="E211" s="68"/>
      <c r="F211" s="66" t="str">
        <f t="shared" si="2"/>
        <v/>
      </c>
      <c r="G211" s="67"/>
      <c r="H211" s="67"/>
      <c r="I211" s="67"/>
      <c r="J211" s="68"/>
      <c r="L211" s="51" t="str">
        <f t="shared" si="3"/>
        <v/>
      </c>
      <c r="M211" s="51" t="str">
        <f t="shared" si="7"/>
        <v/>
      </c>
    </row>
    <row r="212" spans="1:13" ht="15.75" customHeight="1">
      <c r="A212" s="79" t="str">
        <f>IF(E212="","",VLOOKUP('OPĆI DIO'!$C$3,'OPĆI DIO'!$L$6:$U$120,10,FALSE))</f>
        <v/>
      </c>
      <c r="B212" s="79" t="str">
        <f>IF(E212="","",VLOOKUP('OPĆI DIO'!$C$3,'OPĆI DIO'!$L$6:$U$120,9,FALSE))</f>
        <v/>
      </c>
      <c r="C212" s="63" t="str">
        <f t="shared" si="0"/>
        <v/>
      </c>
      <c r="D212" s="64" t="str">
        <f t="shared" si="1"/>
        <v/>
      </c>
      <c r="E212" s="68"/>
      <c r="F212" s="66" t="str">
        <f t="shared" si="2"/>
        <v/>
      </c>
      <c r="G212" s="67"/>
      <c r="H212" s="67"/>
      <c r="I212" s="67"/>
      <c r="J212" s="68"/>
      <c r="L212" s="51" t="str">
        <f t="shared" si="3"/>
        <v/>
      </c>
      <c r="M212" s="51" t="str">
        <f t="shared" si="7"/>
        <v/>
      </c>
    </row>
    <row r="213" spans="1:13" ht="15.75" customHeight="1">
      <c r="A213" s="79" t="str">
        <f>IF(E213="","",VLOOKUP('OPĆI DIO'!$C$3,'OPĆI DIO'!$L$6:$U$120,10,FALSE))</f>
        <v/>
      </c>
      <c r="B213" s="79" t="str">
        <f>IF(E213="","",VLOOKUP('OPĆI DIO'!$C$3,'OPĆI DIO'!$L$6:$U$120,9,FALSE))</f>
        <v/>
      </c>
      <c r="C213" s="63" t="str">
        <f t="shared" si="0"/>
        <v/>
      </c>
      <c r="D213" s="64" t="str">
        <f t="shared" si="1"/>
        <v/>
      </c>
      <c r="E213" s="68"/>
      <c r="F213" s="66" t="str">
        <f t="shared" si="2"/>
        <v/>
      </c>
      <c r="G213" s="67"/>
      <c r="H213" s="67"/>
      <c r="I213" s="67"/>
      <c r="J213" s="68"/>
      <c r="L213" s="51" t="str">
        <f t="shared" si="3"/>
        <v/>
      </c>
      <c r="M213" s="51" t="str">
        <f t="shared" si="7"/>
        <v/>
      </c>
    </row>
    <row r="214" spans="1:13" ht="15.75" customHeight="1">
      <c r="A214" s="79" t="str">
        <f>IF(E214="","",VLOOKUP('OPĆI DIO'!$C$3,'OPĆI DIO'!$L$6:$U$120,10,FALSE))</f>
        <v/>
      </c>
      <c r="B214" s="79" t="str">
        <f>IF(E214="","",VLOOKUP('OPĆI DIO'!$C$3,'OPĆI DIO'!$L$6:$U$120,9,FALSE))</f>
        <v/>
      </c>
      <c r="C214" s="63" t="str">
        <f t="shared" si="0"/>
        <v/>
      </c>
      <c r="D214" s="64" t="str">
        <f t="shared" si="1"/>
        <v/>
      </c>
      <c r="E214" s="68"/>
      <c r="F214" s="66" t="str">
        <f t="shared" si="2"/>
        <v/>
      </c>
      <c r="G214" s="67"/>
      <c r="H214" s="67"/>
      <c r="I214" s="67"/>
      <c r="J214" s="68"/>
      <c r="L214" s="51" t="str">
        <f t="shared" si="3"/>
        <v/>
      </c>
      <c r="M214" s="51" t="str">
        <f t="shared" si="7"/>
        <v/>
      </c>
    </row>
    <row r="215" spans="1:13" ht="15.75" customHeight="1">
      <c r="A215" s="79" t="str">
        <f>IF(E215="","",VLOOKUP('OPĆI DIO'!$C$3,'OPĆI DIO'!$L$6:$U$120,10,FALSE))</f>
        <v/>
      </c>
      <c r="B215" s="79" t="str">
        <f>IF(E215="","",VLOOKUP('OPĆI DIO'!$C$3,'OPĆI DIO'!$L$6:$U$120,9,FALSE))</f>
        <v/>
      </c>
      <c r="C215" s="63" t="str">
        <f t="shared" si="0"/>
        <v/>
      </c>
      <c r="D215" s="64" t="str">
        <f t="shared" si="1"/>
        <v/>
      </c>
      <c r="E215" s="68"/>
      <c r="F215" s="66" t="str">
        <f t="shared" si="2"/>
        <v/>
      </c>
      <c r="G215" s="67"/>
      <c r="H215" s="67"/>
      <c r="I215" s="67"/>
      <c r="J215" s="68"/>
      <c r="L215" s="51" t="str">
        <f t="shared" si="3"/>
        <v/>
      </c>
      <c r="M215" s="51" t="str">
        <f t="shared" si="7"/>
        <v/>
      </c>
    </row>
    <row r="216" spans="1:13" ht="15.75" customHeight="1">
      <c r="A216" s="79" t="str">
        <f>IF(E216="","",VLOOKUP('OPĆI DIO'!$C$3,'OPĆI DIO'!$L$6:$U$120,10,FALSE))</f>
        <v/>
      </c>
      <c r="B216" s="79" t="str">
        <f>IF(E216="","",VLOOKUP('OPĆI DIO'!$C$3,'OPĆI DIO'!$L$6:$U$120,9,FALSE))</f>
        <v/>
      </c>
      <c r="C216" s="63" t="str">
        <f t="shared" si="0"/>
        <v/>
      </c>
      <c r="D216" s="64" t="str">
        <f t="shared" si="1"/>
        <v/>
      </c>
      <c r="E216" s="68"/>
      <c r="F216" s="66" t="str">
        <f t="shared" si="2"/>
        <v/>
      </c>
      <c r="G216" s="67"/>
      <c r="H216" s="67"/>
      <c r="I216" s="67"/>
      <c r="J216" s="68"/>
      <c r="L216" s="51" t="str">
        <f t="shared" si="3"/>
        <v/>
      </c>
      <c r="M216" s="51" t="str">
        <f t="shared" si="7"/>
        <v/>
      </c>
    </row>
    <row r="217" spans="1:13" ht="15.75" customHeight="1">
      <c r="A217" s="79" t="str">
        <f>IF(E217="","",VLOOKUP('OPĆI DIO'!$C$3,'OPĆI DIO'!$L$6:$U$120,10,FALSE))</f>
        <v/>
      </c>
      <c r="B217" s="79" t="str">
        <f>IF(E217="","",VLOOKUP('OPĆI DIO'!$C$3,'OPĆI DIO'!$L$6:$U$120,9,FALSE))</f>
        <v/>
      </c>
      <c r="C217" s="63" t="str">
        <f t="shared" si="0"/>
        <v/>
      </c>
      <c r="D217" s="64" t="str">
        <f t="shared" si="1"/>
        <v/>
      </c>
      <c r="E217" s="68"/>
      <c r="F217" s="66" t="str">
        <f t="shared" si="2"/>
        <v/>
      </c>
      <c r="G217" s="67"/>
      <c r="H217" s="67"/>
      <c r="I217" s="67"/>
      <c r="J217" s="68"/>
      <c r="L217" s="51" t="str">
        <f t="shared" si="3"/>
        <v/>
      </c>
      <c r="M217" s="51" t="str">
        <f t="shared" si="7"/>
        <v/>
      </c>
    </row>
    <row r="218" spans="1:13" ht="15.75" customHeight="1">
      <c r="A218" s="79" t="str">
        <f>IF(E218="","",VLOOKUP('OPĆI DIO'!$C$3,'OPĆI DIO'!$L$6:$U$120,10,FALSE))</f>
        <v/>
      </c>
      <c r="B218" s="79" t="str">
        <f>IF(E218="","",VLOOKUP('OPĆI DIO'!$C$3,'OPĆI DIO'!$L$6:$U$120,9,FALSE))</f>
        <v/>
      </c>
      <c r="C218" s="63" t="str">
        <f t="shared" si="0"/>
        <v/>
      </c>
      <c r="D218" s="64" t="str">
        <f t="shared" si="1"/>
        <v/>
      </c>
      <c r="E218" s="68"/>
      <c r="F218" s="66" t="str">
        <f t="shared" si="2"/>
        <v/>
      </c>
      <c r="G218" s="67"/>
      <c r="H218" s="67"/>
      <c r="I218" s="67"/>
      <c r="J218" s="68"/>
      <c r="L218" s="51" t="str">
        <f t="shared" si="3"/>
        <v/>
      </c>
      <c r="M218" s="51" t="str">
        <f t="shared" si="7"/>
        <v/>
      </c>
    </row>
    <row r="219" spans="1:13" ht="15.75" customHeight="1">
      <c r="A219" s="79" t="str">
        <f>IF(E219="","",VLOOKUP('OPĆI DIO'!$C$3,'OPĆI DIO'!$L$6:$U$120,10,FALSE))</f>
        <v/>
      </c>
      <c r="B219" s="79" t="str">
        <f>IF(E219="","",VLOOKUP('OPĆI DIO'!$C$3,'OPĆI DIO'!$L$6:$U$120,9,FALSE))</f>
        <v/>
      </c>
      <c r="C219" s="63" t="str">
        <f t="shared" si="0"/>
        <v/>
      </c>
      <c r="D219" s="64" t="str">
        <f t="shared" si="1"/>
        <v/>
      </c>
      <c r="E219" s="68"/>
      <c r="F219" s="66" t="str">
        <f t="shared" si="2"/>
        <v/>
      </c>
      <c r="G219" s="67"/>
      <c r="H219" s="67"/>
      <c r="I219" s="67"/>
      <c r="J219" s="68"/>
      <c r="L219" s="51" t="str">
        <f t="shared" si="3"/>
        <v/>
      </c>
      <c r="M219" s="51" t="str">
        <f t="shared" si="7"/>
        <v/>
      </c>
    </row>
    <row r="220" spans="1:13" ht="15.75" customHeight="1">
      <c r="A220" s="79" t="str">
        <f>IF(E220="","",VLOOKUP('OPĆI DIO'!$C$3,'OPĆI DIO'!$L$6:$U$120,10,FALSE))</f>
        <v/>
      </c>
      <c r="B220" s="79" t="str">
        <f>IF(E220="","",VLOOKUP('OPĆI DIO'!$C$3,'OPĆI DIO'!$L$6:$U$120,9,FALSE))</f>
        <v/>
      </c>
      <c r="C220" s="63" t="str">
        <f t="shared" si="0"/>
        <v/>
      </c>
      <c r="D220" s="64" t="str">
        <f t="shared" si="1"/>
        <v/>
      </c>
      <c r="E220" s="68"/>
      <c r="F220" s="66" t="str">
        <f t="shared" si="2"/>
        <v/>
      </c>
      <c r="G220" s="67"/>
      <c r="H220" s="67"/>
      <c r="I220" s="67"/>
      <c r="J220" s="68"/>
      <c r="L220" s="51" t="str">
        <f t="shared" si="3"/>
        <v/>
      </c>
      <c r="M220" s="51" t="str">
        <f t="shared" si="7"/>
        <v/>
      </c>
    </row>
    <row r="221" spans="1:13" ht="15.75" customHeight="1">
      <c r="A221" s="79" t="str">
        <f>IF(E221="","",VLOOKUP('OPĆI DIO'!$C$3,'OPĆI DIO'!$L$6:$U$120,10,FALSE))</f>
        <v/>
      </c>
      <c r="B221" s="79" t="str">
        <f>IF(E221="","",VLOOKUP('OPĆI DIO'!$C$3,'OPĆI DIO'!$L$6:$U$120,9,FALSE))</f>
        <v/>
      </c>
      <c r="C221" s="63" t="str">
        <f t="shared" si="0"/>
        <v/>
      </c>
      <c r="D221" s="64" t="str">
        <f t="shared" si="1"/>
        <v/>
      </c>
      <c r="E221" s="68"/>
      <c r="F221" s="66" t="str">
        <f t="shared" si="2"/>
        <v/>
      </c>
      <c r="G221" s="67"/>
      <c r="H221" s="67"/>
      <c r="I221" s="67"/>
      <c r="J221" s="68"/>
      <c r="L221" s="51" t="str">
        <f t="shared" si="3"/>
        <v/>
      </c>
      <c r="M221" s="51" t="str">
        <f t="shared" si="7"/>
        <v/>
      </c>
    </row>
    <row r="222" spans="1:13" ht="15.75" customHeight="1">
      <c r="A222" s="79" t="str">
        <f>IF(E222="","",VLOOKUP('OPĆI DIO'!$C$3,'OPĆI DIO'!$L$6:$U$120,10,FALSE))</f>
        <v/>
      </c>
      <c r="B222" s="79" t="str">
        <f>IF(E222="","",VLOOKUP('OPĆI DIO'!$C$3,'OPĆI DIO'!$L$6:$U$120,9,FALSE))</f>
        <v/>
      </c>
      <c r="C222" s="63" t="str">
        <f t="shared" si="0"/>
        <v/>
      </c>
      <c r="D222" s="64" t="str">
        <f t="shared" si="1"/>
        <v/>
      </c>
      <c r="E222" s="68"/>
      <c r="F222" s="66" t="str">
        <f t="shared" si="2"/>
        <v/>
      </c>
      <c r="G222" s="67"/>
      <c r="H222" s="67"/>
      <c r="I222" s="67"/>
      <c r="J222" s="68"/>
      <c r="L222" s="51" t="str">
        <f t="shared" si="3"/>
        <v/>
      </c>
      <c r="M222" s="51" t="str">
        <f t="shared" si="7"/>
        <v/>
      </c>
    </row>
    <row r="223" spans="1:13" ht="15.75" customHeight="1">
      <c r="A223" s="79" t="str">
        <f>IF(E223="","",VLOOKUP('OPĆI DIO'!$C$3,'OPĆI DIO'!$L$6:$U$120,10,FALSE))</f>
        <v/>
      </c>
      <c r="B223" s="79" t="str">
        <f>IF(E223="","",VLOOKUP('OPĆI DIO'!$C$3,'OPĆI DIO'!$L$6:$U$120,9,FALSE))</f>
        <v/>
      </c>
      <c r="C223" s="63" t="str">
        <f t="shared" si="0"/>
        <v/>
      </c>
      <c r="D223" s="64" t="str">
        <f t="shared" si="1"/>
        <v/>
      </c>
      <c r="E223" s="68"/>
      <c r="F223" s="66" t="str">
        <f t="shared" si="2"/>
        <v/>
      </c>
      <c r="G223" s="67"/>
      <c r="H223" s="67"/>
      <c r="I223" s="67"/>
      <c r="J223" s="68"/>
      <c r="L223" s="51" t="str">
        <f t="shared" si="3"/>
        <v/>
      </c>
      <c r="M223" s="51" t="str">
        <f t="shared" si="7"/>
        <v/>
      </c>
    </row>
    <row r="224" spans="1:13" ht="15.75" customHeight="1">
      <c r="A224" s="79" t="str">
        <f>IF(E224="","",VLOOKUP('OPĆI DIO'!$C$3,'OPĆI DIO'!$L$6:$U$120,10,FALSE))</f>
        <v/>
      </c>
      <c r="B224" s="79" t="str">
        <f>IF(E224="","",VLOOKUP('OPĆI DIO'!$C$3,'OPĆI DIO'!$L$6:$U$120,9,FALSE))</f>
        <v/>
      </c>
      <c r="C224" s="63" t="str">
        <f t="shared" si="0"/>
        <v/>
      </c>
      <c r="D224" s="64" t="str">
        <f t="shared" si="1"/>
        <v/>
      </c>
      <c r="E224" s="68"/>
      <c r="F224" s="66" t="str">
        <f t="shared" si="2"/>
        <v/>
      </c>
      <c r="G224" s="67"/>
      <c r="H224" s="67"/>
      <c r="I224" s="67"/>
      <c r="J224" s="68"/>
      <c r="L224" s="51" t="str">
        <f t="shared" si="3"/>
        <v/>
      </c>
      <c r="M224" s="51" t="str">
        <f t="shared" si="7"/>
        <v/>
      </c>
    </row>
    <row r="225" spans="1:13" ht="15.75" customHeight="1">
      <c r="A225" s="79" t="str">
        <f>IF(E225="","",VLOOKUP('OPĆI DIO'!$C$3,'OPĆI DIO'!$L$6:$U$120,10,FALSE))</f>
        <v/>
      </c>
      <c r="B225" s="79" t="str">
        <f>IF(E225="","",VLOOKUP('OPĆI DIO'!$C$3,'OPĆI DIO'!$L$6:$U$120,9,FALSE))</f>
        <v/>
      </c>
      <c r="C225" s="63" t="str">
        <f t="shared" si="0"/>
        <v/>
      </c>
      <c r="D225" s="64" t="str">
        <f t="shared" si="1"/>
        <v/>
      </c>
      <c r="E225" s="68"/>
      <c r="F225" s="66" t="str">
        <f t="shared" si="2"/>
        <v/>
      </c>
      <c r="G225" s="67"/>
      <c r="H225" s="67"/>
      <c r="I225" s="67"/>
      <c r="J225" s="68"/>
      <c r="L225" s="51" t="str">
        <f t="shared" si="3"/>
        <v/>
      </c>
      <c r="M225" s="51" t="str">
        <f t="shared" si="7"/>
        <v/>
      </c>
    </row>
    <row r="226" spans="1:13" ht="15.75" customHeight="1">
      <c r="A226" s="79" t="str">
        <f>IF(E226="","",VLOOKUP('OPĆI DIO'!$C$3,'OPĆI DIO'!$L$6:$U$120,10,FALSE))</f>
        <v/>
      </c>
      <c r="B226" s="79" t="str">
        <f>IF(E226="","",VLOOKUP('OPĆI DIO'!$C$3,'OPĆI DIO'!$L$6:$U$120,9,FALSE))</f>
        <v/>
      </c>
      <c r="C226" s="63" t="str">
        <f t="shared" si="0"/>
        <v/>
      </c>
      <c r="D226" s="64" t="str">
        <f t="shared" si="1"/>
        <v/>
      </c>
      <c r="E226" s="68"/>
      <c r="F226" s="66" t="str">
        <f t="shared" si="2"/>
        <v/>
      </c>
      <c r="G226" s="67"/>
      <c r="H226" s="67"/>
      <c r="I226" s="67"/>
      <c r="J226" s="68"/>
      <c r="L226" s="51" t="str">
        <f t="shared" si="3"/>
        <v/>
      </c>
      <c r="M226" s="51" t="str">
        <f t="shared" si="7"/>
        <v/>
      </c>
    </row>
    <row r="227" spans="1:13" ht="15.75" customHeight="1">
      <c r="A227" s="79" t="str">
        <f>IF(E227="","",VLOOKUP('OPĆI DIO'!$C$3,'OPĆI DIO'!$L$6:$U$120,10,FALSE))</f>
        <v/>
      </c>
      <c r="B227" s="79" t="str">
        <f>IF(E227="","",VLOOKUP('OPĆI DIO'!$C$3,'OPĆI DIO'!$L$6:$U$120,9,FALSE))</f>
        <v/>
      </c>
      <c r="C227" s="63" t="str">
        <f t="shared" si="0"/>
        <v/>
      </c>
      <c r="D227" s="64" t="str">
        <f t="shared" si="1"/>
        <v/>
      </c>
      <c r="E227" s="68"/>
      <c r="F227" s="66" t="str">
        <f t="shared" si="2"/>
        <v/>
      </c>
      <c r="G227" s="67"/>
      <c r="H227" s="67"/>
      <c r="I227" s="67"/>
      <c r="J227" s="68"/>
      <c r="L227" s="51" t="str">
        <f t="shared" si="3"/>
        <v/>
      </c>
      <c r="M227" s="51" t="str">
        <f t="shared" si="7"/>
        <v/>
      </c>
    </row>
    <row r="228" spans="1:13" ht="15.75" customHeight="1">
      <c r="A228" s="79" t="str">
        <f>IF(E228="","",VLOOKUP('OPĆI DIO'!$C$3,'OPĆI DIO'!$L$6:$U$120,10,FALSE))</f>
        <v/>
      </c>
      <c r="B228" s="79" t="str">
        <f>IF(E228="","",VLOOKUP('OPĆI DIO'!$C$3,'OPĆI DIO'!$L$6:$U$120,9,FALSE))</f>
        <v/>
      </c>
      <c r="C228" s="63" t="str">
        <f t="shared" si="0"/>
        <v/>
      </c>
      <c r="D228" s="64" t="str">
        <f t="shared" si="1"/>
        <v/>
      </c>
      <c r="E228" s="68"/>
      <c r="F228" s="66" t="str">
        <f t="shared" si="2"/>
        <v/>
      </c>
      <c r="G228" s="67"/>
      <c r="H228" s="67"/>
      <c r="I228" s="67"/>
      <c r="J228" s="68"/>
      <c r="L228" s="51" t="str">
        <f t="shared" si="3"/>
        <v/>
      </c>
      <c r="M228" s="51" t="str">
        <f t="shared" si="7"/>
        <v/>
      </c>
    </row>
    <row r="229" spans="1:13" ht="15.75" customHeight="1">
      <c r="A229" s="79" t="str">
        <f>IF(E229="","",VLOOKUP('OPĆI DIO'!$C$3,'OPĆI DIO'!$L$6:$U$120,10,FALSE))</f>
        <v/>
      </c>
      <c r="B229" s="79" t="str">
        <f>IF(E229="","",VLOOKUP('OPĆI DIO'!$C$3,'OPĆI DIO'!$L$6:$U$120,9,FALSE))</f>
        <v/>
      </c>
      <c r="C229" s="63" t="str">
        <f t="shared" si="0"/>
        <v/>
      </c>
      <c r="D229" s="64" t="str">
        <f t="shared" si="1"/>
        <v/>
      </c>
      <c r="E229" s="68"/>
      <c r="F229" s="66" t="str">
        <f t="shared" si="2"/>
        <v/>
      </c>
      <c r="G229" s="67"/>
      <c r="H229" s="67"/>
      <c r="I229" s="67"/>
      <c r="J229" s="68"/>
      <c r="L229" s="51" t="str">
        <f t="shared" si="3"/>
        <v/>
      </c>
      <c r="M229" s="51" t="str">
        <f t="shared" si="7"/>
        <v/>
      </c>
    </row>
    <row r="230" spans="1:13" ht="15.75" customHeight="1">
      <c r="A230" s="79" t="str">
        <f>IF(E230="","",VLOOKUP('OPĆI DIO'!$C$3,'OPĆI DIO'!$L$6:$U$120,10,FALSE))</f>
        <v/>
      </c>
      <c r="B230" s="79" t="str">
        <f>IF(E230="","",VLOOKUP('OPĆI DIO'!$C$3,'OPĆI DIO'!$L$6:$U$120,9,FALSE))</f>
        <v/>
      </c>
      <c r="C230" s="63" t="str">
        <f t="shared" si="0"/>
        <v/>
      </c>
      <c r="D230" s="64" t="str">
        <f t="shared" si="1"/>
        <v/>
      </c>
      <c r="E230" s="68"/>
      <c r="F230" s="66" t="str">
        <f t="shared" si="2"/>
        <v/>
      </c>
      <c r="G230" s="67"/>
      <c r="H230" s="67"/>
      <c r="I230" s="67"/>
      <c r="J230" s="68"/>
      <c r="L230" s="51" t="str">
        <f t="shared" si="3"/>
        <v/>
      </c>
      <c r="M230" s="51" t="str">
        <f t="shared" si="7"/>
        <v/>
      </c>
    </row>
    <row r="231" spans="1:13" ht="15.75" customHeight="1">
      <c r="A231" s="79" t="str">
        <f>IF(E231="","",VLOOKUP('OPĆI DIO'!$C$3,'OPĆI DIO'!$L$6:$U$120,10,FALSE))</f>
        <v/>
      </c>
      <c r="B231" s="79" t="str">
        <f>IF(E231="","",VLOOKUP('OPĆI DIO'!$C$3,'OPĆI DIO'!$L$6:$U$120,9,FALSE))</f>
        <v/>
      </c>
      <c r="C231" s="63" t="str">
        <f t="shared" si="0"/>
        <v/>
      </c>
      <c r="D231" s="64" t="str">
        <f t="shared" si="1"/>
        <v/>
      </c>
      <c r="E231" s="68"/>
      <c r="F231" s="66" t="str">
        <f t="shared" si="2"/>
        <v/>
      </c>
      <c r="G231" s="67"/>
      <c r="H231" s="67"/>
      <c r="I231" s="67"/>
      <c r="J231" s="68"/>
      <c r="L231" s="51" t="str">
        <f t="shared" si="3"/>
        <v/>
      </c>
      <c r="M231" s="51" t="str">
        <f t="shared" si="7"/>
        <v/>
      </c>
    </row>
    <row r="232" spans="1:13" ht="15.75" customHeight="1">
      <c r="A232" s="79" t="str">
        <f>IF(E232="","",VLOOKUP('OPĆI DIO'!$C$3,'OPĆI DIO'!$L$6:$U$120,10,FALSE))</f>
        <v/>
      </c>
      <c r="B232" s="79" t="str">
        <f>IF(E232="","",VLOOKUP('OPĆI DIO'!$C$3,'OPĆI DIO'!$L$6:$U$120,9,FALSE))</f>
        <v/>
      </c>
      <c r="C232" s="63" t="str">
        <f t="shared" si="0"/>
        <v/>
      </c>
      <c r="D232" s="64" t="str">
        <f t="shared" si="1"/>
        <v/>
      </c>
      <c r="E232" s="68"/>
      <c r="F232" s="66" t="str">
        <f t="shared" si="2"/>
        <v/>
      </c>
      <c r="G232" s="67"/>
      <c r="H232" s="67"/>
      <c r="I232" s="67"/>
      <c r="J232" s="68"/>
      <c r="L232" s="51" t="str">
        <f t="shared" si="3"/>
        <v/>
      </c>
      <c r="M232" s="51" t="str">
        <f t="shared" si="7"/>
        <v/>
      </c>
    </row>
    <row r="233" spans="1:13" ht="15.75" customHeight="1">
      <c r="A233" s="79" t="str">
        <f>IF(E233="","",VLOOKUP('OPĆI DIO'!$C$3,'OPĆI DIO'!$L$6:$U$120,10,FALSE))</f>
        <v/>
      </c>
      <c r="B233" s="79" t="str">
        <f>IF(E233="","",VLOOKUP('OPĆI DIO'!$C$3,'OPĆI DIO'!$L$6:$U$120,9,FALSE))</f>
        <v/>
      </c>
      <c r="C233" s="63" t="str">
        <f t="shared" si="0"/>
        <v/>
      </c>
      <c r="D233" s="64" t="str">
        <f t="shared" si="1"/>
        <v/>
      </c>
      <c r="E233" s="68"/>
      <c r="F233" s="66" t="str">
        <f t="shared" si="2"/>
        <v/>
      </c>
      <c r="G233" s="67"/>
      <c r="H233" s="67"/>
      <c r="I233" s="67"/>
      <c r="J233" s="68"/>
      <c r="L233" s="51" t="str">
        <f t="shared" si="3"/>
        <v/>
      </c>
      <c r="M233" s="51" t="str">
        <f t="shared" si="7"/>
        <v/>
      </c>
    </row>
    <row r="234" spans="1:13" ht="15.75" customHeight="1">
      <c r="A234" s="79" t="str">
        <f>IF(E234="","",VLOOKUP('OPĆI DIO'!$C$3,'OPĆI DIO'!$L$6:$U$120,10,FALSE))</f>
        <v/>
      </c>
      <c r="B234" s="79" t="str">
        <f>IF(E234="","",VLOOKUP('OPĆI DIO'!$C$3,'OPĆI DIO'!$L$6:$U$120,9,FALSE))</f>
        <v/>
      </c>
      <c r="C234" s="63" t="str">
        <f t="shared" si="0"/>
        <v/>
      </c>
      <c r="D234" s="64" t="str">
        <f t="shared" si="1"/>
        <v/>
      </c>
      <c r="E234" s="68"/>
      <c r="F234" s="66" t="str">
        <f t="shared" si="2"/>
        <v/>
      </c>
      <c r="G234" s="67"/>
      <c r="H234" s="67"/>
      <c r="I234" s="67"/>
      <c r="J234" s="68"/>
      <c r="L234" s="51" t="str">
        <f t="shared" si="3"/>
        <v/>
      </c>
      <c r="M234" s="51" t="str">
        <f t="shared" si="7"/>
        <v/>
      </c>
    </row>
    <row r="235" spans="1:13" ht="15.75" customHeight="1">
      <c r="A235" s="79" t="str">
        <f>IF(E235="","",VLOOKUP('OPĆI DIO'!$C$3,'OPĆI DIO'!$L$6:$U$120,10,FALSE))</f>
        <v/>
      </c>
      <c r="B235" s="79" t="str">
        <f>IF(E235="","",VLOOKUP('OPĆI DIO'!$C$3,'OPĆI DIO'!$L$6:$U$120,9,FALSE))</f>
        <v/>
      </c>
      <c r="C235" s="63" t="str">
        <f t="shared" si="0"/>
        <v/>
      </c>
      <c r="D235" s="64" t="str">
        <f t="shared" si="1"/>
        <v/>
      </c>
      <c r="E235" s="68"/>
      <c r="F235" s="66" t="str">
        <f t="shared" si="2"/>
        <v/>
      </c>
      <c r="G235" s="67"/>
      <c r="H235" s="67"/>
      <c r="I235" s="67"/>
      <c r="J235" s="68"/>
      <c r="L235" s="51" t="str">
        <f t="shared" si="3"/>
        <v/>
      </c>
      <c r="M235" s="51" t="str">
        <f t="shared" si="7"/>
        <v/>
      </c>
    </row>
    <row r="236" spans="1:13" ht="15.75" customHeight="1">
      <c r="A236" s="79" t="str">
        <f>IF(E236="","",VLOOKUP('OPĆI DIO'!$C$3,'OPĆI DIO'!$L$6:$U$120,10,FALSE))</f>
        <v/>
      </c>
      <c r="B236" s="79" t="str">
        <f>IF(E236="","",VLOOKUP('OPĆI DIO'!$C$3,'OPĆI DIO'!$L$6:$U$120,9,FALSE))</f>
        <v/>
      </c>
      <c r="C236" s="63" t="str">
        <f t="shared" si="0"/>
        <v/>
      </c>
      <c r="D236" s="64" t="str">
        <f t="shared" si="1"/>
        <v/>
      </c>
      <c r="E236" s="68"/>
      <c r="F236" s="66" t="str">
        <f t="shared" si="2"/>
        <v/>
      </c>
      <c r="G236" s="67"/>
      <c r="H236" s="67"/>
      <c r="I236" s="67"/>
      <c r="J236" s="68"/>
      <c r="L236" s="51" t="str">
        <f t="shared" si="3"/>
        <v/>
      </c>
      <c r="M236" s="51" t="str">
        <f t="shared" si="7"/>
        <v/>
      </c>
    </row>
    <row r="237" spans="1:13" ht="15.75" customHeight="1">
      <c r="A237" s="79" t="str">
        <f>IF(E237="","",VLOOKUP('OPĆI DIO'!$C$3,'OPĆI DIO'!$L$6:$U$120,10,FALSE))</f>
        <v/>
      </c>
      <c r="B237" s="79" t="str">
        <f>IF(E237="","",VLOOKUP('OPĆI DIO'!$C$3,'OPĆI DIO'!$L$6:$U$120,9,FALSE))</f>
        <v/>
      </c>
      <c r="C237" s="63" t="str">
        <f t="shared" si="0"/>
        <v/>
      </c>
      <c r="D237" s="64" t="str">
        <f t="shared" si="1"/>
        <v/>
      </c>
      <c r="E237" s="68"/>
      <c r="F237" s="66" t="str">
        <f t="shared" si="2"/>
        <v/>
      </c>
      <c r="G237" s="67"/>
      <c r="H237" s="67"/>
      <c r="I237" s="67"/>
      <c r="J237" s="68"/>
      <c r="L237" s="51" t="str">
        <f t="shared" si="3"/>
        <v/>
      </c>
      <c r="M237" s="51" t="str">
        <f t="shared" si="7"/>
        <v/>
      </c>
    </row>
    <row r="238" spans="1:13" ht="15.75" customHeight="1">
      <c r="A238" s="79" t="str">
        <f>IF(E238="","",VLOOKUP('OPĆI DIO'!$C$3,'OPĆI DIO'!$L$6:$U$120,10,FALSE))</f>
        <v/>
      </c>
      <c r="B238" s="79" t="str">
        <f>IF(E238="","",VLOOKUP('OPĆI DIO'!$C$3,'OPĆI DIO'!$L$6:$U$120,9,FALSE))</f>
        <v/>
      </c>
      <c r="C238" s="63" t="str">
        <f t="shared" si="0"/>
        <v/>
      </c>
      <c r="D238" s="64" t="str">
        <f t="shared" si="1"/>
        <v/>
      </c>
      <c r="E238" s="68"/>
      <c r="F238" s="66" t="str">
        <f t="shared" si="2"/>
        <v/>
      </c>
      <c r="G238" s="67"/>
      <c r="H238" s="67"/>
      <c r="I238" s="67"/>
      <c r="J238" s="68"/>
      <c r="L238" s="51" t="str">
        <f t="shared" si="3"/>
        <v/>
      </c>
      <c r="M238" s="51" t="str">
        <f t="shared" si="7"/>
        <v/>
      </c>
    </row>
    <row r="239" spans="1:13" ht="15.75" customHeight="1">
      <c r="A239" s="79" t="str">
        <f>IF(E239="","",VLOOKUP('OPĆI DIO'!$C$3,'OPĆI DIO'!$L$6:$U$120,10,FALSE))</f>
        <v/>
      </c>
      <c r="B239" s="79" t="str">
        <f>IF(E239="","",VLOOKUP('OPĆI DIO'!$C$3,'OPĆI DIO'!$L$6:$U$120,9,FALSE))</f>
        <v/>
      </c>
      <c r="C239" s="63" t="str">
        <f t="shared" si="0"/>
        <v/>
      </c>
      <c r="D239" s="64" t="str">
        <f t="shared" si="1"/>
        <v/>
      </c>
      <c r="E239" s="68"/>
      <c r="F239" s="66" t="str">
        <f t="shared" si="2"/>
        <v/>
      </c>
      <c r="G239" s="67"/>
      <c r="H239" s="67"/>
      <c r="I239" s="67"/>
      <c r="J239" s="68"/>
      <c r="L239" s="51" t="str">
        <f t="shared" si="3"/>
        <v/>
      </c>
      <c r="M239" s="51" t="str">
        <f t="shared" si="7"/>
        <v/>
      </c>
    </row>
    <row r="240" spans="1:13" ht="15.75" customHeight="1">
      <c r="A240" s="79" t="str">
        <f>IF(E240="","",VLOOKUP('OPĆI DIO'!$C$3,'OPĆI DIO'!$L$6:$U$120,10,FALSE))</f>
        <v/>
      </c>
      <c r="B240" s="79" t="str">
        <f>IF(E240="","",VLOOKUP('OPĆI DIO'!$C$3,'OPĆI DIO'!$L$6:$U$120,9,FALSE))</f>
        <v/>
      </c>
      <c r="C240" s="63" t="str">
        <f t="shared" si="0"/>
        <v/>
      </c>
      <c r="D240" s="64" t="str">
        <f t="shared" si="1"/>
        <v/>
      </c>
      <c r="E240" s="68"/>
      <c r="F240" s="66" t="str">
        <f t="shared" si="2"/>
        <v/>
      </c>
      <c r="G240" s="67"/>
      <c r="H240" s="67"/>
      <c r="I240" s="67"/>
      <c r="J240" s="68"/>
      <c r="L240" s="51" t="str">
        <f t="shared" si="3"/>
        <v/>
      </c>
      <c r="M240" s="51" t="str">
        <f t="shared" si="7"/>
        <v/>
      </c>
    </row>
    <row r="241" spans="1:13" ht="15.75" customHeight="1">
      <c r="A241" s="79" t="str">
        <f>IF(E241="","",VLOOKUP('OPĆI DIO'!$C$3,'OPĆI DIO'!$L$6:$U$120,10,FALSE))</f>
        <v/>
      </c>
      <c r="B241" s="79" t="str">
        <f>IF(E241="","",VLOOKUP('OPĆI DIO'!$C$3,'OPĆI DIO'!$L$6:$U$120,9,FALSE))</f>
        <v/>
      </c>
      <c r="C241" s="63" t="str">
        <f t="shared" si="0"/>
        <v/>
      </c>
      <c r="D241" s="64" t="str">
        <f t="shared" si="1"/>
        <v/>
      </c>
      <c r="E241" s="68"/>
      <c r="F241" s="66" t="str">
        <f t="shared" si="2"/>
        <v/>
      </c>
      <c r="G241" s="67"/>
      <c r="H241" s="67"/>
      <c r="I241" s="67"/>
      <c r="J241" s="68"/>
      <c r="L241" s="51" t="str">
        <f t="shared" si="3"/>
        <v/>
      </c>
      <c r="M241" s="51" t="str">
        <f t="shared" si="7"/>
        <v/>
      </c>
    </row>
    <row r="242" spans="1:13" ht="15.75" customHeight="1">
      <c r="A242" s="79" t="str">
        <f>IF(E242="","",VLOOKUP('OPĆI DIO'!$C$3,'OPĆI DIO'!$L$6:$U$120,10,FALSE))</f>
        <v/>
      </c>
      <c r="B242" s="79" t="str">
        <f>IF(E242="","",VLOOKUP('OPĆI DIO'!$C$3,'OPĆI DIO'!$L$6:$U$120,9,FALSE))</f>
        <v/>
      </c>
      <c r="C242" s="63" t="str">
        <f t="shared" si="0"/>
        <v/>
      </c>
      <c r="D242" s="64" t="str">
        <f t="shared" si="1"/>
        <v/>
      </c>
      <c r="E242" s="68"/>
      <c r="F242" s="66" t="str">
        <f t="shared" si="2"/>
        <v/>
      </c>
      <c r="G242" s="67"/>
      <c r="H242" s="67"/>
      <c r="I242" s="67"/>
      <c r="J242" s="68"/>
      <c r="L242" s="51" t="str">
        <f t="shared" si="3"/>
        <v/>
      </c>
      <c r="M242" s="51" t="str">
        <f t="shared" si="7"/>
        <v/>
      </c>
    </row>
    <row r="243" spans="1:13" ht="15.75" customHeight="1">
      <c r="A243" s="79" t="str">
        <f>IF(E243="","",VLOOKUP('OPĆI DIO'!$C$3,'OPĆI DIO'!$L$6:$U$120,10,FALSE))</f>
        <v/>
      </c>
      <c r="B243" s="79" t="str">
        <f>IF(E243="","",VLOOKUP('OPĆI DIO'!$C$3,'OPĆI DIO'!$L$6:$U$120,9,FALSE))</f>
        <v/>
      </c>
      <c r="C243" s="63" t="str">
        <f t="shared" si="0"/>
        <v/>
      </c>
      <c r="D243" s="64" t="str">
        <f t="shared" si="1"/>
        <v/>
      </c>
      <c r="E243" s="68"/>
      <c r="F243" s="66" t="str">
        <f t="shared" si="2"/>
        <v/>
      </c>
      <c r="G243" s="67"/>
      <c r="H243" s="67"/>
      <c r="I243" s="67"/>
      <c r="J243" s="68"/>
      <c r="L243" s="51" t="str">
        <f t="shared" si="3"/>
        <v/>
      </c>
      <c r="M243" s="51" t="str">
        <f t="shared" si="7"/>
        <v/>
      </c>
    </row>
    <row r="244" spans="1:13" ht="15.75" customHeight="1">
      <c r="A244" s="79" t="str">
        <f>IF(E244="","",VLOOKUP('OPĆI DIO'!$C$3,'OPĆI DIO'!$L$6:$U$120,10,FALSE))</f>
        <v/>
      </c>
      <c r="B244" s="79" t="str">
        <f>IF(E244="","",VLOOKUP('OPĆI DIO'!$C$3,'OPĆI DIO'!$L$6:$U$120,9,FALSE))</f>
        <v/>
      </c>
      <c r="C244" s="63" t="str">
        <f t="shared" si="0"/>
        <v/>
      </c>
      <c r="D244" s="64" t="str">
        <f t="shared" si="1"/>
        <v/>
      </c>
      <c r="E244" s="68"/>
      <c r="F244" s="66" t="str">
        <f t="shared" si="2"/>
        <v/>
      </c>
      <c r="G244" s="67"/>
      <c r="H244" s="67"/>
      <c r="I244" s="67"/>
      <c r="J244" s="68"/>
      <c r="L244" s="51" t="str">
        <f t="shared" si="3"/>
        <v/>
      </c>
      <c r="M244" s="51" t="str">
        <f t="shared" si="7"/>
        <v/>
      </c>
    </row>
    <row r="245" spans="1:13" ht="15.75" customHeight="1">
      <c r="A245" s="79" t="str">
        <f>IF(E245="","",VLOOKUP('OPĆI DIO'!$C$3,'OPĆI DIO'!$L$6:$U$120,10,FALSE))</f>
        <v/>
      </c>
      <c r="B245" s="79" t="str">
        <f>IF(E245="","",VLOOKUP('OPĆI DIO'!$C$3,'OPĆI DIO'!$L$6:$U$120,9,FALSE))</f>
        <v/>
      </c>
      <c r="C245" s="63" t="str">
        <f t="shared" si="0"/>
        <v/>
      </c>
      <c r="D245" s="64" t="str">
        <f t="shared" si="1"/>
        <v/>
      </c>
      <c r="E245" s="68"/>
      <c r="F245" s="66" t="str">
        <f t="shared" si="2"/>
        <v/>
      </c>
      <c r="G245" s="67"/>
      <c r="H245" s="67"/>
      <c r="I245" s="67"/>
      <c r="J245" s="68"/>
      <c r="L245" s="51" t="str">
        <f t="shared" si="3"/>
        <v/>
      </c>
      <c r="M245" s="51" t="str">
        <f t="shared" si="7"/>
        <v/>
      </c>
    </row>
    <row r="246" spans="1:13" ht="15.75" customHeight="1">
      <c r="A246" s="79" t="str">
        <f>IF(E246="","",VLOOKUP('OPĆI DIO'!$C$3,'OPĆI DIO'!$L$6:$U$120,10,FALSE))</f>
        <v/>
      </c>
      <c r="B246" s="79" t="str">
        <f>IF(E246="","",VLOOKUP('OPĆI DIO'!$C$3,'OPĆI DIO'!$L$6:$U$120,9,FALSE))</f>
        <v/>
      </c>
      <c r="C246" s="63" t="str">
        <f t="shared" si="0"/>
        <v/>
      </c>
      <c r="D246" s="64" t="str">
        <f t="shared" si="1"/>
        <v/>
      </c>
      <c r="E246" s="68"/>
      <c r="F246" s="66" t="str">
        <f t="shared" si="2"/>
        <v/>
      </c>
      <c r="G246" s="67"/>
      <c r="H246" s="67"/>
      <c r="I246" s="67"/>
      <c r="J246" s="68"/>
      <c r="L246" s="51" t="str">
        <f t="shared" si="3"/>
        <v/>
      </c>
      <c r="M246" s="51" t="str">
        <f t="shared" si="7"/>
        <v/>
      </c>
    </row>
    <row r="247" spans="1:13" ht="15.75" customHeight="1">
      <c r="A247" s="79" t="str">
        <f>IF(E247="","",VLOOKUP('OPĆI DIO'!$C$3,'OPĆI DIO'!$L$6:$U$120,10,FALSE))</f>
        <v/>
      </c>
      <c r="B247" s="79" t="str">
        <f>IF(E247="","",VLOOKUP('OPĆI DIO'!$C$3,'OPĆI DIO'!$L$6:$U$120,9,FALSE))</f>
        <v/>
      </c>
      <c r="C247" s="63" t="str">
        <f t="shared" si="0"/>
        <v/>
      </c>
      <c r="D247" s="64" t="str">
        <f t="shared" si="1"/>
        <v/>
      </c>
      <c r="E247" s="68"/>
      <c r="F247" s="66" t="str">
        <f t="shared" si="2"/>
        <v/>
      </c>
      <c r="G247" s="67"/>
      <c r="H247" s="67"/>
      <c r="I247" s="67"/>
      <c r="J247" s="68"/>
      <c r="L247" s="51" t="str">
        <f t="shared" si="3"/>
        <v/>
      </c>
      <c r="M247" s="51" t="str">
        <f t="shared" si="7"/>
        <v/>
      </c>
    </row>
    <row r="248" spans="1:13" ht="15.75" customHeight="1">
      <c r="A248" s="79" t="str">
        <f>IF(E248="","",VLOOKUP('OPĆI DIO'!$C$3,'OPĆI DIO'!$L$6:$U$120,10,FALSE))</f>
        <v/>
      </c>
      <c r="B248" s="79" t="str">
        <f>IF(E248="","",VLOOKUP('OPĆI DIO'!$C$3,'OPĆI DIO'!$L$6:$U$120,9,FALSE))</f>
        <v/>
      </c>
      <c r="C248" s="63" t="str">
        <f t="shared" si="0"/>
        <v/>
      </c>
      <c r="D248" s="64" t="str">
        <f t="shared" si="1"/>
        <v/>
      </c>
      <c r="E248" s="68"/>
      <c r="F248" s="66" t="str">
        <f t="shared" si="2"/>
        <v/>
      </c>
      <c r="G248" s="67"/>
      <c r="H248" s="67"/>
      <c r="I248" s="67"/>
      <c r="J248" s="68"/>
      <c r="L248" s="51" t="str">
        <f t="shared" si="3"/>
        <v/>
      </c>
      <c r="M248" s="51" t="str">
        <f t="shared" si="7"/>
        <v/>
      </c>
    </row>
    <row r="249" spans="1:13" ht="15.75" customHeight="1">
      <c r="A249" s="79" t="str">
        <f>IF(E249="","",VLOOKUP('OPĆI DIO'!$C$3,'OPĆI DIO'!$L$6:$U$120,10,FALSE))</f>
        <v/>
      </c>
      <c r="B249" s="79" t="str">
        <f>IF(E249="","",VLOOKUP('OPĆI DIO'!$C$3,'OPĆI DIO'!$L$6:$U$120,9,FALSE))</f>
        <v/>
      </c>
      <c r="C249" s="63" t="str">
        <f t="shared" si="0"/>
        <v/>
      </c>
      <c r="D249" s="64" t="str">
        <f t="shared" si="1"/>
        <v/>
      </c>
      <c r="E249" s="68"/>
      <c r="F249" s="66" t="str">
        <f t="shared" si="2"/>
        <v/>
      </c>
      <c r="G249" s="67"/>
      <c r="H249" s="67"/>
      <c r="I249" s="67"/>
      <c r="J249" s="68"/>
      <c r="L249" s="51" t="str">
        <f t="shared" si="3"/>
        <v/>
      </c>
      <c r="M249" s="51" t="str">
        <f t="shared" si="7"/>
        <v/>
      </c>
    </row>
    <row r="250" spans="1:13" ht="15.75" customHeight="1">
      <c r="A250" s="79" t="str">
        <f>IF(E250="","",VLOOKUP('OPĆI DIO'!$C$3,'OPĆI DIO'!$L$6:$U$120,10,FALSE))</f>
        <v/>
      </c>
      <c r="B250" s="79" t="str">
        <f>IF(E250="","",VLOOKUP('OPĆI DIO'!$C$3,'OPĆI DIO'!$L$6:$U$120,9,FALSE))</f>
        <v/>
      </c>
      <c r="C250" s="63" t="str">
        <f t="shared" si="0"/>
        <v/>
      </c>
      <c r="D250" s="64" t="str">
        <f t="shared" si="1"/>
        <v/>
      </c>
      <c r="E250" s="68"/>
      <c r="F250" s="66" t="str">
        <f t="shared" si="2"/>
        <v/>
      </c>
      <c r="G250" s="67"/>
      <c r="H250" s="67"/>
      <c r="I250" s="67"/>
      <c r="J250" s="68"/>
      <c r="L250" s="51" t="str">
        <f t="shared" si="3"/>
        <v/>
      </c>
      <c r="M250" s="51" t="str">
        <f t="shared" si="7"/>
        <v/>
      </c>
    </row>
    <row r="251" spans="1:13" ht="15.75" customHeight="1">
      <c r="A251" s="79" t="str">
        <f>IF(E251="","",VLOOKUP('OPĆI DIO'!$C$3,'OPĆI DIO'!$L$6:$U$120,10,FALSE))</f>
        <v/>
      </c>
      <c r="B251" s="79" t="str">
        <f>IF(E251="","",VLOOKUP('OPĆI DIO'!$C$3,'OPĆI DIO'!$L$6:$U$120,9,FALSE))</f>
        <v/>
      </c>
      <c r="C251" s="63" t="str">
        <f t="shared" si="0"/>
        <v/>
      </c>
      <c r="D251" s="64" t="str">
        <f t="shared" si="1"/>
        <v/>
      </c>
      <c r="E251" s="68"/>
      <c r="F251" s="66" t="str">
        <f t="shared" si="2"/>
        <v/>
      </c>
      <c r="G251" s="67"/>
      <c r="H251" s="67"/>
      <c r="I251" s="67"/>
      <c r="J251" s="68"/>
      <c r="L251" s="51" t="str">
        <f t="shared" si="3"/>
        <v/>
      </c>
      <c r="M251" s="51" t="str">
        <f t="shared" si="7"/>
        <v/>
      </c>
    </row>
    <row r="252" spans="1:13" ht="15.75" customHeight="1">
      <c r="A252" s="79" t="str">
        <f>IF(E252="","",VLOOKUP('OPĆI DIO'!$C$3,'OPĆI DIO'!$L$6:$U$120,10,FALSE))</f>
        <v/>
      </c>
      <c r="B252" s="79" t="str">
        <f>IF(E252="","",VLOOKUP('OPĆI DIO'!$C$3,'OPĆI DIO'!$L$6:$U$120,9,FALSE))</f>
        <v/>
      </c>
      <c r="C252" s="63" t="str">
        <f t="shared" si="0"/>
        <v/>
      </c>
      <c r="D252" s="64" t="str">
        <f t="shared" si="1"/>
        <v/>
      </c>
      <c r="E252" s="68"/>
      <c r="F252" s="66" t="str">
        <f t="shared" si="2"/>
        <v/>
      </c>
      <c r="G252" s="67"/>
      <c r="H252" s="67"/>
      <c r="I252" s="67"/>
      <c r="J252" s="68"/>
      <c r="L252" s="51" t="str">
        <f t="shared" si="3"/>
        <v/>
      </c>
      <c r="M252" s="51" t="str">
        <f t="shared" si="7"/>
        <v/>
      </c>
    </row>
    <row r="253" spans="1:13" ht="15.75" customHeight="1">
      <c r="A253" s="79" t="str">
        <f>IF(E253="","",VLOOKUP('OPĆI DIO'!$C$3,'OPĆI DIO'!$L$6:$U$120,10,FALSE))</f>
        <v/>
      </c>
      <c r="B253" s="79" t="str">
        <f>IF(E253="","",VLOOKUP('OPĆI DIO'!$C$3,'OPĆI DIO'!$L$6:$U$120,9,FALSE))</f>
        <v/>
      </c>
      <c r="C253" s="63" t="str">
        <f t="shared" si="0"/>
        <v/>
      </c>
      <c r="D253" s="64" t="str">
        <f t="shared" si="1"/>
        <v/>
      </c>
      <c r="E253" s="68"/>
      <c r="F253" s="66" t="str">
        <f t="shared" si="2"/>
        <v/>
      </c>
      <c r="G253" s="67"/>
      <c r="H253" s="67"/>
      <c r="I253" s="67"/>
      <c r="J253" s="68"/>
      <c r="L253" s="51" t="str">
        <f t="shared" si="3"/>
        <v/>
      </c>
      <c r="M253" s="51" t="str">
        <f t="shared" si="7"/>
        <v/>
      </c>
    </row>
    <row r="254" spans="1:13" ht="15.75" customHeight="1">
      <c r="A254" s="79" t="str">
        <f>IF(E254="","",VLOOKUP('OPĆI DIO'!$C$3,'OPĆI DIO'!$L$6:$U$120,10,FALSE))</f>
        <v/>
      </c>
      <c r="B254" s="79" t="str">
        <f>IF(E254="","",VLOOKUP('OPĆI DIO'!$C$3,'OPĆI DIO'!$L$6:$U$120,9,FALSE))</f>
        <v/>
      </c>
      <c r="C254" s="63" t="str">
        <f t="shared" si="0"/>
        <v/>
      </c>
      <c r="D254" s="64" t="str">
        <f t="shared" si="1"/>
        <v/>
      </c>
      <c r="E254" s="68"/>
      <c r="F254" s="66" t="str">
        <f t="shared" si="2"/>
        <v/>
      </c>
      <c r="G254" s="67"/>
      <c r="H254" s="67"/>
      <c r="I254" s="67"/>
      <c r="J254" s="68"/>
      <c r="L254" s="51" t="str">
        <f t="shared" si="3"/>
        <v/>
      </c>
      <c r="M254" s="51" t="str">
        <f t="shared" si="7"/>
        <v/>
      </c>
    </row>
    <row r="255" spans="1:13" ht="15.75" customHeight="1">
      <c r="A255" s="79" t="str">
        <f>IF(E255="","",VLOOKUP('OPĆI DIO'!$C$3,'OPĆI DIO'!$L$6:$U$120,10,FALSE))</f>
        <v/>
      </c>
      <c r="B255" s="79" t="str">
        <f>IF(E255="","",VLOOKUP('OPĆI DIO'!$C$3,'OPĆI DIO'!$L$6:$U$120,9,FALSE))</f>
        <v/>
      </c>
      <c r="C255" s="63" t="str">
        <f t="shared" si="0"/>
        <v/>
      </c>
      <c r="D255" s="64" t="str">
        <f t="shared" si="1"/>
        <v/>
      </c>
      <c r="E255" s="68"/>
      <c r="F255" s="66" t="str">
        <f t="shared" si="2"/>
        <v/>
      </c>
      <c r="G255" s="67"/>
      <c r="H255" s="67"/>
      <c r="I255" s="67"/>
      <c r="J255" s="68"/>
      <c r="L255" s="51" t="str">
        <f t="shared" si="3"/>
        <v/>
      </c>
      <c r="M255" s="51" t="str">
        <f t="shared" si="7"/>
        <v/>
      </c>
    </row>
    <row r="256" spans="1:13" ht="15.75" customHeight="1">
      <c r="A256" s="79" t="str">
        <f>IF(E256="","",VLOOKUP('OPĆI DIO'!$C$3,'OPĆI DIO'!$L$6:$U$120,10,FALSE))</f>
        <v/>
      </c>
      <c r="B256" s="79" t="str">
        <f>IF(E256="","",VLOOKUP('OPĆI DIO'!$C$3,'OPĆI DIO'!$L$6:$U$120,9,FALSE))</f>
        <v/>
      </c>
      <c r="C256" s="63" t="str">
        <f t="shared" si="0"/>
        <v/>
      </c>
      <c r="D256" s="64" t="str">
        <f t="shared" si="1"/>
        <v/>
      </c>
      <c r="E256" s="68"/>
      <c r="F256" s="66" t="str">
        <f t="shared" si="2"/>
        <v/>
      </c>
      <c r="G256" s="67"/>
      <c r="H256" s="67"/>
      <c r="I256" s="67"/>
      <c r="J256" s="68"/>
      <c r="L256" s="51" t="str">
        <f t="shared" si="3"/>
        <v/>
      </c>
      <c r="M256" s="51" t="str">
        <f t="shared" si="7"/>
        <v/>
      </c>
    </row>
    <row r="257" spans="1:13" ht="15.75" customHeight="1">
      <c r="A257" s="79" t="str">
        <f>IF(E257="","",VLOOKUP('OPĆI DIO'!$C$3,'OPĆI DIO'!$L$6:$U$120,10,FALSE))</f>
        <v/>
      </c>
      <c r="B257" s="79" t="str">
        <f>IF(E257="","",VLOOKUP('OPĆI DIO'!$C$3,'OPĆI DIO'!$L$6:$U$120,9,FALSE))</f>
        <v/>
      </c>
      <c r="C257" s="63" t="str">
        <f t="shared" si="0"/>
        <v/>
      </c>
      <c r="D257" s="64" t="str">
        <f t="shared" si="1"/>
        <v/>
      </c>
      <c r="E257" s="68"/>
      <c r="F257" s="66" t="str">
        <f t="shared" si="2"/>
        <v/>
      </c>
      <c r="G257" s="67"/>
      <c r="H257" s="67"/>
      <c r="I257" s="67"/>
      <c r="J257" s="68"/>
      <c r="L257" s="51" t="str">
        <f t="shared" si="3"/>
        <v/>
      </c>
      <c r="M257" s="51" t="str">
        <f t="shared" si="7"/>
        <v/>
      </c>
    </row>
    <row r="258" spans="1:13" ht="15.75" customHeight="1">
      <c r="A258" s="79" t="str">
        <f>IF(E258="","",VLOOKUP('OPĆI DIO'!$C$3,'OPĆI DIO'!$L$6:$U$120,10,FALSE))</f>
        <v/>
      </c>
      <c r="B258" s="79" t="str">
        <f>IF(E258="","",VLOOKUP('OPĆI DIO'!$C$3,'OPĆI DIO'!$L$6:$U$120,9,FALSE))</f>
        <v/>
      </c>
      <c r="C258" s="63" t="str">
        <f t="shared" si="0"/>
        <v/>
      </c>
      <c r="D258" s="64" t="str">
        <f t="shared" si="1"/>
        <v/>
      </c>
      <c r="E258" s="68"/>
      <c r="F258" s="66" t="str">
        <f t="shared" si="2"/>
        <v/>
      </c>
      <c r="G258" s="67"/>
      <c r="H258" s="67"/>
      <c r="I258" s="67"/>
      <c r="J258" s="68"/>
      <c r="L258" s="51" t="str">
        <f t="shared" si="3"/>
        <v/>
      </c>
      <c r="M258" s="51" t="str">
        <f t="shared" si="7"/>
        <v/>
      </c>
    </row>
    <row r="259" spans="1:13" ht="15.75" customHeight="1">
      <c r="A259" s="79" t="str">
        <f>IF(E259="","",VLOOKUP('OPĆI DIO'!$C$3,'OPĆI DIO'!$L$6:$U$120,10,FALSE))</f>
        <v/>
      </c>
      <c r="B259" s="79" t="str">
        <f>IF(E259="","",VLOOKUP('OPĆI DIO'!$C$3,'OPĆI DIO'!$L$6:$U$120,9,FALSE))</f>
        <v/>
      </c>
      <c r="C259" s="63" t="str">
        <f t="shared" si="0"/>
        <v/>
      </c>
      <c r="D259" s="64" t="str">
        <f t="shared" si="1"/>
        <v/>
      </c>
      <c r="E259" s="68"/>
      <c r="F259" s="66" t="str">
        <f t="shared" si="2"/>
        <v/>
      </c>
      <c r="G259" s="67"/>
      <c r="H259" s="67"/>
      <c r="I259" s="67"/>
      <c r="J259" s="68"/>
      <c r="L259" s="51" t="str">
        <f t="shared" si="3"/>
        <v/>
      </c>
      <c r="M259" s="51" t="str">
        <f t="shared" si="7"/>
        <v/>
      </c>
    </row>
    <row r="260" spans="1:13" ht="15.75" customHeight="1">
      <c r="A260" s="79" t="str">
        <f>IF(E260="","",VLOOKUP('OPĆI DIO'!$C$3,'OPĆI DIO'!$L$6:$U$120,10,FALSE))</f>
        <v/>
      </c>
      <c r="B260" s="79" t="str">
        <f>IF(E260="","",VLOOKUP('OPĆI DIO'!$C$3,'OPĆI DIO'!$L$6:$U$120,9,FALSE))</f>
        <v/>
      </c>
      <c r="C260" s="63" t="str">
        <f t="shared" si="0"/>
        <v/>
      </c>
      <c r="D260" s="64" t="str">
        <f t="shared" si="1"/>
        <v/>
      </c>
      <c r="E260" s="68"/>
      <c r="F260" s="66" t="str">
        <f t="shared" si="2"/>
        <v/>
      </c>
      <c r="G260" s="67"/>
      <c r="H260" s="67"/>
      <c r="I260" s="67"/>
      <c r="J260" s="68"/>
      <c r="L260" s="51" t="str">
        <f t="shared" si="3"/>
        <v/>
      </c>
      <c r="M260" s="51" t="str">
        <f t="shared" si="7"/>
        <v/>
      </c>
    </row>
    <row r="261" spans="1:13" ht="15.75" customHeight="1">
      <c r="A261" s="79" t="str">
        <f>IF(E261="","",VLOOKUP('OPĆI DIO'!$C$3,'OPĆI DIO'!$L$6:$U$120,10,FALSE))</f>
        <v/>
      </c>
      <c r="B261" s="79" t="str">
        <f>IF(E261="","",VLOOKUP('OPĆI DIO'!$C$3,'OPĆI DIO'!$L$6:$U$120,9,FALSE))</f>
        <v/>
      </c>
      <c r="C261" s="63" t="str">
        <f t="shared" si="0"/>
        <v/>
      </c>
      <c r="D261" s="64" t="str">
        <f t="shared" si="1"/>
        <v/>
      </c>
      <c r="E261" s="68"/>
      <c r="F261" s="66" t="str">
        <f t="shared" si="2"/>
        <v/>
      </c>
      <c r="G261" s="67"/>
      <c r="H261" s="67"/>
      <c r="I261" s="67"/>
      <c r="J261" s="68"/>
      <c r="L261" s="51" t="str">
        <f t="shared" si="3"/>
        <v/>
      </c>
      <c r="M261" s="51" t="str">
        <f t="shared" si="7"/>
        <v/>
      </c>
    </row>
    <row r="262" spans="1:13" ht="15.75" customHeight="1">
      <c r="A262" s="79" t="str">
        <f>IF(E262="","",VLOOKUP('OPĆI DIO'!$C$3,'OPĆI DIO'!$L$6:$U$120,10,FALSE))</f>
        <v/>
      </c>
      <c r="B262" s="79" t="str">
        <f>IF(E262="","",VLOOKUP('OPĆI DIO'!$C$3,'OPĆI DIO'!$L$6:$U$120,9,FALSE))</f>
        <v/>
      </c>
      <c r="C262" s="63" t="str">
        <f t="shared" si="0"/>
        <v/>
      </c>
      <c r="D262" s="64" t="str">
        <f t="shared" si="1"/>
        <v/>
      </c>
      <c r="E262" s="68"/>
      <c r="F262" s="66" t="str">
        <f t="shared" si="2"/>
        <v/>
      </c>
      <c r="G262" s="67"/>
      <c r="H262" s="67"/>
      <c r="I262" s="67"/>
      <c r="J262" s="68"/>
      <c r="L262" s="51" t="str">
        <f t="shared" si="3"/>
        <v/>
      </c>
      <c r="M262" s="51" t="str">
        <f t="shared" si="7"/>
        <v/>
      </c>
    </row>
    <row r="263" spans="1:13" ht="15.75" customHeight="1">
      <c r="A263" s="79" t="str">
        <f>IF(E263="","",VLOOKUP('OPĆI DIO'!$C$3,'OPĆI DIO'!$L$6:$U$120,10,FALSE))</f>
        <v/>
      </c>
      <c r="B263" s="79" t="str">
        <f>IF(E263="","",VLOOKUP('OPĆI DIO'!$C$3,'OPĆI DIO'!$L$6:$U$120,9,FALSE))</f>
        <v/>
      </c>
      <c r="C263" s="63" t="str">
        <f t="shared" si="0"/>
        <v/>
      </c>
      <c r="D263" s="64" t="str">
        <f t="shared" si="1"/>
        <v/>
      </c>
      <c r="E263" s="68"/>
      <c r="F263" s="66" t="str">
        <f t="shared" si="2"/>
        <v/>
      </c>
      <c r="G263" s="67"/>
      <c r="H263" s="67"/>
      <c r="I263" s="67"/>
      <c r="J263" s="68"/>
      <c r="L263" s="51" t="str">
        <f t="shared" si="3"/>
        <v/>
      </c>
      <c r="M263" s="51" t="str">
        <f t="shared" si="7"/>
        <v/>
      </c>
    </row>
    <row r="264" spans="1:13" ht="15.75" customHeight="1">
      <c r="A264" s="79" t="str">
        <f>IF(E264="","",VLOOKUP('OPĆI DIO'!$C$3,'OPĆI DIO'!$L$6:$U$120,10,FALSE))</f>
        <v/>
      </c>
      <c r="B264" s="79" t="str">
        <f>IF(E264="","",VLOOKUP('OPĆI DIO'!$C$3,'OPĆI DIO'!$L$6:$U$120,9,FALSE))</f>
        <v/>
      </c>
      <c r="C264" s="63" t="str">
        <f t="shared" si="0"/>
        <v/>
      </c>
      <c r="D264" s="64" t="str">
        <f t="shared" si="1"/>
        <v/>
      </c>
      <c r="E264" s="68"/>
      <c r="F264" s="66" t="str">
        <f t="shared" si="2"/>
        <v/>
      </c>
      <c r="G264" s="67"/>
      <c r="H264" s="67"/>
      <c r="I264" s="67"/>
      <c r="J264" s="68"/>
      <c r="L264" s="51" t="str">
        <f t="shared" si="3"/>
        <v/>
      </c>
      <c r="M264" s="51" t="str">
        <f t="shared" si="7"/>
        <v/>
      </c>
    </row>
    <row r="265" spans="1:13" ht="15.75" customHeight="1">
      <c r="A265" s="79" t="str">
        <f>IF(E265="","",VLOOKUP('OPĆI DIO'!$C$3,'OPĆI DIO'!$L$6:$U$120,10,FALSE))</f>
        <v/>
      </c>
      <c r="B265" s="79" t="str">
        <f>IF(E265="","",VLOOKUP('OPĆI DIO'!$C$3,'OPĆI DIO'!$L$6:$U$120,9,FALSE))</f>
        <v/>
      </c>
      <c r="C265" s="63" t="str">
        <f t="shared" si="0"/>
        <v/>
      </c>
      <c r="D265" s="64" t="str">
        <f t="shared" si="1"/>
        <v/>
      </c>
      <c r="E265" s="68"/>
      <c r="F265" s="66" t="str">
        <f t="shared" si="2"/>
        <v/>
      </c>
      <c r="G265" s="67"/>
      <c r="H265" s="67"/>
      <c r="I265" s="67"/>
      <c r="J265" s="68"/>
      <c r="L265" s="51" t="str">
        <f t="shared" si="3"/>
        <v/>
      </c>
      <c r="M265" s="51" t="str">
        <f t="shared" si="7"/>
        <v/>
      </c>
    </row>
    <row r="266" spans="1:13" ht="15.75" customHeight="1">
      <c r="A266" s="79" t="str">
        <f>IF(E266="","",VLOOKUP('OPĆI DIO'!$C$3,'OPĆI DIO'!$L$6:$U$120,10,FALSE))</f>
        <v/>
      </c>
      <c r="B266" s="79" t="str">
        <f>IF(E266="","",VLOOKUP('OPĆI DIO'!$C$3,'OPĆI DIO'!$L$6:$U$120,9,FALSE))</f>
        <v/>
      </c>
      <c r="C266" s="63" t="str">
        <f t="shared" si="0"/>
        <v/>
      </c>
      <c r="D266" s="64" t="str">
        <f t="shared" si="1"/>
        <v/>
      </c>
      <c r="E266" s="68"/>
      <c r="F266" s="66" t="str">
        <f t="shared" si="2"/>
        <v/>
      </c>
      <c r="G266" s="67"/>
      <c r="H266" s="67"/>
      <c r="I266" s="67"/>
      <c r="J266" s="68"/>
      <c r="L266" s="51" t="str">
        <f t="shared" si="3"/>
        <v/>
      </c>
      <c r="M266" s="51" t="str">
        <f t="shared" si="7"/>
        <v/>
      </c>
    </row>
    <row r="267" spans="1:13" ht="15.75" customHeight="1">
      <c r="A267" s="79" t="str">
        <f>IF(E267="","",VLOOKUP('OPĆI DIO'!$C$3,'OPĆI DIO'!$L$6:$U$120,10,FALSE))</f>
        <v/>
      </c>
      <c r="B267" s="79" t="str">
        <f>IF(E267="","",VLOOKUP('OPĆI DIO'!$C$3,'OPĆI DIO'!$L$6:$U$120,9,FALSE))</f>
        <v/>
      </c>
      <c r="C267" s="63" t="str">
        <f t="shared" si="0"/>
        <v/>
      </c>
      <c r="D267" s="64" t="str">
        <f t="shared" si="1"/>
        <v/>
      </c>
      <c r="E267" s="68"/>
      <c r="F267" s="66" t="str">
        <f t="shared" si="2"/>
        <v/>
      </c>
      <c r="G267" s="67"/>
      <c r="H267" s="67"/>
      <c r="I267" s="67"/>
      <c r="J267" s="68"/>
      <c r="L267" s="51" t="str">
        <f t="shared" si="3"/>
        <v/>
      </c>
      <c r="M267" s="51" t="str">
        <f t="shared" si="7"/>
        <v/>
      </c>
    </row>
    <row r="268" spans="1:13" ht="15.75" customHeight="1">
      <c r="A268" s="79" t="str">
        <f>IF(E268="","",VLOOKUP('OPĆI DIO'!$C$3,'OPĆI DIO'!$L$6:$U$120,10,FALSE))</f>
        <v/>
      </c>
      <c r="B268" s="79" t="str">
        <f>IF(E268="","",VLOOKUP('OPĆI DIO'!$C$3,'OPĆI DIO'!$L$6:$U$120,9,FALSE))</f>
        <v/>
      </c>
      <c r="C268" s="63" t="str">
        <f t="shared" si="0"/>
        <v/>
      </c>
      <c r="D268" s="64" t="str">
        <f t="shared" si="1"/>
        <v/>
      </c>
      <c r="E268" s="68"/>
      <c r="F268" s="66" t="str">
        <f t="shared" si="2"/>
        <v/>
      </c>
      <c r="G268" s="67"/>
      <c r="H268" s="67"/>
      <c r="I268" s="67"/>
      <c r="J268" s="68"/>
      <c r="L268" s="51" t="str">
        <f t="shared" si="3"/>
        <v/>
      </c>
      <c r="M268" s="51" t="str">
        <f t="shared" si="7"/>
        <v/>
      </c>
    </row>
    <row r="269" spans="1:13" ht="15.75" customHeight="1">
      <c r="A269" s="79" t="str">
        <f>IF(E269="","",VLOOKUP('OPĆI DIO'!$C$3,'OPĆI DIO'!$L$6:$U$120,10,FALSE))</f>
        <v/>
      </c>
      <c r="B269" s="79" t="str">
        <f>IF(E269="","",VLOOKUP('OPĆI DIO'!$C$3,'OPĆI DIO'!$L$6:$U$120,9,FALSE))</f>
        <v/>
      </c>
      <c r="C269" s="63" t="str">
        <f t="shared" si="0"/>
        <v/>
      </c>
      <c r="D269" s="64" t="str">
        <f t="shared" si="1"/>
        <v/>
      </c>
      <c r="E269" s="68"/>
      <c r="F269" s="66" t="str">
        <f t="shared" si="2"/>
        <v/>
      </c>
      <c r="G269" s="67"/>
      <c r="H269" s="67"/>
      <c r="I269" s="67"/>
      <c r="J269" s="68"/>
      <c r="L269" s="51" t="str">
        <f t="shared" si="3"/>
        <v/>
      </c>
      <c r="M269" s="51" t="str">
        <f t="shared" si="7"/>
        <v/>
      </c>
    </row>
    <row r="270" spans="1:13" ht="15.75" customHeight="1">
      <c r="A270" s="79" t="str">
        <f>IF(E270="","",VLOOKUP('OPĆI DIO'!$C$3,'OPĆI DIO'!$L$6:$U$120,10,FALSE))</f>
        <v/>
      </c>
      <c r="B270" s="79" t="str">
        <f>IF(E270="","",VLOOKUP('OPĆI DIO'!$C$3,'OPĆI DIO'!$L$6:$U$120,9,FALSE))</f>
        <v/>
      </c>
      <c r="C270" s="63" t="str">
        <f t="shared" si="0"/>
        <v/>
      </c>
      <c r="D270" s="64" t="str">
        <f t="shared" si="1"/>
        <v/>
      </c>
      <c r="E270" s="68"/>
      <c r="F270" s="66" t="str">
        <f t="shared" si="2"/>
        <v/>
      </c>
      <c r="G270" s="67"/>
      <c r="H270" s="67"/>
      <c r="I270" s="67"/>
      <c r="J270" s="68"/>
      <c r="L270" s="51" t="str">
        <f t="shared" si="3"/>
        <v/>
      </c>
      <c r="M270" s="51" t="str">
        <f t="shared" si="7"/>
        <v/>
      </c>
    </row>
    <row r="271" spans="1:13" ht="15.75" customHeight="1">
      <c r="A271" s="79" t="str">
        <f>IF(E271="","",VLOOKUP('OPĆI DIO'!$C$3,'OPĆI DIO'!$L$6:$U$120,10,FALSE))</f>
        <v/>
      </c>
      <c r="B271" s="79" t="str">
        <f>IF(E271="","",VLOOKUP('OPĆI DIO'!$C$3,'OPĆI DIO'!$L$6:$U$120,9,FALSE))</f>
        <v/>
      </c>
      <c r="C271" s="63" t="str">
        <f t="shared" si="0"/>
        <v/>
      </c>
      <c r="D271" s="64" t="str">
        <f t="shared" si="1"/>
        <v/>
      </c>
      <c r="E271" s="68"/>
      <c r="F271" s="66" t="str">
        <f t="shared" si="2"/>
        <v/>
      </c>
      <c r="G271" s="67"/>
      <c r="H271" s="67"/>
      <c r="I271" s="67"/>
      <c r="J271" s="68"/>
      <c r="L271" s="51" t="str">
        <f t="shared" si="3"/>
        <v/>
      </c>
      <c r="M271" s="51" t="str">
        <f t="shared" si="7"/>
        <v/>
      </c>
    </row>
    <row r="272" spans="1:13" ht="15.75" customHeight="1">
      <c r="A272" s="79" t="str">
        <f>IF(E272="","",VLOOKUP('OPĆI DIO'!$C$3,'OPĆI DIO'!$L$6:$U$120,10,FALSE))</f>
        <v/>
      </c>
      <c r="B272" s="79" t="str">
        <f>IF(E272="","",VLOOKUP('OPĆI DIO'!$C$3,'OPĆI DIO'!$L$6:$U$120,9,FALSE))</f>
        <v/>
      </c>
      <c r="C272" s="63" t="str">
        <f t="shared" si="0"/>
        <v/>
      </c>
      <c r="D272" s="64" t="str">
        <f t="shared" si="1"/>
        <v/>
      </c>
      <c r="E272" s="68"/>
      <c r="F272" s="66" t="str">
        <f t="shared" si="2"/>
        <v/>
      </c>
      <c r="G272" s="67"/>
      <c r="H272" s="67"/>
      <c r="I272" s="67"/>
      <c r="J272" s="68"/>
      <c r="L272" s="51" t="str">
        <f t="shared" si="3"/>
        <v/>
      </c>
      <c r="M272" s="51" t="str">
        <f t="shared" si="7"/>
        <v/>
      </c>
    </row>
    <row r="273" spans="1:13" ht="15.75" customHeight="1">
      <c r="A273" s="79" t="str">
        <f>IF(E273="","",VLOOKUP('OPĆI DIO'!$C$3,'OPĆI DIO'!$L$6:$U$120,10,FALSE))</f>
        <v/>
      </c>
      <c r="B273" s="79" t="str">
        <f>IF(E273="","",VLOOKUP('OPĆI DIO'!$C$3,'OPĆI DIO'!$L$6:$U$120,9,FALSE))</f>
        <v/>
      </c>
      <c r="C273" s="63" t="str">
        <f t="shared" si="0"/>
        <v/>
      </c>
      <c r="D273" s="64" t="str">
        <f t="shared" si="1"/>
        <v/>
      </c>
      <c r="E273" s="68"/>
      <c r="F273" s="66" t="str">
        <f t="shared" si="2"/>
        <v/>
      </c>
      <c r="G273" s="67"/>
      <c r="H273" s="67"/>
      <c r="I273" s="67"/>
      <c r="J273" s="68"/>
      <c r="L273" s="51" t="str">
        <f t="shared" si="3"/>
        <v/>
      </c>
      <c r="M273" s="51" t="str">
        <f t="shared" si="7"/>
        <v/>
      </c>
    </row>
    <row r="274" spans="1:13" ht="15.75" customHeight="1">
      <c r="A274" s="79" t="str">
        <f>IF(E274="","",VLOOKUP('OPĆI DIO'!$C$3,'OPĆI DIO'!$L$6:$U$120,10,FALSE))</f>
        <v/>
      </c>
      <c r="B274" s="79" t="str">
        <f>IF(E274="","",VLOOKUP('OPĆI DIO'!$C$3,'OPĆI DIO'!$L$6:$U$120,9,FALSE))</f>
        <v/>
      </c>
      <c r="C274" s="63" t="str">
        <f t="shared" si="0"/>
        <v/>
      </c>
      <c r="D274" s="64" t="str">
        <f t="shared" si="1"/>
        <v/>
      </c>
      <c r="E274" s="68"/>
      <c r="F274" s="66" t="str">
        <f t="shared" si="2"/>
        <v/>
      </c>
      <c r="G274" s="67"/>
      <c r="H274" s="67"/>
      <c r="I274" s="67"/>
      <c r="J274" s="68"/>
      <c r="L274" s="51" t="str">
        <f t="shared" si="3"/>
        <v/>
      </c>
      <c r="M274" s="51" t="str">
        <f t="shared" si="7"/>
        <v/>
      </c>
    </row>
    <row r="275" spans="1:13" ht="15.75" customHeight="1">
      <c r="A275" s="79" t="str">
        <f>IF(E275="","",VLOOKUP('OPĆI DIO'!$C$3,'OPĆI DIO'!$L$6:$U$120,10,FALSE))</f>
        <v/>
      </c>
      <c r="B275" s="79" t="str">
        <f>IF(E275="","",VLOOKUP('OPĆI DIO'!$C$3,'OPĆI DIO'!$L$6:$U$120,9,FALSE))</f>
        <v/>
      </c>
      <c r="C275" s="63" t="str">
        <f t="shared" si="0"/>
        <v/>
      </c>
      <c r="D275" s="64" t="str">
        <f t="shared" si="1"/>
        <v/>
      </c>
      <c r="E275" s="68"/>
      <c r="F275" s="66" t="str">
        <f t="shared" si="2"/>
        <v/>
      </c>
      <c r="G275" s="67"/>
      <c r="H275" s="67"/>
      <c r="I275" s="67"/>
      <c r="J275" s="68"/>
      <c r="L275" s="51" t="str">
        <f t="shared" si="3"/>
        <v/>
      </c>
      <c r="M275" s="51" t="str">
        <f t="shared" si="7"/>
        <v/>
      </c>
    </row>
    <row r="276" spans="1:13" ht="15.75" customHeight="1">
      <c r="A276" s="79" t="str">
        <f>IF(E276="","",VLOOKUP('OPĆI DIO'!$C$3,'OPĆI DIO'!$L$6:$U$120,10,FALSE))</f>
        <v/>
      </c>
      <c r="B276" s="79" t="str">
        <f>IF(E276="","",VLOOKUP('OPĆI DIO'!$C$3,'OPĆI DIO'!$L$6:$U$120,9,FALSE))</f>
        <v/>
      </c>
      <c r="C276" s="63" t="str">
        <f t="shared" si="0"/>
        <v/>
      </c>
      <c r="D276" s="64" t="str">
        <f t="shared" si="1"/>
        <v/>
      </c>
      <c r="E276" s="68"/>
      <c r="F276" s="66" t="str">
        <f t="shared" si="2"/>
        <v/>
      </c>
      <c r="G276" s="67"/>
      <c r="H276" s="67"/>
      <c r="I276" s="67"/>
      <c r="J276" s="68"/>
      <c r="L276" s="51" t="str">
        <f t="shared" si="3"/>
        <v/>
      </c>
      <c r="M276" s="51" t="str">
        <f t="shared" si="7"/>
        <v/>
      </c>
    </row>
    <row r="277" spans="1:13" ht="15.75" customHeight="1">
      <c r="A277" s="79" t="str">
        <f>IF(E277="","",VLOOKUP('OPĆI DIO'!$C$3,'OPĆI DIO'!$L$6:$U$120,10,FALSE))</f>
        <v/>
      </c>
      <c r="B277" s="79" t="str">
        <f>IF(E277="","",VLOOKUP('OPĆI DIO'!$C$3,'OPĆI DIO'!$L$6:$U$120,9,FALSE))</f>
        <v/>
      </c>
      <c r="C277" s="63" t="str">
        <f t="shared" si="0"/>
        <v/>
      </c>
      <c r="D277" s="64" t="str">
        <f t="shared" si="1"/>
        <v/>
      </c>
      <c r="E277" s="68"/>
      <c r="F277" s="66" t="str">
        <f t="shared" si="2"/>
        <v/>
      </c>
      <c r="G277" s="67"/>
      <c r="H277" s="67"/>
      <c r="I277" s="67"/>
      <c r="J277" s="68"/>
      <c r="L277" s="51" t="str">
        <f t="shared" si="3"/>
        <v/>
      </c>
      <c r="M277" s="51" t="str">
        <f t="shared" si="7"/>
        <v/>
      </c>
    </row>
    <row r="278" spans="1:13" ht="15.75" customHeight="1">
      <c r="A278" s="79" t="str">
        <f>IF(E278="","",VLOOKUP('OPĆI DIO'!$C$3,'OPĆI DIO'!$L$6:$U$120,10,FALSE))</f>
        <v/>
      </c>
      <c r="B278" s="79" t="str">
        <f>IF(E278="","",VLOOKUP('OPĆI DIO'!$C$3,'OPĆI DIO'!$L$6:$U$120,9,FALSE))</f>
        <v/>
      </c>
      <c r="C278" s="63" t="str">
        <f t="shared" si="0"/>
        <v/>
      </c>
      <c r="D278" s="64" t="str">
        <f t="shared" si="1"/>
        <v/>
      </c>
      <c r="E278" s="68"/>
      <c r="F278" s="66" t="str">
        <f t="shared" si="2"/>
        <v/>
      </c>
      <c r="G278" s="67"/>
      <c r="H278" s="67"/>
      <c r="I278" s="67"/>
      <c r="J278" s="68"/>
      <c r="L278" s="51" t="str">
        <f t="shared" si="3"/>
        <v/>
      </c>
      <c r="M278" s="51" t="str">
        <f t="shared" si="7"/>
        <v/>
      </c>
    </row>
    <row r="279" spans="1:13" ht="15.75" customHeight="1">
      <c r="A279" s="79" t="str">
        <f>IF(E279="","",VLOOKUP('OPĆI DIO'!$C$3,'OPĆI DIO'!$L$6:$U$120,10,FALSE))</f>
        <v/>
      </c>
      <c r="B279" s="79" t="str">
        <f>IF(E279="","",VLOOKUP('OPĆI DIO'!$C$3,'OPĆI DIO'!$L$6:$U$120,9,FALSE))</f>
        <v/>
      </c>
      <c r="C279" s="63" t="str">
        <f t="shared" si="0"/>
        <v/>
      </c>
      <c r="D279" s="64" t="str">
        <f t="shared" si="1"/>
        <v/>
      </c>
      <c r="E279" s="68"/>
      <c r="F279" s="66" t="str">
        <f t="shared" si="2"/>
        <v/>
      </c>
      <c r="G279" s="67"/>
      <c r="H279" s="67"/>
      <c r="I279" s="67"/>
      <c r="J279" s="68"/>
      <c r="L279" s="51" t="str">
        <f t="shared" si="3"/>
        <v/>
      </c>
      <c r="M279" s="51" t="str">
        <f t="shared" si="7"/>
        <v/>
      </c>
    </row>
    <row r="280" spans="1:13" ht="15.75" customHeight="1">
      <c r="A280" s="79" t="str">
        <f>IF(E280="","",VLOOKUP('OPĆI DIO'!$C$3,'OPĆI DIO'!$L$6:$U$120,10,FALSE))</f>
        <v/>
      </c>
      <c r="B280" s="79" t="str">
        <f>IF(E280="","",VLOOKUP('OPĆI DIO'!$C$3,'OPĆI DIO'!$L$6:$U$120,9,FALSE))</f>
        <v/>
      </c>
      <c r="C280" s="63" t="str">
        <f t="shared" si="0"/>
        <v/>
      </c>
      <c r="D280" s="64" t="str">
        <f t="shared" si="1"/>
        <v/>
      </c>
      <c r="E280" s="68"/>
      <c r="F280" s="66" t="str">
        <f t="shared" si="2"/>
        <v/>
      </c>
      <c r="G280" s="67"/>
      <c r="H280" s="67"/>
      <c r="I280" s="67"/>
      <c r="J280" s="68"/>
      <c r="L280" s="51" t="str">
        <f t="shared" si="3"/>
        <v/>
      </c>
      <c r="M280" s="51" t="str">
        <f t="shared" si="7"/>
        <v/>
      </c>
    </row>
    <row r="281" spans="1:13" ht="15.75" customHeight="1">
      <c r="A281" s="79" t="str">
        <f>IF(E281="","",VLOOKUP('OPĆI DIO'!$C$3,'OPĆI DIO'!$L$6:$U$120,10,FALSE))</f>
        <v/>
      </c>
      <c r="B281" s="79" t="str">
        <f>IF(E281="","",VLOOKUP('OPĆI DIO'!$C$3,'OPĆI DIO'!$L$6:$U$120,9,FALSE))</f>
        <v/>
      </c>
      <c r="C281" s="63" t="str">
        <f t="shared" si="0"/>
        <v/>
      </c>
      <c r="D281" s="64" t="str">
        <f t="shared" si="1"/>
        <v/>
      </c>
      <c r="E281" s="68"/>
      <c r="F281" s="66" t="str">
        <f t="shared" si="2"/>
        <v/>
      </c>
      <c r="G281" s="67"/>
      <c r="H281" s="67"/>
      <c r="I281" s="67"/>
      <c r="J281" s="68"/>
      <c r="L281" s="51" t="str">
        <f t="shared" si="3"/>
        <v/>
      </c>
      <c r="M281" s="51" t="str">
        <f t="shared" si="7"/>
        <v/>
      </c>
    </row>
    <row r="282" spans="1:13" ht="15.75" customHeight="1">
      <c r="A282" s="79" t="str">
        <f>IF(E282="","",VLOOKUP('OPĆI DIO'!$C$3,'OPĆI DIO'!$L$6:$U$120,10,FALSE))</f>
        <v/>
      </c>
      <c r="B282" s="79" t="str">
        <f>IF(E282="","",VLOOKUP('OPĆI DIO'!$C$3,'OPĆI DIO'!$L$6:$U$120,9,FALSE))</f>
        <v/>
      </c>
      <c r="C282" s="63" t="str">
        <f t="shared" si="0"/>
        <v/>
      </c>
      <c r="D282" s="64" t="str">
        <f t="shared" si="1"/>
        <v/>
      </c>
      <c r="E282" s="68"/>
      <c r="F282" s="66" t="str">
        <f t="shared" si="2"/>
        <v/>
      </c>
      <c r="G282" s="67"/>
      <c r="H282" s="67"/>
      <c r="I282" s="67"/>
      <c r="J282" s="68"/>
      <c r="L282" s="51" t="str">
        <f t="shared" si="3"/>
        <v/>
      </c>
      <c r="M282" s="51" t="str">
        <f t="shared" si="7"/>
        <v/>
      </c>
    </row>
    <row r="283" spans="1:13" ht="15.75" customHeight="1">
      <c r="A283" s="79" t="str">
        <f>IF(E283="","",VLOOKUP('OPĆI DIO'!$C$3,'OPĆI DIO'!$L$6:$U$120,10,FALSE))</f>
        <v/>
      </c>
      <c r="B283" s="79" t="str">
        <f>IF(E283="","",VLOOKUP('OPĆI DIO'!$C$3,'OPĆI DIO'!$L$6:$U$120,9,FALSE))</f>
        <v/>
      </c>
      <c r="C283" s="63" t="str">
        <f t="shared" si="0"/>
        <v/>
      </c>
      <c r="D283" s="64" t="str">
        <f t="shared" si="1"/>
        <v/>
      </c>
      <c r="E283" s="68"/>
      <c r="F283" s="66" t="str">
        <f t="shared" si="2"/>
        <v/>
      </c>
      <c r="G283" s="67"/>
      <c r="H283" s="67"/>
      <c r="I283" s="67"/>
      <c r="J283" s="68"/>
      <c r="L283" s="51" t="str">
        <f t="shared" si="3"/>
        <v/>
      </c>
      <c r="M283" s="51" t="str">
        <f t="shared" si="7"/>
        <v/>
      </c>
    </row>
    <row r="284" spans="1:13" ht="15.75" customHeight="1">
      <c r="A284" s="79" t="str">
        <f>IF(E284="","",VLOOKUP('OPĆI DIO'!$C$3,'OPĆI DIO'!$L$6:$U$120,10,FALSE))</f>
        <v/>
      </c>
      <c r="B284" s="79" t="str">
        <f>IF(E284="","",VLOOKUP('OPĆI DIO'!$C$3,'OPĆI DIO'!$L$6:$U$120,9,FALSE))</f>
        <v/>
      </c>
      <c r="C284" s="63" t="str">
        <f t="shared" si="0"/>
        <v/>
      </c>
      <c r="D284" s="64" t="str">
        <f t="shared" si="1"/>
        <v/>
      </c>
      <c r="E284" s="68"/>
      <c r="F284" s="66" t="str">
        <f t="shared" si="2"/>
        <v/>
      </c>
      <c r="G284" s="67"/>
      <c r="H284" s="67"/>
      <c r="I284" s="67"/>
      <c r="J284" s="68"/>
      <c r="L284" s="51" t="str">
        <f t="shared" si="3"/>
        <v/>
      </c>
      <c r="M284" s="51" t="str">
        <f t="shared" si="7"/>
        <v/>
      </c>
    </row>
    <row r="285" spans="1:13" ht="15.75" customHeight="1">
      <c r="A285" s="79" t="str">
        <f>IF(E285="","",VLOOKUP('OPĆI DIO'!$C$3,'OPĆI DIO'!$L$6:$U$120,10,FALSE))</f>
        <v/>
      </c>
      <c r="B285" s="79" t="str">
        <f>IF(E285="","",VLOOKUP('OPĆI DIO'!$C$3,'OPĆI DIO'!$L$6:$U$120,9,FALSE))</f>
        <v/>
      </c>
      <c r="C285" s="63" t="str">
        <f t="shared" si="0"/>
        <v/>
      </c>
      <c r="D285" s="64" t="str">
        <f t="shared" si="1"/>
        <v/>
      </c>
      <c r="E285" s="68"/>
      <c r="F285" s="66" t="str">
        <f t="shared" si="2"/>
        <v/>
      </c>
      <c r="G285" s="67"/>
      <c r="H285" s="67"/>
      <c r="I285" s="67"/>
      <c r="J285" s="68"/>
      <c r="L285" s="51" t="str">
        <f t="shared" si="3"/>
        <v/>
      </c>
      <c r="M285" s="51" t="str">
        <f t="shared" si="7"/>
        <v/>
      </c>
    </row>
    <row r="286" spans="1:13" ht="15.75" customHeight="1">
      <c r="A286" s="79" t="str">
        <f>IF(E286="","",VLOOKUP('OPĆI DIO'!$C$3,'OPĆI DIO'!$L$6:$U$120,10,FALSE))</f>
        <v/>
      </c>
      <c r="B286" s="79" t="str">
        <f>IF(E286="","",VLOOKUP('OPĆI DIO'!$C$3,'OPĆI DIO'!$L$6:$U$120,9,FALSE))</f>
        <v/>
      </c>
      <c r="C286" s="63" t="str">
        <f t="shared" si="0"/>
        <v/>
      </c>
      <c r="D286" s="64" t="str">
        <f t="shared" si="1"/>
        <v/>
      </c>
      <c r="E286" s="68"/>
      <c r="F286" s="66" t="str">
        <f t="shared" si="2"/>
        <v/>
      </c>
      <c r="G286" s="67"/>
      <c r="H286" s="67"/>
      <c r="I286" s="67"/>
      <c r="J286" s="68"/>
      <c r="L286" s="51" t="str">
        <f t="shared" si="3"/>
        <v/>
      </c>
      <c r="M286" s="51" t="str">
        <f t="shared" si="7"/>
        <v/>
      </c>
    </row>
    <row r="287" spans="1:13" ht="15.75" customHeight="1">
      <c r="A287" s="79" t="str">
        <f>IF(E287="","",VLOOKUP('OPĆI DIO'!$C$3,'OPĆI DIO'!$L$6:$U$120,10,FALSE))</f>
        <v/>
      </c>
      <c r="B287" s="79" t="str">
        <f>IF(E287="","",VLOOKUP('OPĆI DIO'!$C$3,'OPĆI DIO'!$L$6:$U$120,9,FALSE))</f>
        <v/>
      </c>
      <c r="C287" s="63" t="str">
        <f t="shared" si="0"/>
        <v/>
      </c>
      <c r="D287" s="64" t="str">
        <f t="shared" si="1"/>
        <v/>
      </c>
      <c r="E287" s="68"/>
      <c r="F287" s="66" t="str">
        <f t="shared" si="2"/>
        <v/>
      </c>
      <c r="G287" s="67"/>
      <c r="H287" s="67"/>
      <c r="I287" s="67"/>
      <c r="J287" s="68"/>
      <c r="L287" s="51" t="str">
        <f t="shared" si="3"/>
        <v/>
      </c>
      <c r="M287" s="51" t="str">
        <f t="shared" si="7"/>
        <v/>
      </c>
    </row>
    <row r="288" spans="1:13" ht="15.75" customHeight="1">
      <c r="A288" s="79" t="str">
        <f>IF(E288="","",VLOOKUP('OPĆI DIO'!$C$3,'OPĆI DIO'!$L$6:$U$120,10,FALSE))</f>
        <v/>
      </c>
      <c r="B288" s="79" t="str">
        <f>IF(E288="","",VLOOKUP('OPĆI DIO'!$C$3,'OPĆI DIO'!$L$6:$U$120,9,FALSE))</f>
        <v/>
      </c>
      <c r="C288" s="63" t="str">
        <f t="shared" si="0"/>
        <v/>
      </c>
      <c r="D288" s="64" t="str">
        <f t="shared" si="1"/>
        <v/>
      </c>
      <c r="E288" s="68"/>
      <c r="F288" s="66" t="str">
        <f t="shared" si="2"/>
        <v/>
      </c>
      <c r="G288" s="67"/>
      <c r="H288" s="67"/>
      <c r="I288" s="67"/>
      <c r="J288" s="68"/>
      <c r="L288" s="51" t="str">
        <f t="shared" si="3"/>
        <v/>
      </c>
      <c r="M288" s="51" t="str">
        <f t="shared" si="7"/>
        <v/>
      </c>
    </row>
    <row r="289" spans="1:13" ht="15.75" customHeight="1">
      <c r="A289" s="79" t="str">
        <f>IF(E289="","",VLOOKUP('OPĆI DIO'!$C$3,'OPĆI DIO'!$L$6:$U$120,10,FALSE))</f>
        <v/>
      </c>
      <c r="B289" s="79" t="str">
        <f>IF(E289="","",VLOOKUP('OPĆI DIO'!$C$3,'OPĆI DIO'!$L$6:$U$120,9,FALSE))</f>
        <v/>
      </c>
      <c r="C289" s="63" t="str">
        <f t="shared" si="0"/>
        <v/>
      </c>
      <c r="D289" s="64" t="str">
        <f t="shared" si="1"/>
        <v/>
      </c>
      <c r="E289" s="68"/>
      <c r="F289" s="66" t="str">
        <f t="shared" si="2"/>
        <v/>
      </c>
      <c r="G289" s="67"/>
      <c r="H289" s="67"/>
      <c r="I289" s="67"/>
      <c r="J289" s="68"/>
      <c r="L289" s="51" t="str">
        <f t="shared" si="3"/>
        <v/>
      </c>
      <c r="M289" s="51" t="str">
        <f t="shared" si="7"/>
        <v/>
      </c>
    </row>
    <row r="290" spans="1:13" ht="15.75" customHeight="1">
      <c r="A290" s="79" t="str">
        <f>IF(E290="","",VLOOKUP('OPĆI DIO'!$C$3,'OPĆI DIO'!$L$6:$U$120,10,FALSE))</f>
        <v/>
      </c>
      <c r="B290" s="79" t="str">
        <f>IF(E290="","",VLOOKUP('OPĆI DIO'!$C$3,'OPĆI DIO'!$L$6:$U$120,9,FALSE))</f>
        <v/>
      </c>
      <c r="C290" s="63" t="str">
        <f t="shared" si="0"/>
        <v/>
      </c>
      <c r="D290" s="64" t="str">
        <f t="shared" si="1"/>
        <v/>
      </c>
      <c r="E290" s="68"/>
      <c r="F290" s="66" t="str">
        <f t="shared" si="2"/>
        <v/>
      </c>
      <c r="G290" s="67"/>
      <c r="H290" s="67"/>
      <c r="I290" s="67"/>
      <c r="J290" s="68"/>
      <c r="L290" s="51" t="str">
        <f t="shared" si="3"/>
        <v/>
      </c>
      <c r="M290" s="51" t="str">
        <f t="shared" si="7"/>
        <v/>
      </c>
    </row>
    <row r="291" spans="1:13" ht="15.75" customHeight="1">
      <c r="A291" s="79" t="str">
        <f>IF(E291="","",VLOOKUP('OPĆI DIO'!$C$3,'OPĆI DIO'!$L$6:$U$120,10,FALSE))</f>
        <v/>
      </c>
      <c r="B291" s="79" t="str">
        <f>IF(E291="","",VLOOKUP('OPĆI DIO'!$C$3,'OPĆI DIO'!$L$6:$U$120,9,FALSE))</f>
        <v/>
      </c>
      <c r="C291" s="63" t="str">
        <f t="shared" si="0"/>
        <v/>
      </c>
      <c r="D291" s="64" t="str">
        <f t="shared" si="1"/>
        <v/>
      </c>
      <c r="E291" s="68"/>
      <c r="F291" s="66" t="str">
        <f t="shared" si="2"/>
        <v/>
      </c>
      <c r="G291" s="67"/>
      <c r="H291" s="67"/>
      <c r="I291" s="67"/>
      <c r="J291" s="68"/>
      <c r="L291" s="51" t="str">
        <f t="shared" si="3"/>
        <v/>
      </c>
      <c r="M291" s="51" t="str">
        <f t="shared" si="7"/>
        <v/>
      </c>
    </row>
    <row r="292" spans="1:13" ht="15.75" customHeight="1">
      <c r="A292" s="79" t="str">
        <f>IF(E292="","",VLOOKUP('OPĆI DIO'!$C$3,'OPĆI DIO'!$L$6:$U$120,10,FALSE))</f>
        <v/>
      </c>
      <c r="B292" s="79" t="str">
        <f>IF(E292="","",VLOOKUP('OPĆI DIO'!$C$3,'OPĆI DIO'!$L$6:$U$120,9,FALSE))</f>
        <v/>
      </c>
      <c r="C292" s="63" t="str">
        <f t="shared" si="0"/>
        <v/>
      </c>
      <c r="D292" s="64" t="str">
        <f t="shared" si="1"/>
        <v/>
      </c>
      <c r="E292" s="68"/>
      <c r="F292" s="66" t="str">
        <f t="shared" si="2"/>
        <v/>
      </c>
      <c r="G292" s="67"/>
      <c r="H292" s="67"/>
      <c r="I292" s="67"/>
      <c r="J292" s="68"/>
      <c r="L292" s="51" t="str">
        <f t="shared" si="3"/>
        <v/>
      </c>
      <c r="M292" s="51" t="str">
        <f t="shared" si="7"/>
        <v/>
      </c>
    </row>
    <row r="293" spans="1:13" ht="15.75" customHeight="1">
      <c r="A293" s="79" t="str">
        <f>IF(E293="","",VLOOKUP('OPĆI DIO'!$C$3,'OPĆI DIO'!$L$6:$U$120,10,FALSE))</f>
        <v/>
      </c>
      <c r="B293" s="79" t="str">
        <f>IF(E293="","",VLOOKUP('OPĆI DIO'!$C$3,'OPĆI DIO'!$L$6:$U$120,9,FALSE))</f>
        <v/>
      </c>
      <c r="C293" s="63" t="str">
        <f t="shared" si="0"/>
        <v/>
      </c>
      <c r="D293" s="64" t="str">
        <f t="shared" si="1"/>
        <v/>
      </c>
      <c r="E293" s="68"/>
      <c r="F293" s="66" t="str">
        <f t="shared" si="2"/>
        <v/>
      </c>
      <c r="G293" s="67"/>
      <c r="H293" s="67"/>
      <c r="I293" s="67"/>
      <c r="J293" s="68"/>
      <c r="L293" s="51" t="str">
        <f t="shared" si="3"/>
        <v/>
      </c>
      <c r="M293" s="51" t="str">
        <f t="shared" si="7"/>
        <v/>
      </c>
    </row>
    <row r="294" spans="1:13" ht="15.75" customHeight="1">
      <c r="A294" s="79" t="str">
        <f>IF(E294="","",VLOOKUP('OPĆI DIO'!$C$3,'OPĆI DIO'!$L$6:$U$120,10,FALSE))</f>
        <v/>
      </c>
      <c r="B294" s="79" t="str">
        <f>IF(E294="","",VLOOKUP('OPĆI DIO'!$C$3,'OPĆI DIO'!$L$6:$U$120,9,FALSE))</f>
        <v/>
      </c>
      <c r="C294" s="63" t="str">
        <f t="shared" si="0"/>
        <v/>
      </c>
      <c r="D294" s="64" t="str">
        <f t="shared" si="1"/>
        <v/>
      </c>
      <c r="E294" s="68"/>
      <c r="F294" s="66" t="str">
        <f t="shared" si="2"/>
        <v/>
      </c>
      <c r="G294" s="67"/>
      <c r="H294" s="67"/>
      <c r="I294" s="67"/>
      <c r="J294" s="68"/>
      <c r="L294" s="51" t="str">
        <f t="shared" si="3"/>
        <v/>
      </c>
      <c r="M294" s="51" t="str">
        <f t="shared" si="7"/>
        <v/>
      </c>
    </row>
    <row r="295" spans="1:13" ht="15.75" customHeight="1">
      <c r="A295" s="79" t="str">
        <f>IF(E295="","",VLOOKUP('OPĆI DIO'!$C$3,'OPĆI DIO'!$L$6:$U$120,10,FALSE))</f>
        <v/>
      </c>
      <c r="B295" s="79" t="str">
        <f>IF(E295="","",VLOOKUP('OPĆI DIO'!$C$3,'OPĆI DIO'!$L$6:$U$120,9,FALSE))</f>
        <v/>
      </c>
      <c r="C295" s="63" t="str">
        <f t="shared" si="0"/>
        <v/>
      </c>
      <c r="D295" s="64" t="str">
        <f t="shared" si="1"/>
        <v/>
      </c>
      <c r="E295" s="68"/>
      <c r="F295" s="66" t="str">
        <f t="shared" si="2"/>
        <v/>
      </c>
      <c r="G295" s="67"/>
      <c r="H295" s="67"/>
      <c r="I295" s="67"/>
      <c r="J295" s="68"/>
      <c r="L295" s="51" t="str">
        <f t="shared" si="3"/>
        <v/>
      </c>
      <c r="M295" s="51" t="str">
        <f t="shared" si="7"/>
        <v/>
      </c>
    </row>
    <row r="296" spans="1:13" ht="15.75" customHeight="1">
      <c r="A296" s="79" t="str">
        <f>IF(E296="","",VLOOKUP('OPĆI DIO'!$C$3,'OPĆI DIO'!$L$6:$U$120,10,FALSE))</f>
        <v/>
      </c>
      <c r="B296" s="79" t="str">
        <f>IF(E296="","",VLOOKUP('OPĆI DIO'!$C$3,'OPĆI DIO'!$L$6:$U$120,9,FALSE))</f>
        <v/>
      </c>
      <c r="C296" s="63" t="str">
        <f t="shared" si="0"/>
        <v/>
      </c>
      <c r="D296" s="64" t="str">
        <f t="shared" si="1"/>
        <v/>
      </c>
      <c r="E296" s="68"/>
      <c r="F296" s="66" t="str">
        <f t="shared" si="2"/>
        <v/>
      </c>
      <c r="G296" s="67"/>
      <c r="H296" s="67"/>
      <c r="I296" s="67"/>
      <c r="J296" s="68"/>
      <c r="L296" s="51" t="str">
        <f t="shared" si="3"/>
        <v/>
      </c>
      <c r="M296" s="51" t="str">
        <f t="shared" si="7"/>
        <v/>
      </c>
    </row>
    <row r="297" spans="1:13" ht="15.75" customHeight="1">
      <c r="A297" s="79" t="str">
        <f>IF(E297="","",VLOOKUP('OPĆI DIO'!$C$3,'OPĆI DIO'!$L$6:$U$120,10,FALSE))</f>
        <v/>
      </c>
      <c r="B297" s="79" t="str">
        <f>IF(E297="","",VLOOKUP('OPĆI DIO'!$C$3,'OPĆI DIO'!$L$6:$U$120,9,FALSE))</f>
        <v/>
      </c>
      <c r="C297" s="63" t="str">
        <f t="shared" si="0"/>
        <v/>
      </c>
      <c r="D297" s="64" t="str">
        <f t="shared" si="1"/>
        <v/>
      </c>
      <c r="E297" s="68"/>
      <c r="F297" s="66" t="str">
        <f t="shared" si="2"/>
        <v/>
      </c>
      <c r="G297" s="67"/>
      <c r="H297" s="67"/>
      <c r="I297" s="67"/>
      <c r="J297" s="68"/>
      <c r="L297" s="51" t="str">
        <f t="shared" si="3"/>
        <v/>
      </c>
      <c r="M297" s="51" t="str">
        <f t="shared" si="7"/>
        <v/>
      </c>
    </row>
    <row r="298" spans="1:13" ht="15.75" customHeight="1">
      <c r="A298" s="79" t="str">
        <f>IF(E298="","",VLOOKUP('OPĆI DIO'!$C$3,'OPĆI DIO'!$L$6:$U$120,10,FALSE))</f>
        <v/>
      </c>
      <c r="B298" s="79" t="str">
        <f>IF(E298="","",VLOOKUP('OPĆI DIO'!$C$3,'OPĆI DIO'!$L$6:$U$120,9,FALSE))</f>
        <v/>
      </c>
      <c r="C298" s="63" t="str">
        <f t="shared" si="0"/>
        <v/>
      </c>
      <c r="D298" s="64" t="str">
        <f t="shared" si="1"/>
        <v/>
      </c>
      <c r="E298" s="68"/>
      <c r="F298" s="66" t="str">
        <f t="shared" si="2"/>
        <v/>
      </c>
      <c r="G298" s="67"/>
      <c r="H298" s="67"/>
      <c r="I298" s="67"/>
      <c r="J298" s="68"/>
      <c r="L298" s="51" t="str">
        <f t="shared" si="3"/>
        <v/>
      </c>
      <c r="M298" s="51" t="str">
        <f t="shared" si="7"/>
        <v/>
      </c>
    </row>
    <row r="299" spans="1:13" ht="15.75" customHeight="1">
      <c r="A299" s="79" t="str">
        <f>IF(E299="","",VLOOKUP('OPĆI DIO'!$C$3,'OPĆI DIO'!$L$6:$U$120,10,FALSE))</f>
        <v/>
      </c>
      <c r="B299" s="79" t="str">
        <f>IF(E299="","",VLOOKUP('OPĆI DIO'!$C$3,'OPĆI DIO'!$L$6:$U$120,9,FALSE))</f>
        <v/>
      </c>
      <c r="C299" s="63" t="str">
        <f t="shared" si="0"/>
        <v/>
      </c>
      <c r="D299" s="64" t="str">
        <f t="shared" si="1"/>
        <v/>
      </c>
      <c r="E299" s="68"/>
      <c r="F299" s="66" t="str">
        <f t="shared" si="2"/>
        <v/>
      </c>
      <c r="G299" s="67"/>
      <c r="H299" s="67"/>
      <c r="I299" s="67"/>
      <c r="J299" s="68"/>
      <c r="L299" s="51" t="str">
        <f t="shared" si="3"/>
        <v/>
      </c>
      <c r="M299" s="51" t="str">
        <f t="shared" si="7"/>
        <v/>
      </c>
    </row>
    <row r="300" spans="1:13" ht="15.75" customHeight="1">
      <c r="A300" s="79" t="str">
        <f>IF(E300="","",VLOOKUP('OPĆI DIO'!$C$3,'OPĆI DIO'!$L$6:$U$120,10,FALSE))</f>
        <v/>
      </c>
      <c r="B300" s="79" t="str">
        <f>IF(E300="","",VLOOKUP('OPĆI DIO'!$C$3,'OPĆI DIO'!$L$6:$U$120,9,FALSE))</f>
        <v/>
      </c>
      <c r="C300" s="63" t="str">
        <f t="shared" si="0"/>
        <v/>
      </c>
      <c r="D300" s="64" t="str">
        <f t="shared" si="1"/>
        <v/>
      </c>
      <c r="E300" s="68"/>
      <c r="F300" s="66" t="str">
        <f t="shared" si="2"/>
        <v/>
      </c>
      <c r="G300" s="67"/>
      <c r="H300" s="67"/>
      <c r="I300" s="67"/>
      <c r="J300" s="68"/>
      <c r="L300" s="51" t="str">
        <f t="shared" si="3"/>
        <v/>
      </c>
      <c r="M300" s="51" t="str">
        <f t="shared" si="7"/>
        <v/>
      </c>
    </row>
    <row r="301" spans="1:13" ht="15.75" customHeight="1">
      <c r="A301" s="79" t="str">
        <f>IF(E301="","",VLOOKUP('OPĆI DIO'!$C$3,'OPĆI DIO'!$L$6:$U$120,10,FALSE))</f>
        <v/>
      </c>
      <c r="B301" s="79" t="str">
        <f>IF(E301="","",VLOOKUP('OPĆI DIO'!$C$3,'OPĆI DIO'!$L$6:$U$120,9,FALSE))</f>
        <v/>
      </c>
      <c r="C301" s="63" t="str">
        <f t="shared" si="0"/>
        <v/>
      </c>
      <c r="D301" s="64" t="str">
        <f t="shared" si="1"/>
        <v/>
      </c>
      <c r="E301" s="68"/>
      <c r="F301" s="66" t="str">
        <f t="shared" si="2"/>
        <v/>
      </c>
      <c r="G301" s="67"/>
      <c r="H301" s="67"/>
      <c r="I301" s="67"/>
      <c r="J301" s="68"/>
      <c r="L301" s="51" t="str">
        <f t="shared" si="3"/>
        <v/>
      </c>
      <c r="M301" s="51" t="str">
        <f t="shared" si="7"/>
        <v/>
      </c>
    </row>
    <row r="302" spans="1:13" ht="15.75" customHeight="1">
      <c r="A302" s="79" t="str">
        <f>IF(E302="","",VLOOKUP('OPĆI DIO'!$C$3,'OPĆI DIO'!$L$6:$U$120,10,FALSE))</f>
        <v/>
      </c>
      <c r="B302" s="79" t="str">
        <f>IF(E302="","",VLOOKUP('OPĆI DIO'!$C$3,'OPĆI DIO'!$L$6:$U$120,9,FALSE))</f>
        <v/>
      </c>
      <c r="C302" s="63" t="str">
        <f t="shared" si="0"/>
        <v/>
      </c>
      <c r="D302" s="64" t="str">
        <f t="shared" si="1"/>
        <v/>
      </c>
      <c r="E302" s="68"/>
      <c r="F302" s="66" t="str">
        <f t="shared" si="2"/>
        <v/>
      </c>
      <c r="G302" s="67"/>
      <c r="H302" s="67"/>
      <c r="I302" s="67"/>
      <c r="J302" s="68"/>
      <c r="L302" s="51" t="str">
        <f t="shared" si="3"/>
        <v/>
      </c>
      <c r="M302" s="51" t="str">
        <f t="shared" si="7"/>
        <v/>
      </c>
    </row>
    <row r="303" spans="1:13" ht="15.75" customHeight="1">
      <c r="A303" s="79" t="str">
        <f>IF(E303="","",VLOOKUP('OPĆI DIO'!$C$3,'OPĆI DIO'!$L$6:$U$120,10,FALSE))</f>
        <v/>
      </c>
      <c r="B303" s="79" t="str">
        <f>IF(E303="","",VLOOKUP('OPĆI DIO'!$C$3,'OPĆI DIO'!$L$6:$U$120,9,FALSE))</f>
        <v/>
      </c>
      <c r="C303" s="63" t="str">
        <f t="shared" si="0"/>
        <v/>
      </c>
      <c r="D303" s="64" t="str">
        <f t="shared" si="1"/>
        <v/>
      </c>
      <c r="E303" s="68"/>
      <c r="F303" s="66" t="str">
        <f t="shared" si="2"/>
        <v/>
      </c>
      <c r="G303" s="67"/>
      <c r="H303" s="67"/>
      <c r="I303" s="67"/>
      <c r="J303" s="68"/>
      <c r="L303" s="51" t="str">
        <f t="shared" si="3"/>
        <v/>
      </c>
      <c r="M303" s="51" t="str">
        <f t="shared" si="7"/>
        <v/>
      </c>
    </row>
    <row r="304" spans="1:13" ht="15.75" customHeight="1">
      <c r="A304" s="79" t="str">
        <f>IF(E304="","",VLOOKUP('OPĆI DIO'!$C$3,'OPĆI DIO'!$L$6:$U$120,10,FALSE))</f>
        <v/>
      </c>
      <c r="B304" s="79" t="str">
        <f>IF(E304="","",VLOOKUP('OPĆI DIO'!$C$3,'OPĆI DIO'!$L$6:$U$120,9,FALSE))</f>
        <v/>
      </c>
      <c r="C304" s="63" t="str">
        <f t="shared" si="0"/>
        <v/>
      </c>
      <c r="D304" s="64" t="str">
        <f t="shared" si="1"/>
        <v/>
      </c>
      <c r="E304" s="68"/>
      <c r="F304" s="66" t="str">
        <f t="shared" si="2"/>
        <v/>
      </c>
      <c r="G304" s="67"/>
      <c r="H304" s="67"/>
      <c r="I304" s="67"/>
      <c r="J304" s="68"/>
      <c r="L304" s="51" t="str">
        <f t="shared" si="3"/>
        <v/>
      </c>
      <c r="M304" s="51" t="str">
        <f t="shared" si="7"/>
        <v/>
      </c>
    </row>
    <row r="305" spans="1:13" ht="15.75" customHeight="1">
      <c r="A305" s="79" t="str">
        <f>IF(E305="","",VLOOKUP('OPĆI DIO'!$C$3,'OPĆI DIO'!$L$6:$U$120,10,FALSE))</f>
        <v/>
      </c>
      <c r="B305" s="79" t="str">
        <f>IF(E305="","",VLOOKUP('OPĆI DIO'!$C$3,'OPĆI DIO'!$L$6:$U$120,9,FALSE))</f>
        <v/>
      </c>
      <c r="C305" s="63" t="str">
        <f t="shared" si="0"/>
        <v/>
      </c>
      <c r="D305" s="64" t="str">
        <f t="shared" si="1"/>
        <v/>
      </c>
      <c r="E305" s="68"/>
      <c r="F305" s="66" t="str">
        <f t="shared" si="2"/>
        <v/>
      </c>
      <c r="G305" s="67"/>
      <c r="H305" s="67"/>
      <c r="I305" s="67"/>
      <c r="J305" s="68"/>
      <c r="L305" s="51" t="str">
        <f t="shared" si="3"/>
        <v/>
      </c>
      <c r="M305" s="51" t="str">
        <f t="shared" si="7"/>
        <v/>
      </c>
    </row>
    <row r="306" spans="1:13" ht="15.75" customHeight="1">
      <c r="A306" s="79" t="str">
        <f>IF(E306="","",VLOOKUP('OPĆI DIO'!$C$3,'OPĆI DIO'!$L$6:$U$120,10,FALSE))</f>
        <v/>
      </c>
      <c r="B306" s="79" t="str">
        <f>IF(E306="","",VLOOKUP('OPĆI DIO'!$C$3,'OPĆI DIO'!$L$6:$U$120,9,FALSE))</f>
        <v/>
      </c>
      <c r="C306" s="63" t="str">
        <f t="shared" si="0"/>
        <v/>
      </c>
      <c r="D306" s="64" t="str">
        <f t="shared" si="1"/>
        <v/>
      </c>
      <c r="E306" s="68"/>
      <c r="F306" s="66" t="str">
        <f t="shared" si="2"/>
        <v/>
      </c>
      <c r="G306" s="67"/>
      <c r="H306" s="67"/>
      <c r="I306" s="67"/>
      <c r="J306" s="68"/>
      <c r="L306" s="51" t="str">
        <f t="shared" si="3"/>
        <v/>
      </c>
      <c r="M306" s="51" t="str">
        <f t="shared" si="7"/>
        <v/>
      </c>
    </row>
    <row r="307" spans="1:13" ht="15.75" customHeight="1">
      <c r="A307" s="79" t="str">
        <f>IF(E307="","",VLOOKUP('OPĆI DIO'!$C$3,'OPĆI DIO'!$L$6:$U$120,10,FALSE))</f>
        <v/>
      </c>
      <c r="B307" s="79" t="str">
        <f>IF(E307="","",VLOOKUP('OPĆI DIO'!$C$3,'OPĆI DIO'!$L$6:$U$120,9,FALSE))</f>
        <v/>
      </c>
      <c r="C307" s="63" t="str">
        <f t="shared" si="0"/>
        <v/>
      </c>
      <c r="D307" s="64" t="str">
        <f t="shared" si="1"/>
        <v/>
      </c>
      <c r="E307" s="68"/>
      <c r="F307" s="66" t="str">
        <f t="shared" si="2"/>
        <v/>
      </c>
      <c r="G307" s="67"/>
      <c r="H307" s="67"/>
      <c r="I307" s="67"/>
      <c r="J307" s="68"/>
      <c r="L307" s="51" t="str">
        <f t="shared" si="3"/>
        <v/>
      </c>
      <c r="M307" s="51" t="str">
        <f t="shared" si="7"/>
        <v/>
      </c>
    </row>
    <row r="308" spans="1:13" ht="15.75" customHeight="1">
      <c r="A308" s="79" t="str">
        <f>IF(E308="","",VLOOKUP('OPĆI DIO'!$C$3,'OPĆI DIO'!$L$6:$U$120,10,FALSE))</f>
        <v/>
      </c>
      <c r="B308" s="79" t="str">
        <f>IF(E308="","",VLOOKUP('OPĆI DIO'!$C$3,'OPĆI DIO'!$L$6:$U$120,9,FALSE))</f>
        <v/>
      </c>
      <c r="C308" s="63" t="str">
        <f t="shared" si="0"/>
        <v/>
      </c>
      <c r="D308" s="64" t="str">
        <f t="shared" si="1"/>
        <v/>
      </c>
      <c r="E308" s="68"/>
      <c r="F308" s="66" t="str">
        <f t="shared" si="2"/>
        <v/>
      </c>
      <c r="G308" s="67"/>
      <c r="H308" s="67"/>
      <c r="I308" s="67"/>
      <c r="J308" s="68"/>
      <c r="L308" s="51" t="str">
        <f t="shared" si="3"/>
        <v/>
      </c>
      <c r="M308" s="51" t="str">
        <f t="shared" si="7"/>
        <v/>
      </c>
    </row>
    <row r="309" spans="1:13" ht="15.75" customHeight="1">
      <c r="A309" s="79" t="str">
        <f>IF(E309="","",VLOOKUP('OPĆI DIO'!$C$3,'OPĆI DIO'!$L$6:$U$120,10,FALSE))</f>
        <v/>
      </c>
      <c r="B309" s="79" t="str">
        <f>IF(E309="","",VLOOKUP('OPĆI DIO'!$C$3,'OPĆI DIO'!$L$6:$U$120,9,FALSE))</f>
        <v/>
      </c>
      <c r="C309" s="63" t="str">
        <f t="shared" si="0"/>
        <v/>
      </c>
      <c r="D309" s="64" t="str">
        <f t="shared" si="1"/>
        <v/>
      </c>
      <c r="E309" s="68"/>
      <c r="F309" s="66" t="str">
        <f t="shared" si="2"/>
        <v/>
      </c>
      <c r="G309" s="67"/>
      <c r="H309" s="67"/>
      <c r="I309" s="67"/>
      <c r="J309" s="68"/>
      <c r="L309" s="51" t="str">
        <f t="shared" si="3"/>
        <v/>
      </c>
      <c r="M309" s="51" t="str">
        <f t="shared" si="7"/>
        <v/>
      </c>
    </row>
    <row r="310" spans="1:13" ht="15.75" customHeight="1">
      <c r="A310" s="79" t="str">
        <f>IF(E310="","",VLOOKUP('OPĆI DIO'!$C$3,'OPĆI DIO'!$L$6:$U$120,10,FALSE))</f>
        <v/>
      </c>
      <c r="B310" s="79" t="str">
        <f>IF(E310="","",VLOOKUP('OPĆI DIO'!$C$3,'OPĆI DIO'!$L$6:$U$120,9,FALSE))</f>
        <v/>
      </c>
      <c r="C310" s="63" t="str">
        <f t="shared" si="0"/>
        <v/>
      </c>
      <c r="D310" s="64" t="str">
        <f t="shared" si="1"/>
        <v/>
      </c>
      <c r="E310" s="68"/>
      <c r="F310" s="66" t="str">
        <f t="shared" si="2"/>
        <v/>
      </c>
      <c r="G310" s="67"/>
      <c r="H310" s="67"/>
      <c r="I310" s="67"/>
      <c r="J310" s="68"/>
      <c r="L310" s="51" t="str">
        <f t="shared" si="3"/>
        <v/>
      </c>
      <c r="M310" s="51" t="str">
        <f t="shared" si="7"/>
        <v/>
      </c>
    </row>
    <row r="311" spans="1:13" ht="15.75" customHeight="1">
      <c r="A311" s="79" t="str">
        <f>IF(E311="","",VLOOKUP('OPĆI DIO'!$C$3,'OPĆI DIO'!$L$6:$U$120,10,FALSE))</f>
        <v/>
      </c>
      <c r="B311" s="79" t="str">
        <f>IF(E311="","",VLOOKUP('OPĆI DIO'!$C$3,'OPĆI DIO'!$L$6:$U$120,9,FALSE))</f>
        <v/>
      </c>
      <c r="C311" s="63" t="str">
        <f t="shared" si="0"/>
        <v/>
      </c>
      <c r="D311" s="64" t="str">
        <f t="shared" si="1"/>
        <v/>
      </c>
      <c r="E311" s="68"/>
      <c r="F311" s="66" t="str">
        <f t="shared" si="2"/>
        <v/>
      </c>
      <c r="G311" s="67"/>
      <c r="H311" s="67"/>
      <c r="I311" s="67"/>
      <c r="J311" s="68"/>
      <c r="L311" s="51" t="str">
        <f t="shared" si="3"/>
        <v/>
      </c>
      <c r="M311" s="51" t="str">
        <f t="shared" si="7"/>
        <v/>
      </c>
    </row>
    <row r="312" spans="1:13" ht="15.75" customHeight="1">
      <c r="A312" s="79" t="str">
        <f>IF(E312="","",VLOOKUP('OPĆI DIO'!$C$3,'OPĆI DIO'!$L$6:$U$120,10,FALSE))</f>
        <v/>
      </c>
      <c r="B312" s="79" t="str">
        <f>IF(E312="","",VLOOKUP('OPĆI DIO'!$C$3,'OPĆI DIO'!$L$6:$U$120,9,FALSE))</f>
        <v/>
      </c>
      <c r="C312" s="63" t="str">
        <f t="shared" si="0"/>
        <v/>
      </c>
      <c r="D312" s="64" t="str">
        <f t="shared" si="1"/>
        <v/>
      </c>
      <c r="E312" s="68"/>
      <c r="F312" s="66" t="str">
        <f t="shared" si="2"/>
        <v/>
      </c>
      <c r="G312" s="67"/>
      <c r="H312" s="67"/>
      <c r="I312" s="67"/>
      <c r="J312" s="68"/>
      <c r="L312" s="51" t="str">
        <f t="shared" si="3"/>
        <v/>
      </c>
      <c r="M312" s="51" t="str">
        <f t="shared" si="7"/>
        <v/>
      </c>
    </row>
    <row r="313" spans="1:13" ht="15.75" customHeight="1">
      <c r="A313" s="79" t="str">
        <f>IF(E313="","",VLOOKUP('OPĆI DIO'!$C$3,'OPĆI DIO'!$L$6:$U$120,10,FALSE))</f>
        <v/>
      </c>
      <c r="B313" s="79" t="str">
        <f>IF(E313="","",VLOOKUP('OPĆI DIO'!$C$3,'OPĆI DIO'!$L$6:$U$120,9,FALSE))</f>
        <v/>
      </c>
      <c r="C313" s="63" t="str">
        <f t="shared" si="0"/>
        <v/>
      </c>
      <c r="D313" s="64" t="str">
        <f t="shared" si="1"/>
        <v/>
      </c>
      <c r="E313" s="68"/>
      <c r="F313" s="66" t="str">
        <f t="shared" si="2"/>
        <v/>
      </c>
      <c r="G313" s="67"/>
      <c r="H313" s="67"/>
      <c r="I313" s="67"/>
      <c r="J313" s="68"/>
      <c r="L313" s="51" t="str">
        <f t="shared" si="3"/>
        <v/>
      </c>
      <c r="M313" s="51" t="str">
        <f t="shared" si="7"/>
        <v/>
      </c>
    </row>
    <row r="314" spans="1:13" ht="15.75" customHeight="1">
      <c r="A314" s="79" t="str">
        <f>IF(E314="","",VLOOKUP('OPĆI DIO'!$C$3,'OPĆI DIO'!$L$6:$U$120,10,FALSE))</f>
        <v/>
      </c>
      <c r="B314" s="79" t="str">
        <f>IF(E314="","",VLOOKUP('OPĆI DIO'!$C$3,'OPĆI DIO'!$L$6:$U$120,9,FALSE))</f>
        <v/>
      </c>
      <c r="C314" s="63" t="str">
        <f t="shared" si="0"/>
        <v/>
      </c>
      <c r="D314" s="64" t="str">
        <f t="shared" si="1"/>
        <v/>
      </c>
      <c r="E314" s="68"/>
      <c r="F314" s="66" t="str">
        <f t="shared" si="2"/>
        <v/>
      </c>
      <c r="G314" s="67"/>
      <c r="H314" s="67"/>
      <c r="I314" s="67"/>
      <c r="J314" s="68"/>
      <c r="L314" s="51" t="str">
        <f t="shared" si="3"/>
        <v/>
      </c>
      <c r="M314" s="51" t="str">
        <f t="shared" si="7"/>
        <v/>
      </c>
    </row>
    <row r="315" spans="1:13" ht="15.75" customHeight="1">
      <c r="A315" s="79" t="str">
        <f>IF(E315="","",VLOOKUP('OPĆI DIO'!$C$3,'OPĆI DIO'!$L$6:$U$120,10,FALSE))</f>
        <v/>
      </c>
      <c r="B315" s="79" t="str">
        <f>IF(E315="","",VLOOKUP('OPĆI DIO'!$C$3,'OPĆI DIO'!$L$6:$U$120,9,FALSE))</f>
        <v/>
      </c>
      <c r="C315" s="63" t="str">
        <f t="shared" si="0"/>
        <v/>
      </c>
      <c r="D315" s="64" t="str">
        <f t="shared" si="1"/>
        <v/>
      </c>
      <c r="E315" s="68"/>
      <c r="F315" s="66" t="str">
        <f t="shared" si="2"/>
        <v/>
      </c>
      <c r="G315" s="67"/>
      <c r="H315" s="67"/>
      <c r="I315" s="67"/>
      <c r="J315" s="68"/>
      <c r="L315" s="51" t="str">
        <f t="shared" si="3"/>
        <v/>
      </c>
      <c r="M315" s="51" t="str">
        <f t="shared" si="7"/>
        <v/>
      </c>
    </row>
    <row r="316" spans="1:13" ht="15.75" customHeight="1">
      <c r="A316" s="79" t="str">
        <f>IF(E316="","",VLOOKUP('OPĆI DIO'!$C$3,'OPĆI DIO'!$L$6:$U$120,10,FALSE))</f>
        <v/>
      </c>
      <c r="B316" s="79" t="str">
        <f>IF(E316="","",VLOOKUP('OPĆI DIO'!$C$3,'OPĆI DIO'!$L$6:$U$120,9,FALSE))</f>
        <v/>
      </c>
      <c r="C316" s="63" t="str">
        <f t="shared" si="0"/>
        <v/>
      </c>
      <c r="D316" s="64" t="str">
        <f t="shared" si="1"/>
        <v/>
      </c>
      <c r="E316" s="68"/>
      <c r="F316" s="66" t="str">
        <f t="shared" si="2"/>
        <v/>
      </c>
      <c r="G316" s="67"/>
      <c r="H316" s="67"/>
      <c r="I316" s="67"/>
      <c r="J316" s="68"/>
      <c r="L316" s="51" t="str">
        <f t="shared" si="3"/>
        <v/>
      </c>
      <c r="M316" s="51" t="str">
        <f t="shared" si="7"/>
        <v/>
      </c>
    </row>
    <row r="317" spans="1:13" ht="15.75" customHeight="1">
      <c r="A317" s="79" t="str">
        <f>IF(E317="","",VLOOKUP('OPĆI DIO'!$C$3,'OPĆI DIO'!$L$6:$U$120,10,FALSE))</f>
        <v/>
      </c>
      <c r="B317" s="79" t="str">
        <f>IF(E317="","",VLOOKUP('OPĆI DIO'!$C$3,'OPĆI DIO'!$L$6:$U$120,9,FALSE))</f>
        <v/>
      </c>
      <c r="C317" s="63" t="str">
        <f t="shared" si="0"/>
        <v/>
      </c>
      <c r="D317" s="64" t="str">
        <f t="shared" si="1"/>
        <v/>
      </c>
      <c r="E317" s="68"/>
      <c r="F317" s="66" t="str">
        <f t="shared" si="2"/>
        <v/>
      </c>
      <c r="G317" s="67"/>
      <c r="H317" s="67"/>
      <c r="I317" s="67"/>
      <c r="J317" s="68"/>
      <c r="L317" s="51" t="str">
        <f t="shared" si="3"/>
        <v/>
      </c>
      <c r="M317" s="51" t="str">
        <f t="shared" si="7"/>
        <v/>
      </c>
    </row>
    <row r="318" spans="1:13" ht="15.75" customHeight="1">
      <c r="A318" s="79" t="str">
        <f>IF(E318="","",VLOOKUP('OPĆI DIO'!$C$3,'OPĆI DIO'!$L$6:$U$120,10,FALSE))</f>
        <v/>
      </c>
      <c r="B318" s="79" t="str">
        <f>IF(E318="","",VLOOKUP('OPĆI DIO'!$C$3,'OPĆI DIO'!$L$6:$U$120,9,FALSE))</f>
        <v/>
      </c>
      <c r="C318" s="63" t="str">
        <f t="shared" si="0"/>
        <v/>
      </c>
      <c r="D318" s="64" t="str">
        <f t="shared" si="1"/>
        <v/>
      </c>
      <c r="E318" s="68"/>
      <c r="F318" s="66" t="str">
        <f t="shared" si="2"/>
        <v/>
      </c>
      <c r="G318" s="67"/>
      <c r="H318" s="67"/>
      <c r="I318" s="67"/>
      <c r="J318" s="68"/>
      <c r="L318" s="51" t="str">
        <f t="shared" si="3"/>
        <v/>
      </c>
      <c r="M318" s="51" t="str">
        <f t="shared" si="7"/>
        <v/>
      </c>
    </row>
    <row r="319" spans="1:13" ht="15.75" customHeight="1">
      <c r="A319" s="79" t="str">
        <f>IF(E319="","",VLOOKUP('OPĆI DIO'!$C$3,'OPĆI DIO'!$L$6:$U$120,10,FALSE))</f>
        <v/>
      </c>
      <c r="B319" s="79" t="str">
        <f>IF(E319="","",VLOOKUP('OPĆI DIO'!$C$3,'OPĆI DIO'!$L$6:$U$120,9,FALSE))</f>
        <v/>
      </c>
      <c r="C319" s="63" t="str">
        <f t="shared" si="0"/>
        <v/>
      </c>
      <c r="D319" s="64" t="str">
        <f t="shared" si="1"/>
        <v/>
      </c>
      <c r="E319" s="68"/>
      <c r="F319" s="66" t="str">
        <f t="shared" si="2"/>
        <v/>
      </c>
      <c r="G319" s="67"/>
      <c r="H319" s="67"/>
      <c r="I319" s="67"/>
      <c r="J319" s="68"/>
      <c r="L319" s="51" t="str">
        <f t="shared" si="3"/>
        <v/>
      </c>
      <c r="M319" s="51" t="str">
        <f t="shared" si="7"/>
        <v/>
      </c>
    </row>
    <row r="320" spans="1:13" ht="15.75" customHeight="1">
      <c r="A320" s="79" t="str">
        <f>IF(E320="","",VLOOKUP('OPĆI DIO'!$C$3,'OPĆI DIO'!$L$6:$U$120,10,FALSE))</f>
        <v/>
      </c>
      <c r="B320" s="79" t="str">
        <f>IF(E320="","",VLOOKUP('OPĆI DIO'!$C$3,'OPĆI DIO'!$L$6:$U$120,9,FALSE))</f>
        <v/>
      </c>
      <c r="C320" s="63" t="str">
        <f t="shared" si="0"/>
        <v/>
      </c>
      <c r="D320" s="64" t="str">
        <f t="shared" si="1"/>
        <v/>
      </c>
      <c r="E320" s="68"/>
      <c r="F320" s="66" t="str">
        <f t="shared" si="2"/>
        <v/>
      </c>
      <c r="G320" s="67"/>
      <c r="H320" s="67"/>
      <c r="I320" s="67"/>
      <c r="J320" s="68"/>
      <c r="L320" s="51" t="str">
        <f t="shared" si="3"/>
        <v/>
      </c>
      <c r="M320" s="51" t="str">
        <f t="shared" si="7"/>
        <v/>
      </c>
    </row>
    <row r="321" spans="1:13" ht="15.75" customHeight="1">
      <c r="A321" s="79" t="str">
        <f>IF(E321="","",VLOOKUP('OPĆI DIO'!$C$3,'OPĆI DIO'!$L$6:$U$120,10,FALSE))</f>
        <v/>
      </c>
      <c r="B321" s="79" t="str">
        <f>IF(E321="","",VLOOKUP('OPĆI DIO'!$C$3,'OPĆI DIO'!$L$6:$U$120,9,FALSE))</f>
        <v/>
      </c>
      <c r="C321" s="63" t="str">
        <f t="shared" si="0"/>
        <v/>
      </c>
      <c r="D321" s="64" t="str">
        <f t="shared" si="1"/>
        <v/>
      </c>
      <c r="E321" s="68"/>
      <c r="F321" s="66" t="str">
        <f t="shared" si="2"/>
        <v/>
      </c>
      <c r="G321" s="67"/>
      <c r="H321" s="67"/>
      <c r="I321" s="67"/>
      <c r="J321" s="68"/>
      <c r="L321" s="51" t="str">
        <f t="shared" si="3"/>
        <v/>
      </c>
      <c r="M321" s="51" t="str">
        <f t="shared" si="7"/>
        <v/>
      </c>
    </row>
    <row r="322" spans="1:13" ht="15.75" customHeight="1">
      <c r="A322" s="79" t="str">
        <f>IF(E322="","",VLOOKUP('OPĆI DIO'!$C$3,'OPĆI DIO'!$L$6:$U$120,10,FALSE))</f>
        <v/>
      </c>
      <c r="B322" s="79" t="str">
        <f>IF(E322="","",VLOOKUP('OPĆI DIO'!$C$3,'OPĆI DIO'!$L$6:$U$120,9,FALSE))</f>
        <v/>
      </c>
      <c r="C322" s="63" t="str">
        <f t="shared" si="0"/>
        <v/>
      </c>
      <c r="D322" s="64" t="str">
        <f t="shared" si="1"/>
        <v/>
      </c>
      <c r="E322" s="68"/>
      <c r="F322" s="66" t="str">
        <f t="shared" si="2"/>
        <v/>
      </c>
      <c r="G322" s="67"/>
      <c r="H322" s="67"/>
      <c r="I322" s="67"/>
      <c r="J322" s="68"/>
      <c r="L322" s="51" t="str">
        <f t="shared" si="3"/>
        <v/>
      </c>
      <c r="M322" s="51" t="str">
        <f t="shared" si="7"/>
        <v/>
      </c>
    </row>
    <row r="323" spans="1:13" ht="15.75" customHeight="1">
      <c r="A323" s="79" t="str">
        <f>IF(E323="","",VLOOKUP('OPĆI DIO'!$C$3,'OPĆI DIO'!$L$6:$U$120,10,FALSE))</f>
        <v/>
      </c>
      <c r="B323" s="79" t="str">
        <f>IF(E323="","",VLOOKUP('OPĆI DIO'!$C$3,'OPĆI DIO'!$L$6:$U$120,9,FALSE))</f>
        <v/>
      </c>
      <c r="C323" s="63" t="str">
        <f t="shared" si="0"/>
        <v/>
      </c>
      <c r="D323" s="64" t="str">
        <f t="shared" si="1"/>
        <v/>
      </c>
      <c r="E323" s="68"/>
      <c r="F323" s="66" t="str">
        <f t="shared" si="2"/>
        <v/>
      </c>
      <c r="G323" s="67"/>
      <c r="H323" s="67"/>
      <c r="I323" s="67"/>
      <c r="J323" s="68"/>
      <c r="L323" s="51" t="str">
        <f t="shared" si="3"/>
        <v/>
      </c>
      <c r="M323" s="51" t="str">
        <f t="shared" si="7"/>
        <v/>
      </c>
    </row>
    <row r="324" spans="1:13" ht="15.75" customHeight="1">
      <c r="A324" s="79" t="str">
        <f>IF(E324="","",VLOOKUP('OPĆI DIO'!$C$3,'OPĆI DIO'!$L$6:$U$120,10,FALSE))</f>
        <v/>
      </c>
      <c r="B324" s="79" t="str">
        <f>IF(E324="","",VLOOKUP('OPĆI DIO'!$C$3,'OPĆI DIO'!$L$6:$U$120,9,FALSE))</f>
        <v/>
      </c>
      <c r="C324" s="63" t="str">
        <f t="shared" si="0"/>
        <v/>
      </c>
      <c r="D324" s="64" t="str">
        <f t="shared" si="1"/>
        <v/>
      </c>
      <c r="E324" s="68"/>
      <c r="F324" s="66" t="str">
        <f t="shared" si="2"/>
        <v/>
      </c>
      <c r="G324" s="67"/>
      <c r="H324" s="67"/>
      <c r="I324" s="67"/>
      <c r="J324" s="68"/>
      <c r="L324" s="51" t="str">
        <f t="shared" si="3"/>
        <v/>
      </c>
      <c r="M324" s="51" t="str">
        <f t="shared" si="7"/>
        <v/>
      </c>
    </row>
    <row r="325" spans="1:13" ht="15.75" customHeight="1">
      <c r="A325" s="79" t="str">
        <f>IF(E325="","",VLOOKUP('OPĆI DIO'!$C$3,'OPĆI DIO'!$L$6:$U$120,10,FALSE))</f>
        <v/>
      </c>
      <c r="B325" s="79" t="str">
        <f>IF(E325="","",VLOOKUP('OPĆI DIO'!$C$3,'OPĆI DIO'!$L$6:$U$120,9,FALSE))</f>
        <v/>
      </c>
      <c r="C325" s="63" t="str">
        <f t="shared" si="0"/>
        <v/>
      </c>
      <c r="D325" s="64" t="str">
        <f t="shared" si="1"/>
        <v/>
      </c>
      <c r="E325" s="68"/>
      <c r="F325" s="66" t="str">
        <f t="shared" si="2"/>
        <v/>
      </c>
      <c r="G325" s="67"/>
      <c r="H325" s="67"/>
      <c r="I325" s="67"/>
      <c r="J325" s="68"/>
      <c r="L325" s="51" t="str">
        <f t="shared" si="3"/>
        <v/>
      </c>
      <c r="M325" s="51" t="str">
        <f t="shared" si="7"/>
        <v/>
      </c>
    </row>
    <row r="326" spans="1:13" ht="15.75" customHeight="1">
      <c r="A326" s="79" t="str">
        <f>IF(E326="","",VLOOKUP('OPĆI DIO'!$C$3,'OPĆI DIO'!$L$6:$U$120,10,FALSE))</f>
        <v/>
      </c>
      <c r="B326" s="79" t="str">
        <f>IF(E326="","",VLOOKUP('OPĆI DIO'!$C$3,'OPĆI DIO'!$L$6:$U$120,9,FALSE))</f>
        <v/>
      </c>
      <c r="C326" s="63" t="str">
        <f t="shared" si="0"/>
        <v/>
      </c>
      <c r="D326" s="64" t="str">
        <f t="shared" si="1"/>
        <v/>
      </c>
      <c r="E326" s="68"/>
      <c r="F326" s="66" t="str">
        <f t="shared" si="2"/>
        <v/>
      </c>
      <c r="G326" s="67"/>
      <c r="H326" s="67"/>
      <c r="I326" s="67"/>
      <c r="J326" s="68"/>
      <c r="L326" s="51" t="str">
        <f t="shared" si="3"/>
        <v/>
      </c>
      <c r="M326" s="51" t="str">
        <f t="shared" si="7"/>
        <v/>
      </c>
    </row>
    <row r="327" spans="1:13" ht="15.75" customHeight="1">
      <c r="A327" s="79" t="str">
        <f>IF(E327="","",VLOOKUP('OPĆI DIO'!$C$3,'OPĆI DIO'!$L$6:$U$120,10,FALSE))</f>
        <v/>
      </c>
      <c r="B327" s="79" t="str">
        <f>IF(E327="","",VLOOKUP('OPĆI DIO'!$C$3,'OPĆI DIO'!$L$6:$U$120,9,FALSE))</f>
        <v/>
      </c>
      <c r="C327" s="63" t="str">
        <f t="shared" si="0"/>
        <v/>
      </c>
      <c r="D327" s="64" t="str">
        <f t="shared" si="1"/>
        <v/>
      </c>
      <c r="E327" s="68"/>
      <c r="F327" s="66" t="str">
        <f t="shared" si="2"/>
        <v/>
      </c>
      <c r="G327" s="67"/>
      <c r="H327" s="67"/>
      <c r="I327" s="67"/>
      <c r="J327" s="68"/>
      <c r="L327" s="51" t="str">
        <f t="shared" si="3"/>
        <v/>
      </c>
      <c r="M327" s="51" t="str">
        <f t="shared" si="7"/>
        <v/>
      </c>
    </row>
    <row r="328" spans="1:13" ht="15.75" customHeight="1">
      <c r="A328" s="79" t="str">
        <f>IF(E328="","",VLOOKUP('OPĆI DIO'!$C$3,'OPĆI DIO'!$L$6:$U$120,10,FALSE))</f>
        <v/>
      </c>
      <c r="B328" s="79" t="str">
        <f>IF(E328="","",VLOOKUP('OPĆI DIO'!$C$3,'OPĆI DIO'!$L$6:$U$120,9,FALSE))</f>
        <v/>
      </c>
      <c r="C328" s="63" t="str">
        <f t="shared" si="0"/>
        <v/>
      </c>
      <c r="D328" s="64" t="str">
        <f t="shared" si="1"/>
        <v/>
      </c>
      <c r="E328" s="68"/>
      <c r="F328" s="66" t="str">
        <f t="shared" si="2"/>
        <v/>
      </c>
      <c r="G328" s="67"/>
      <c r="H328" s="67"/>
      <c r="I328" s="67"/>
      <c r="J328" s="68"/>
      <c r="L328" s="51" t="str">
        <f t="shared" si="3"/>
        <v/>
      </c>
      <c r="M328" s="51" t="str">
        <f t="shared" si="7"/>
        <v/>
      </c>
    </row>
    <row r="329" spans="1:13" ht="15.75" customHeight="1">
      <c r="A329" s="79" t="str">
        <f>IF(E329="","",VLOOKUP('OPĆI DIO'!$C$3,'OPĆI DIO'!$L$6:$U$120,10,FALSE))</f>
        <v/>
      </c>
      <c r="B329" s="79" t="str">
        <f>IF(E329="","",VLOOKUP('OPĆI DIO'!$C$3,'OPĆI DIO'!$L$6:$U$120,9,FALSE))</f>
        <v/>
      </c>
      <c r="C329" s="63" t="str">
        <f t="shared" si="0"/>
        <v/>
      </c>
      <c r="D329" s="64" t="str">
        <f t="shared" si="1"/>
        <v/>
      </c>
      <c r="E329" s="68"/>
      <c r="F329" s="66" t="str">
        <f t="shared" si="2"/>
        <v/>
      </c>
      <c r="G329" s="67"/>
      <c r="H329" s="67"/>
      <c r="I329" s="67"/>
      <c r="J329" s="68"/>
      <c r="L329" s="51" t="str">
        <f t="shared" si="3"/>
        <v/>
      </c>
      <c r="M329" s="51" t="str">
        <f t="shared" si="7"/>
        <v/>
      </c>
    </row>
    <row r="330" spans="1:13" ht="15.75" customHeight="1">
      <c r="A330" s="79" t="str">
        <f>IF(E330="","",VLOOKUP('OPĆI DIO'!$C$3,'OPĆI DIO'!$L$6:$U$120,10,FALSE))</f>
        <v/>
      </c>
      <c r="B330" s="79" t="str">
        <f>IF(E330="","",VLOOKUP('OPĆI DIO'!$C$3,'OPĆI DIO'!$L$6:$U$120,9,FALSE))</f>
        <v/>
      </c>
      <c r="C330" s="63" t="str">
        <f t="shared" si="0"/>
        <v/>
      </c>
      <c r="D330" s="64" t="str">
        <f t="shared" si="1"/>
        <v/>
      </c>
      <c r="E330" s="68"/>
      <c r="F330" s="66" t="str">
        <f t="shared" si="2"/>
        <v/>
      </c>
      <c r="G330" s="67"/>
      <c r="H330" s="67"/>
      <c r="I330" s="67"/>
      <c r="J330" s="68"/>
      <c r="L330" s="51" t="str">
        <f t="shared" si="3"/>
        <v/>
      </c>
      <c r="M330" s="51" t="str">
        <f t="shared" si="7"/>
        <v/>
      </c>
    </row>
    <row r="331" spans="1:13" ht="15.75" customHeight="1">
      <c r="A331" s="79" t="str">
        <f>IF(E331="","",VLOOKUP('OPĆI DIO'!$C$3,'OPĆI DIO'!$L$6:$U$120,10,FALSE))</f>
        <v/>
      </c>
      <c r="B331" s="79" t="str">
        <f>IF(E331="","",VLOOKUP('OPĆI DIO'!$C$3,'OPĆI DIO'!$L$6:$U$120,9,FALSE))</f>
        <v/>
      </c>
      <c r="C331" s="63" t="str">
        <f t="shared" si="0"/>
        <v/>
      </c>
      <c r="D331" s="64" t="str">
        <f t="shared" si="1"/>
        <v/>
      </c>
      <c r="E331" s="68"/>
      <c r="F331" s="66" t="str">
        <f t="shared" si="2"/>
        <v/>
      </c>
      <c r="G331" s="67"/>
      <c r="H331" s="67"/>
      <c r="I331" s="67"/>
      <c r="J331" s="68"/>
      <c r="L331" s="51" t="str">
        <f t="shared" si="3"/>
        <v/>
      </c>
      <c r="M331" s="51" t="str">
        <f t="shared" si="7"/>
        <v/>
      </c>
    </row>
    <row r="332" spans="1:13" ht="15.75" customHeight="1">
      <c r="A332" s="79" t="str">
        <f>IF(E332="","",VLOOKUP('OPĆI DIO'!$C$3,'OPĆI DIO'!$L$6:$U$120,10,FALSE))</f>
        <v/>
      </c>
      <c r="B332" s="79" t="str">
        <f>IF(E332="","",VLOOKUP('OPĆI DIO'!$C$3,'OPĆI DIO'!$L$6:$U$120,9,FALSE))</f>
        <v/>
      </c>
      <c r="C332" s="63" t="str">
        <f t="shared" si="0"/>
        <v/>
      </c>
      <c r="D332" s="64" t="str">
        <f t="shared" si="1"/>
        <v/>
      </c>
      <c r="E332" s="68"/>
      <c r="F332" s="66" t="str">
        <f t="shared" si="2"/>
        <v/>
      </c>
      <c r="G332" s="67"/>
      <c r="H332" s="67"/>
      <c r="I332" s="67"/>
      <c r="J332" s="68"/>
      <c r="L332" s="51" t="str">
        <f t="shared" si="3"/>
        <v/>
      </c>
      <c r="M332" s="51" t="str">
        <f t="shared" si="7"/>
        <v/>
      </c>
    </row>
    <row r="333" spans="1:13" ht="15.75" customHeight="1">
      <c r="A333" s="79" t="str">
        <f>IF(E333="","",VLOOKUP('OPĆI DIO'!$C$3,'OPĆI DIO'!$L$6:$U$120,10,FALSE))</f>
        <v/>
      </c>
      <c r="B333" s="79" t="str">
        <f>IF(E333="","",VLOOKUP('OPĆI DIO'!$C$3,'OPĆI DIO'!$L$6:$U$120,9,FALSE))</f>
        <v/>
      </c>
      <c r="C333" s="63" t="str">
        <f t="shared" si="0"/>
        <v/>
      </c>
      <c r="D333" s="64" t="str">
        <f t="shared" si="1"/>
        <v/>
      </c>
      <c r="E333" s="68"/>
      <c r="F333" s="66" t="str">
        <f t="shared" si="2"/>
        <v/>
      </c>
      <c r="G333" s="67"/>
      <c r="H333" s="67"/>
      <c r="I333" s="67"/>
      <c r="J333" s="68"/>
      <c r="L333" s="51" t="str">
        <f t="shared" si="3"/>
        <v/>
      </c>
      <c r="M333" s="51" t="str">
        <f t="shared" si="7"/>
        <v/>
      </c>
    </row>
    <row r="334" spans="1:13" ht="15.75" customHeight="1">
      <c r="A334" s="79" t="str">
        <f>IF(E334="","",VLOOKUP('OPĆI DIO'!$C$3,'OPĆI DIO'!$L$6:$U$120,10,FALSE))</f>
        <v/>
      </c>
      <c r="B334" s="79" t="str">
        <f>IF(E334="","",VLOOKUP('OPĆI DIO'!$C$3,'OPĆI DIO'!$L$6:$U$120,9,FALSE))</f>
        <v/>
      </c>
      <c r="C334" s="63" t="str">
        <f t="shared" si="0"/>
        <v/>
      </c>
      <c r="D334" s="64" t="str">
        <f t="shared" si="1"/>
        <v/>
      </c>
      <c r="E334" s="68"/>
      <c r="F334" s="66" t="str">
        <f t="shared" si="2"/>
        <v/>
      </c>
      <c r="G334" s="67"/>
      <c r="H334" s="67"/>
      <c r="I334" s="67"/>
      <c r="J334" s="68"/>
      <c r="L334" s="51" t="str">
        <f t="shared" si="3"/>
        <v/>
      </c>
      <c r="M334" s="51" t="str">
        <f t="shared" si="7"/>
        <v/>
      </c>
    </row>
    <row r="335" spans="1:13" ht="15.75" customHeight="1">
      <c r="A335" s="79" t="str">
        <f>IF(E335="","",VLOOKUP('OPĆI DIO'!$C$3,'OPĆI DIO'!$L$6:$U$120,10,FALSE))</f>
        <v/>
      </c>
      <c r="B335" s="79" t="str">
        <f>IF(E335="","",VLOOKUP('OPĆI DIO'!$C$3,'OPĆI DIO'!$L$6:$U$120,9,FALSE))</f>
        <v/>
      </c>
      <c r="C335" s="63" t="str">
        <f t="shared" si="0"/>
        <v/>
      </c>
      <c r="D335" s="64" t="str">
        <f t="shared" si="1"/>
        <v/>
      </c>
      <c r="E335" s="68"/>
      <c r="F335" s="66" t="str">
        <f t="shared" si="2"/>
        <v/>
      </c>
      <c r="G335" s="67"/>
      <c r="H335" s="67"/>
      <c r="I335" s="67"/>
      <c r="J335" s="68"/>
      <c r="L335" s="51" t="str">
        <f t="shared" si="3"/>
        <v/>
      </c>
      <c r="M335" s="51" t="str">
        <f t="shared" si="7"/>
        <v/>
      </c>
    </row>
    <row r="336" spans="1:13" ht="15.75" customHeight="1">
      <c r="A336" s="79" t="str">
        <f>IF(E336="","",VLOOKUP('OPĆI DIO'!$C$3,'OPĆI DIO'!$L$6:$U$120,10,FALSE))</f>
        <v/>
      </c>
      <c r="B336" s="79" t="str">
        <f>IF(E336="","",VLOOKUP('OPĆI DIO'!$C$3,'OPĆI DIO'!$L$6:$U$120,9,FALSE))</f>
        <v/>
      </c>
      <c r="C336" s="63" t="str">
        <f t="shared" si="0"/>
        <v/>
      </c>
      <c r="D336" s="64" t="str">
        <f t="shared" si="1"/>
        <v/>
      </c>
      <c r="E336" s="68"/>
      <c r="F336" s="66" t="str">
        <f t="shared" si="2"/>
        <v/>
      </c>
      <c r="G336" s="67"/>
      <c r="H336" s="67"/>
      <c r="I336" s="67"/>
      <c r="J336" s="68"/>
      <c r="L336" s="51" t="str">
        <f t="shared" si="3"/>
        <v/>
      </c>
      <c r="M336" s="51" t="str">
        <f t="shared" si="7"/>
        <v/>
      </c>
    </row>
    <row r="337" spans="1:13" ht="15.75" customHeight="1">
      <c r="A337" s="79" t="str">
        <f>IF(E337="","",VLOOKUP('OPĆI DIO'!$C$3,'OPĆI DIO'!$L$6:$U$120,10,FALSE))</f>
        <v/>
      </c>
      <c r="B337" s="79" t="str">
        <f>IF(E337="","",VLOOKUP('OPĆI DIO'!$C$3,'OPĆI DIO'!$L$6:$U$120,9,FALSE))</f>
        <v/>
      </c>
      <c r="C337" s="63" t="str">
        <f t="shared" si="0"/>
        <v/>
      </c>
      <c r="D337" s="64" t="str">
        <f t="shared" si="1"/>
        <v/>
      </c>
      <c r="E337" s="68"/>
      <c r="F337" s="66" t="str">
        <f t="shared" si="2"/>
        <v/>
      </c>
      <c r="G337" s="67"/>
      <c r="H337" s="67"/>
      <c r="I337" s="67"/>
      <c r="J337" s="68"/>
      <c r="L337" s="51" t="str">
        <f t="shared" si="3"/>
        <v/>
      </c>
      <c r="M337" s="51" t="str">
        <f t="shared" si="7"/>
        <v/>
      </c>
    </row>
    <row r="338" spans="1:13" ht="15.75" customHeight="1">
      <c r="A338" s="79" t="str">
        <f>IF(E338="","",VLOOKUP('OPĆI DIO'!$C$3,'OPĆI DIO'!$L$6:$U$120,10,FALSE))</f>
        <v/>
      </c>
      <c r="B338" s="79" t="str">
        <f>IF(E338="","",VLOOKUP('OPĆI DIO'!$C$3,'OPĆI DIO'!$L$6:$U$120,9,FALSE))</f>
        <v/>
      </c>
      <c r="C338" s="63" t="str">
        <f t="shared" si="0"/>
        <v/>
      </c>
      <c r="D338" s="64" t="str">
        <f t="shared" si="1"/>
        <v/>
      </c>
      <c r="E338" s="68"/>
      <c r="F338" s="66" t="str">
        <f t="shared" si="2"/>
        <v/>
      </c>
      <c r="G338" s="67"/>
      <c r="H338" s="67"/>
      <c r="I338" s="67"/>
      <c r="J338" s="68"/>
      <c r="L338" s="51" t="str">
        <f t="shared" si="3"/>
        <v/>
      </c>
      <c r="M338" s="51" t="str">
        <f t="shared" si="7"/>
        <v/>
      </c>
    </row>
    <row r="339" spans="1:13" ht="15.75" customHeight="1">
      <c r="A339" s="79" t="str">
        <f>IF(E339="","",VLOOKUP('OPĆI DIO'!$C$3,'OPĆI DIO'!$L$6:$U$120,10,FALSE))</f>
        <v/>
      </c>
      <c r="B339" s="79" t="str">
        <f>IF(E339="","",VLOOKUP('OPĆI DIO'!$C$3,'OPĆI DIO'!$L$6:$U$120,9,FALSE))</f>
        <v/>
      </c>
      <c r="C339" s="63" t="str">
        <f t="shared" si="0"/>
        <v/>
      </c>
      <c r="D339" s="64" t="str">
        <f t="shared" si="1"/>
        <v/>
      </c>
      <c r="E339" s="68"/>
      <c r="F339" s="66" t="str">
        <f t="shared" si="2"/>
        <v/>
      </c>
      <c r="G339" s="67"/>
      <c r="H339" s="67"/>
      <c r="I339" s="67"/>
      <c r="J339" s="68"/>
      <c r="L339" s="51" t="str">
        <f t="shared" si="3"/>
        <v/>
      </c>
      <c r="M339" s="51" t="str">
        <f t="shared" si="7"/>
        <v/>
      </c>
    </row>
    <row r="340" spans="1:13" ht="15.75" customHeight="1">
      <c r="A340" s="79" t="str">
        <f>IF(E340="","",VLOOKUP('OPĆI DIO'!$C$3,'OPĆI DIO'!$L$6:$U$120,10,FALSE))</f>
        <v/>
      </c>
      <c r="B340" s="79" t="str">
        <f>IF(E340="","",VLOOKUP('OPĆI DIO'!$C$3,'OPĆI DIO'!$L$6:$U$120,9,FALSE))</f>
        <v/>
      </c>
      <c r="C340" s="63" t="str">
        <f t="shared" si="0"/>
        <v/>
      </c>
      <c r="D340" s="64" t="str">
        <f t="shared" si="1"/>
        <v/>
      </c>
      <c r="E340" s="68"/>
      <c r="F340" s="66" t="str">
        <f t="shared" si="2"/>
        <v/>
      </c>
      <c r="G340" s="67"/>
      <c r="H340" s="67"/>
      <c r="I340" s="67"/>
      <c r="J340" s="68"/>
      <c r="L340" s="51" t="str">
        <f t="shared" si="3"/>
        <v/>
      </c>
      <c r="M340" s="51" t="str">
        <f t="shared" si="7"/>
        <v/>
      </c>
    </row>
    <row r="341" spans="1:13" ht="15.75" customHeight="1">
      <c r="A341" s="79" t="str">
        <f>IF(E341="","",VLOOKUP('OPĆI DIO'!$C$3,'OPĆI DIO'!$L$6:$U$120,10,FALSE))</f>
        <v/>
      </c>
      <c r="B341" s="79" t="str">
        <f>IF(E341="","",VLOOKUP('OPĆI DIO'!$C$3,'OPĆI DIO'!$L$6:$U$120,9,FALSE))</f>
        <v/>
      </c>
      <c r="C341" s="63" t="str">
        <f t="shared" si="0"/>
        <v/>
      </c>
      <c r="D341" s="64" t="str">
        <f t="shared" si="1"/>
        <v/>
      </c>
      <c r="E341" s="68"/>
      <c r="F341" s="66" t="str">
        <f t="shared" si="2"/>
        <v/>
      </c>
      <c r="G341" s="67"/>
      <c r="H341" s="67"/>
      <c r="I341" s="67"/>
      <c r="J341" s="68"/>
      <c r="L341" s="51" t="str">
        <f t="shared" si="3"/>
        <v/>
      </c>
      <c r="M341" s="51" t="str">
        <f t="shared" si="7"/>
        <v/>
      </c>
    </row>
    <row r="342" spans="1:13" ht="15.75" customHeight="1">
      <c r="A342" s="79" t="str">
        <f>IF(E342="","",VLOOKUP('OPĆI DIO'!$C$3,'OPĆI DIO'!$L$6:$U$120,10,FALSE))</f>
        <v/>
      </c>
      <c r="B342" s="79" t="str">
        <f>IF(E342="","",VLOOKUP('OPĆI DIO'!$C$3,'OPĆI DIO'!$L$6:$U$120,9,FALSE))</f>
        <v/>
      </c>
      <c r="C342" s="63" t="str">
        <f t="shared" si="0"/>
        <v/>
      </c>
      <c r="D342" s="64" t="str">
        <f t="shared" si="1"/>
        <v/>
      </c>
      <c r="E342" s="68"/>
      <c r="F342" s="66" t="str">
        <f t="shared" si="2"/>
        <v/>
      </c>
      <c r="G342" s="67"/>
      <c r="H342" s="67"/>
      <c r="I342" s="67"/>
      <c r="J342" s="68"/>
      <c r="L342" s="51" t="str">
        <f t="shared" si="3"/>
        <v/>
      </c>
      <c r="M342" s="51" t="str">
        <f t="shared" si="7"/>
        <v/>
      </c>
    </row>
    <row r="343" spans="1:13" ht="15.75" customHeight="1">
      <c r="A343" s="79" t="str">
        <f>IF(E343="","",VLOOKUP('OPĆI DIO'!$C$3,'OPĆI DIO'!$L$6:$U$120,10,FALSE))</f>
        <v/>
      </c>
      <c r="B343" s="79" t="str">
        <f>IF(E343="","",VLOOKUP('OPĆI DIO'!$C$3,'OPĆI DIO'!$L$6:$U$120,9,FALSE))</f>
        <v/>
      </c>
      <c r="C343" s="63" t="str">
        <f t="shared" si="0"/>
        <v/>
      </c>
      <c r="D343" s="64" t="str">
        <f t="shared" si="1"/>
        <v/>
      </c>
      <c r="E343" s="68"/>
      <c r="F343" s="66" t="str">
        <f t="shared" si="2"/>
        <v/>
      </c>
      <c r="G343" s="67"/>
      <c r="H343" s="67"/>
      <c r="I343" s="67"/>
      <c r="J343" s="68"/>
      <c r="L343" s="51" t="str">
        <f t="shared" si="3"/>
        <v/>
      </c>
      <c r="M343" s="51" t="str">
        <f t="shared" si="7"/>
        <v/>
      </c>
    </row>
    <row r="344" spans="1:13" ht="15.75" customHeight="1">
      <c r="A344" s="79" t="str">
        <f>IF(E344="","",VLOOKUP('OPĆI DIO'!$C$3,'OPĆI DIO'!$L$6:$U$120,10,FALSE))</f>
        <v/>
      </c>
      <c r="B344" s="79" t="str">
        <f>IF(E344="","",VLOOKUP('OPĆI DIO'!$C$3,'OPĆI DIO'!$L$6:$U$120,9,FALSE))</f>
        <v/>
      </c>
      <c r="C344" s="63" t="str">
        <f t="shared" si="0"/>
        <v/>
      </c>
      <c r="D344" s="64" t="str">
        <f t="shared" si="1"/>
        <v/>
      </c>
      <c r="E344" s="68"/>
      <c r="F344" s="66" t="str">
        <f t="shared" si="2"/>
        <v/>
      </c>
      <c r="G344" s="67"/>
      <c r="H344" s="67"/>
      <c r="I344" s="67"/>
      <c r="J344" s="68"/>
      <c r="L344" s="51" t="str">
        <f t="shared" si="3"/>
        <v/>
      </c>
      <c r="M344" s="51" t="str">
        <f t="shared" si="7"/>
        <v/>
      </c>
    </row>
    <row r="345" spans="1:13" ht="15.75" customHeight="1">
      <c r="A345" s="79" t="str">
        <f>IF(E345="","",VLOOKUP('OPĆI DIO'!$C$3,'OPĆI DIO'!$L$6:$U$120,10,FALSE))</f>
        <v/>
      </c>
      <c r="B345" s="79" t="str">
        <f>IF(E345="","",VLOOKUP('OPĆI DIO'!$C$3,'OPĆI DIO'!$L$6:$U$120,9,FALSE))</f>
        <v/>
      </c>
      <c r="C345" s="63" t="str">
        <f t="shared" si="0"/>
        <v/>
      </c>
      <c r="D345" s="64" t="str">
        <f t="shared" si="1"/>
        <v/>
      </c>
      <c r="E345" s="68"/>
      <c r="F345" s="66" t="str">
        <f t="shared" si="2"/>
        <v/>
      </c>
      <c r="G345" s="67"/>
      <c r="H345" s="67"/>
      <c r="I345" s="67"/>
      <c r="J345" s="68"/>
      <c r="L345" s="51" t="str">
        <f t="shared" si="3"/>
        <v/>
      </c>
      <c r="M345" s="51" t="str">
        <f t="shared" si="7"/>
        <v/>
      </c>
    </row>
    <row r="346" spans="1:13" ht="15.75" customHeight="1">
      <c r="A346" s="79" t="str">
        <f>IF(E346="","",VLOOKUP('OPĆI DIO'!$C$3,'OPĆI DIO'!$L$6:$U$120,10,FALSE))</f>
        <v/>
      </c>
      <c r="B346" s="79" t="str">
        <f>IF(E346="","",VLOOKUP('OPĆI DIO'!$C$3,'OPĆI DIO'!$L$6:$U$120,9,FALSE))</f>
        <v/>
      </c>
      <c r="C346" s="63" t="str">
        <f t="shared" si="0"/>
        <v/>
      </c>
      <c r="D346" s="64" t="str">
        <f t="shared" si="1"/>
        <v/>
      </c>
      <c r="E346" s="68"/>
      <c r="F346" s="66" t="str">
        <f t="shared" si="2"/>
        <v/>
      </c>
      <c r="G346" s="67"/>
      <c r="H346" s="67"/>
      <c r="I346" s="67"/>
      <c r="J346" s="68"/>
      <c r="L346" s="51" t="str">
        <f t="shared" si="3"/>
        <v/>
      </c>
      <c r="M346" s="51" t="str">
        <f t="shared" si="7"/>
        <v/>
      </c>
    </row>
    <row r="347" spans="1:13" ht="15.75" customHeight="1">
      <c r="A347" s="79" t="str">
        <f>IF(E347="","",VLOOKUP('OPĆI DIO'!$C$3,'OPĆI DIO'!$L$6:$U$120,10,FALSE))</f>
        <v/>
      </c>
      <c r="B347" s="79" t="str">
        <f>IF(E347="","",VLOOKUP('OPĆI DIO'!$C$3,'OPĆI DIO'!$L$6:$U$120,9,FALSE))</f>
        <v/>
      </c>
      <c r="C347" s="63" t="str">
        <f t="shared" si="0"/>
        <v/>
      </c>
      <c r="D347" s="64" t="str">
        <f t="shared" si="1"/>
        <v/>
      </c>
      <c r="E347" s="68"/>
      <c r="F347" s="66" t="str">
        <f t="shared" si="2"/>
        <v/>
      </c>
      <c r="G347" s="67"/>
      <c r="H347" s="67"/>
      <c r="I347" s="67"/>
      <c r="J347" s="68"/>
      <c r="L347" s="51" t="str">
        <f t="shared" si="3"/>
        <v/>
      </c>
      <c r="M347" s="51" t="str">
        <f t="shared" si="7"/>
        <v/>
      </c>
    </row>
    <row r="348" spans="1:13" ht="15.75" customHeight="1">
      <c r="A348" s="79" t="str">
        <f>IF(E348="","",VLOOKUP('OPĆI DIO'!$C$3,'OPĆI DIO'!$L$6:$U$120,10,FALSE))</f>
        <v/>
      </c>
      <c r="B348" s="79" t="str">
        <f>IF(E348="","",VLOOKUP('OPĆI DIO'!$C$3,'OPĆI DIO'!$L$6:$U$120,9,FALSE))</f>
        <v/>
      </c>
      <c r="C348" s="63" t="str">
        <f t="shared" si="0"/>
        <v/>
      </c>
      <c r="D348" s="64" t="str">
        <f t="shared" si="1"/>
        <v/>
      </c>
      <c r="E348" s="68"/>
      <c r="F348" s="66" t="str">
        <f t="shared" si="2"/>
        <v/>
      </c>
      <c r="G348" s="67"/>
      <c r="H348" s="67"/>
      <c r="I348" s="67"/>
      <c r="J348" s="68"/>
      <c r="L348" s="51" t="str">
        <f t="shared" si="3"/>
        <v/>
      </c>
      <c r="M348" s="51" t="str">
        <f t="shared" si="7"/>
        <v/>
      </c>
    </row>
    <row r="349" spans="1:13" ht="15.75" customHeight="1">
      <c r="A349" s="79" t="str">
        <f>IF(E349="","",VLOOKUP('OPĆI DIO'!$C$3,'OPĆI DIO'!$L$6:$U$120,10,FALSE))</f>
        <v/>
      </c>
      <c r="B349" s="79" t="str">
        <f>IF(E349="","",VLOOKUP('OPĆI DIO'!$C$3,'OPĆI DIO'!$L$6:$U$120,9,FALSE))</f>
        <v/>
      </c>
      <c r="C349" s="63" t="str">
        <f t="shared" si="0"/>
        <v/>
      </c>
      <c r="D349" s="64" t="str">
        <f t="shared" si="1"/>
        <v/>
      </c>
      <c r="E349" s="68"/>
      <c r="F349" s="66" t="str">
        <f t="shared" si="2"/>
        <v/>
      </c>
      <c r="G349" s="67"/>
      <c r="H349" s="67"/>
      <c r="I349" s="67"/>
      <c r="J349" s="68"/>
      <c r="L349" s="51" t="str">
        <f t="shared" si="3"/>
        <v/>
      </c>
      <c r="M349" s="51" t="str">
        <f t="shared" si="7"/>
        <v/>
      </c>
    </row>
    <row r="350" spans="1:13" ht="15.75" customHeight="1">
      <c r="A350" s="79" t="str">
        <f>IF(E350="","",VLOOKUP('OPĆI DIO'!$C$3,'OPĆI DIO'!$L$6:$U$120,10,FALSE))</f>
        <v/>
      </c>
      <c r="B350" s="79" t="str">
        <f>IF(E350="","",VLOOKUP('OPĆI DIO'!$C$3,'OPĆI DIO'!$L$6:$U$120,9,FALSE))</f>
        <v/>
      </c>
      <c r="C350" s="63" t="str">
        <f t="shared" si="0"/>
        <v/>
      </c>
      <c r="D350" s="64" t="str">
        <f t="shared" si="1"/>
        <v/>
      </c>
      <c r="E350" s="68"/>
      <c r="F350" s="66" t="str">
        <f t="shared" si="2"/>
        <v/>
      </c>
      <c r="G350" s="67"/>
      <c r="H350" s="67"/>
      <c r="I350" s="67"/>
      <c r="J350" s="68"/>
      <c r="L350" s="51" t="str">
        <f t="shared" si="3"/>
        <v/>
      </c>
      <c r="M350" s="51" t="str">
        <f t="shared" si="7"/>
        <v/>
      </c>
    </row>
    <row r="351" spans="1:13" ht="15.75" customHeight="1">
      <c r="A351" s="79" t="str">
        <f>IF(E351="","",VLOOKUP('OPĆI DIO'!$C$3,'OPĆI DIO'!$L$6:$U$120,10,FALSE))</f>
        <v/>
      </c>
      <c r="B351" s="79" t="str">
        <f>IF(E351="","",VLOOKUP('OPĆI DIO'!$C$3,'OPĆI DIO'!$L$6:$U$120,9,FALSE))</f>
        <v/>
      </c>
      <c r="C351" s="63" t="str">
        <f t="shared" si="0"/>
        <v/>
      </c>
      <c r="D351" s="64" t="str">
        <f t="shared" si="1"/>
        <v/>
      </c>
      <c r="E351" s="68"/>
      <c r="F351" s="66" t="str">
        <f t="shared" si="2"/>
        <v/>
      </c>
      <c r="G351" s="67"/>
      <c r="H351" s="67"/>
      <c r="I351" s="67"/>
      <c r="J351" s="68"/>
      <c r="L351" s="51" t="str">
        <f t="shared" si="3"/>
        <v/>
      </c>
      <c r="M351" s="51" t="str">
        <f t="shared" si="7"/>
        <v/>
      </c>
    </row>
    <row r="352" spans="1:13" ht="15.75" customHeight="1">
      <c r="A352" s="79" t="str">
        <f>IF(E352="","",VLOOKUP('OPĆI DIO'!$C$3,'OPĆI DIO'!$L$6:$U$120,10,FALSE))</f>
        <v/>
      </c>
      <c r="B352" s="79" t="str">
        <f>IF(E352="","",VLOOKUP('OPĆI DIO'!$C$3,'OPĆI DIO'!$L$6:$U$120,9,FALSE))</f>
        <v/>
      </c>
      <c r="C352" s="63" t="str">
        <f t="shared" si="0"/>
        <v/>
      </c>
      <c r="D352" s="64" t="str">
        <f t="shared" si="1"/>
        <v/>
      </c>
      <c r="E352" s="68"/>
      <c r="F352" s="66" t="str">
        <f t="shared" si="2"/>
        <v/>
      </c>
      <c r="G352" s="67"/>
      <c r="H352" s="67"/>
      <c r="I352" s="67"/>
      <c r="J352" s="68"/>
      <c r="L352" s="51" t="str">
        <f t="shared" si="3"/>
        <v/>
      </c>
      <c r="M352" s="51" t="str">
        <f t="shared" si="7"/>
        <v/>
      </c>
    </row>
    <row r="353" spans="1:13" ht="15.75" customHeight="1">
      <c r="A353" s="79" t="str">
        <f>IF(E353="","",VLOOKUP('OPĆI DIO'!$C$3,'OPĆI DIO'!$L$6:$U$120,10,FALSE))</f>
        <v/>
      </c>
      <c r="B353" s="79" t="str">
        <f>IF(E353="","",VLOOKUP('OPĆI DIO'!$C$3,'OPĆI DIO'!$L$6:$U$120,9,FALSE))</f>
        <v/>
      </c>
      <c r="C353" s="63" t="str">
        <f t="shared" si="0"/>
        <v/>
      </c>
      <c r="D353" s="64" t="str">
        <f t="shared" si="1"/>
        <v/>
      </c>
      <c r="E353" s="68"/>
      <c r="F353" s="66" t="str">
        <f t="shared" si="2"/>
        <v/>
      </c>
      <c r="G353" s="67"/>
      <c r="H353" s="67"/>
      <c r="I353" s="67"/>
      <c r="J353" s="68"/>
      <c r="L353" s="51" t="str">
        <f t="shared" si="3"/>
        <v/>
      </c>
      <c r="M353" s="51" t="str">
        <f t="shared" si="7"/>
        <v/>
      </c>
    </row>
    <row r="354" spans="1:13" ht="15.75" customHeight="1">
      <c r="A354" s="79" t="str">
        <f>IF(E354="","",VLOOKUP('OPĆI DIO'!$C$3,'OPĆI DIO'!$L$6:$U$120,10,FALSE))</f>
        <v/>
      </c>
      <c r="B354" s="79" t="str">
        <f>IF(E354="","",VLOOKUP('OPĆI DIO'!$C$3,'OPĆI DIO'!$L$6:$U$120,9,FALSE))</f>
        <v/>
      </c>
      <c r="C354" s="63" t="str">
        <f t="shared" si="0"/>
        <v/>
      </c>
      <c r="D354" s="64" t="str">
        <f t="shared" si="1"/>
        <v/>
      </c>
      <c r="E354" s="68"/>
      <c r="F354" s="66" t="str">
        <f t="shared" si="2"/>
        <v/>
      </c>
      <c r="G354" s="67"/>
      <c r="H354" s="67"/>
      <c r="I354" s="67"/>
      <c r="J354" s="68"/>
      <c r="L354" s="51" t="str">
        <f t="shared" si="3"/>
        <v/>
      </c>
      <c r="M354" s="51" t="str">
        <f t="shared" si="7"/>
        <v/>
      </c>
    </row>
    <row r="355" spans="1:13" ht="15.75" customHeight="1">
      <c r="A355" s="79" t="str">
        <f>IF(E355="","",VLOOKUP('OPĆI DIO'!$C$3,'OPĆI DIO'!$L$6:$U$120,10,FALSE))</f>
        <v/>
      </c>
      <c r="B355" s="79" t="str">
        <f>IF(E355="","",VLOOKUP('OPĆI DIO'!$C$3,'OPĆI DIO'!$L$6:$U$120,9,FALSE))</f>
        <v/>
      </c>
      <c r="C355" s="63" t="str">
        <f t="shared" si="0"/>
        <v/>
      </c>
      <c r="D355" s="64" t="str">
        <f t="shared" si="1"/>
        <v/>
      </c>
      <c r="E355" s="68"/>
      <c r="F355" s="66" t="str">
        <f t="shared" si="2"/>
        <v/>
      </c>
      <c r="G355" s="67"/>
      <c r="H355" s="67"/>
      <c r="I355" s="67"/>
      <c r="J355" s="68"/>
      <c r="L355" s="51" t="str">
        <f t="shared" si="3"/>
        <v/>
      </c>
      <c r="M355" s="51" t="str">
        <f t="shared" si="7"/>
        <v/>
      </c>
    </row>
    <row r="356" spans="1:13" ht="15.75" customHeight="1">
      <c r="A356" s="79" t="str">
        <f>IF(E356="","",VLOOKUP('OPĆI DIO'!$C$3,'OPĆI DIO'!$L$6:$U$120,10,FALSE))</f>
        <v/>
      </c>
      <c r="B356" s="79" t="str">
        <f>IF(E356="","",VLOOKUP('OPĆI DIO'!$C$3,'OPĆI DIO'!$L$6:$U$120,9,FALSE))</f>
        <v/>
      </c>
      <c r="C356" s="63" t="str">
        <f t="shared" si="0"/>
        <v/>
      </c>
      <c r="D356" s="64" t="str">
        <f t="shared" si="1"/>
        <v/>
      </c>
      <c r="E356" s="68"/>
      <c r="F356" s="66" t="str">
        <f t="shared" si="2"/>
        <v/>
      </c>
      <c r="G356" s="67"/>
      <c r="H356" s="67"/>
      <c r="I356" s="67"/>
      <c r="J356" s="68"/>
      <c r="L356" s="51" t="str">
        <f t="shared" si="3"/>
        <v/>
      </c>
      <c r="M356" s="51" t="str">
        <f t="shared" si="7"/>
        <v/>
      </c>
    </row>
    <row r="357" spans="1:13" ht="15.75" customHeight="1">
      <c r="A357" s="79" t="str">
        <f>IF(E357="","",VLOOKUP('OPĆI DIO'!$C$3,'OPĆI DIO'!$L$6:$U$120,10,FALSE))</f>
        <v/>
      </c>
      <c r="B357" s="79" t="str">
        <f>IF(E357="","",VLOOKUP('OPĆI DIO'!$C$3,'OPĆI DIO'!$L$6:$U$120,9,FALSE))</f>
        <v/>
      </c>
      <c r="C357" s="63" t="str">
        <f t="shared" si="0"/>
        <v/>
      </c>
      <c r="D357" s="64" t="str">
        <f t="shared" si="1"/>
        <v/>
      </c>
      <c r="E357" s="68"/>
      <c r="F357" s="66" t="str">
        <f t="shared" si="2"/>
        <v/>
      </c>
      <c r="G357" s="67"/>
      <c r="H357" s="67"/>
      <c r="I357" s="67"/>
      <c r="J357" s="68"/>
      <c r="L357" s="51" t="str">
        <f t="shared" si="3"/>
        <v/>
      </c>
      <c r="M357" s="51" t="str">
        <f t="shared" si="7"/>
        <v/>
      </c>
    </row>
    <row r="358" spans="1:13" ht="15.75" customHeight="1">
      <c r="A358" s="79" t="str">
        <f>IF(E358="","",VLOOKUP('OPĆI DIO'!$C$3,'OPĆI DIO'!$L$6:$U$120,10,FALSE))</f>
        <v/>
      </c>
      <c r="B358" s="79" t="str">
        <f>IF(E358="","",VLOOKUP('OPĆI DIO'!$C$3,'OPĆI DIO'!$L$6:$U$120,9,FALSE))</f>
        <v/>
      </c>
      <c r="C358" s="63" t="str">
        <f t="shared" si="0"/>
        <v/>
      </c>
      <c r="D358" s="64" t="str">
        <f t="shared" si="1"/>
        <v/>
      </c>
      <c r="E358" s="68"/>
      <c r="F358" s="66" t="str">
        <f t="shared" si="2"/>
        <v/>
      </c>
      <c r="G358" s="67"/>
      <c r="H358" s="67"/>
      <c r="I358" s="67"/>
      <c r="J358" s="68"/>
      <c r="L358" s="51" t="str">
        <f t="shared" si="3"/>
        <v/>
      </c>
      <c r="M358" s="51" t="str">
        <f t="shared" si="7"/>
        <v/>
      </c>
    </row>
    <row r="359" spans="1:13" ht="15.75" customHeight="1">
      <c r="A359" s="79" t="str">
        <f>IF(E359="","",VLOOKUP('OPĆI DIO'!$C$3,'OPĆI DIO'!$L$6:$U$120,10,FALSE))</f>
        <v/>
      </c>
      <c r="B359" s="79" t="str">
        <f>IF(E359="","",VLOOKUP('OPĆI DIO'!$C$3,'OPĆI DIO'!$L$6:$U$120,9,FALSE))</f>
        <v/>
      </c>
      <c r="C359" s="63" t="str">
        <f t="shared" si="0"/>
        <v/>
      </c>
      <c r="D359" s="64" t="str">
        <f t="shared" si="1"/>
        <v/>
      </c>
      <c r="E359" s="68"/>
      <c r="F359" s="66" t="str">
        <f t="shared" si="2"/>
        <v/>
      </c>
      <c r="G359" s="67"/>
      <c r="H359" s="67"/>
      <c r="I359" s="67"/>
      <c r="J359" s="68"/>
      <c r="L359" s="51" t="str">
        <f t="shared" si="3"/>
        <v/>
      </c>
      <c r="M359" s="51" t="str">
        <f t="shared" si="7"/>
        <v/>
      </c>
    </row>
    <row r="360" spans="1:13" ht="15.75" customHeight="1">
      <c r="A360" s="79" t="str">
        <f>IF(E360="","",VLOOKUP('OPĆI DIO'!$C$3,'OPĆI DIO'!$L$6:$U$120,10,FALSE))</f>
        <v/>
      </c>
      <c r="B360" s="79" t="str">
        <f>IF(E360="","",VLOOKUP('OPĆI DIO'!$C$3,'OPĆI DIO'!$L$6:$U$120,9,FALSE))</f>
        <v/>
      </c>
      <c r="C360" s="63" t="str">
        <f t="shared" si="0"/>
        <v/>
      </c>
      <c r="D360" s="64" t="str">
        <f t="shared" si="1"/>
        <v/>
      </c>
      <c r="E360" s="68"/>
      <c r="F360" s="66" t="str">
        <f t="shared" si="2"/>
        <v/>
      </c>
      <c r="G360" s="67"/>
      <c r="H360" s="67"/>
      <c r="I360" s="67"/>
      <c r="J360" s="68"/>
      <c r="L360" s="51" t="str">
        <f t="shared" si="3"/>
        <v/>
      </c>
      <c r="M360" s="51" t="str">
        <f t="shared" si="7"/>
        <v/>
      </c>
    </row>
    <row r="361" spans="1:13" ht="15.75" customHeight="1">
      <c r="A361" s="79" t="str">
        <f>IF(E361="","",VLOOKUP('OPĆI DIO'!$C$3,'OPĆI DIO'!$L$6:$U$120,10,FALSE))</f>
        <v/>
      </c>
      <c r="B361" s="79" t="str">
        <f>IF(E361="","",VLOOKUP('OPĆI DIO'!$C$3,'OPĆI DIO'!$L$6:$U$120,9,FALSE))</f>
        <v/>
      </c>
      <c r="C361" s="63" t="str">
        <f t="shared" si="0"/>
        <v/>
      </c>
      <c r="D361" s="64" t="str">
        <f t="shared" si="1"/>
        <v/>
      </c>
      <c r="E361" s="68"/>
      <c r="F361" s="66" t="str">
        <f t="shared" si="2"/>
        <v/>
      </c>
      <c r="G361" s="67"/>
      <c r="H361" s="67"/>
      <c r="I361" s="67"/>
      <c r="J361" s="68"/>
      <c r="L361" s="51" t="str">
        <f t="shared" si="3"/>
        <v/>
      </c>
      <c r="M361" s="51" t="str">
        <f t="shared" si="7"/>
        <v/>
      </c>
    </row>
    <row r="362" spans="1:13" ht="15.75" customHeight="1">
      <c r="A362" s="79" t="str">
        <f>IF(E362="","",VLOOKUP('OPĆI DIO'!$C$3,'OPĆI DIO'!$L$6:$U$120,10,FALSE))</f>
        <v/>
      </c>
      <c r="B362" s="79" t="str">
        <f>IF(E362="","",VLOOKUP('OPĆI DIO'!$C$3,'OPĆI DIO'!$L$6:$U$120,9,FALSE))</f>
        <v/>
      </c>
      <c r="C362" s="63" t="str">
        <f t="shared" si="0"/>
        <v/>
      </c>
      <c r="D362" s="64" t="str">
        <f t="shared" si="1"/>
        <v/>
      </c>
      <c r="E362" s="68"/>
      <c r="F362" s="66" t="str">
        <f t="shared" si="2"/>
        <v/>
      </c>
      <c r="G362" s="67"/>
      <c r="H362" s="67"/>
      <c r="I362" s="67"/>
      <c r="J362" s="68"/>
      <c r="L362" s="51" t="str">
        <f t="shared" si="3"/>
        <v/>
      </c>
      <c r="M362" s="51" t="str">
        <f t="shared" si="7"/>
        <v/>
      </c>
    </row>
    <row r="363" spans="1:13" ht="15.75" customHeight="1">
      <c r="A363" s="79" t="str">
        <f>IF(E363="","",VLOOKUP('OPĆI DIO'!$C$3,'OPĆI DIO'!$L$6:$U$120,10,FALSE))</f>
        <v/>
      </c>
      <c r="B363" s="79" t="str">
        <f>IF(E363="","",VLOOKUP('OPĆI DIO'!$C$3,'OPĆI DIO'!$L$6:$U$120,9,FALSE))</f>
        <v/>
      </c>
      <c r="C363" s="63" t="str">
        <f t="shared" si="0"/>
        <v/>
      </c>
      <c r="D363" s="64" t="str">
        <f t="shared" si="1"/>
        <v/>
      </c>
      <c r="E363" s="68"/>
      <c r="F363" s="66" t="str">
        <f t="shared" si="2"/>
        <v/>
      </c>
      <c r="G363" s="67"/>
      <c r="H363" s="67"/>
      <c r="I363" s="67"/>
      <c r="J363" s="68"/>
      <c r="L363" s="51" t="str">
        <f t="shared" si="3"/>
        <v/>
      </c>
      <c r="M363" s="51" t="str">
        <f t="shared" si="7"/>
        <v/>
      </c>
    </row>
    <row r="364" spans="1:13" ht="15.75" customHeight="1">
      <c r="A364" s="79" t="str">
        <f>IF(E364="","",VLOOKUP('OPĆI DIO'!$C$3,'OPĆI DIO'!$L$6:$U$120,10,FALSE))</f>
        <v/>
      </c>
      <c r="B364" s="79" t="str">
        <f>IF(E364="","",VLOOKUP('OPĆI DIO'!$C$3,'OPĆI DIO'!$L$6:$U$120,9,FALSE))</f>
        <v/>
      </c>
      <c r="C364" s="63" t="str">
        <f t="shared" si="0"/>
        <v/>
      </c>
      <c r="D364" s="64" t="str">
        <f t="shared" si="1"/>
        <v/>
      </c>
      <c r="E364" s="68"/>
      <c r="F364" s="66" t="str">
        <f t="shared" si="2"/>
        <v/>
      </c>
      <c r="G364" s="67"/>
      <c r="H364" s="67"/>
      <c r="I364" s="67"/>
      <c r="J364" s="68"/>
      <c r="L364" s="51" t="str">
        <f t="shared" si="3"/>
        <v/>
      </c>
      <c r="M364" s="51" t="str">
        <f t="shared" si="7"/>
        <v/>
      </c>
    </row>
    <row r="365" spans="1:13" ht="15.75" customHeight="1">
      <c r="A365" s="79" t="str">
        <f>IF(E365="","",VLOOKUP('OPĆI DIO'!$C$3,'OPĆI DIO'!$L$6:$U$120,10,FALSE))</f>
        <v/>
      </c>
      <c r="B365" s="79" t="str">
        <f>IF(E365="","",VLOOKUP('OPĆI DIO'!$C$3,'OPĆI DIO'!$L$6:$U$120,9,FALSE))</f>
        <v/>
      </c>
      <c r="C365" s="63" t="str">
        <f t="shared" si="0"/>
        <v/>
      </c>
      <c r="D365" s="64" t="str">
        <f t="shared" si="1"/>
        <v/>
      </c>
      <c r="E365" s="68"/>
      <c r="F365" s="66" t="str">
        <f t="shared" si="2"/>
        <v/>
      </c>
      <c r="G365" s="67"/>
      <c r="H365" s="67"/>
      <c r="I365" s="67"/>
      <c r="J365" s="68"/>
      <c r="L365" s="51" t="str">
        <f t="shared" si="3"/>
        <v/>
      </c>
      <c r="M365" s="51" t="str">
        <f t="shared" si="7"/>
        <v/>
      </c>
    </row>
    <row r="366" spans="1:13" ht="15.75" customHeight="1">
      <c r="A366" s="79" t="str">
        <f>IF(E366="","",VLOOKUP('OPĆI DIO'!$C$3,'OPĆI DIO'!$L$6:$U$120,10,FALSE))</f>
        <v/>
      </c>
      <c r="B366" s="79" t="str">
        <f>IF(E366="","",VLOOKUP('OPĆI DIO'!$C$3,'OPĆI DIO'!$L$6:$U$120,9,FALSE))</f>
        <v/>
      </c>
      <c r="C366" s="63" t="str">
        <f t="shared" si="0"/>
        <v/>
      </c>
      <c r="D366" s="64" t="str">
        <f t="shared" si="1"/>
        <v/>
      </c>
      <c r="E366" s="68"/>
      <c r="F366" s="66" t="str">
        <f t="shared" si="2"/>
        <v/>
      </c>
      <c r="G366" s="67"/>
      <c r="H366" s="67"/>
      <c r="I366" s="67"/>
      <c r="J366" s="68"/>
      <c r="L366" s="51" t="str">
        <f t="shared" si="3"/>
        <v/>
      </c>
      <c r="M366" s="51" t="str">
        <f t="shared" si="7"/>
        <v/>
      </c>
    </row>
    <row r="367" spans="1:13" ht="15.75" customHeight="1">
      <c r="A367" s="79" t="str">
        <f>IF(E367="","",VLOOKUP('OPĆI DIO'!$C$3,'OPĆI DIO'!$L$6:$U$120,10,FALSE))</f>
        <v/>
      </c>
      <c r="B367" s="79" t="str">
        <f>IF(E367="","",VLOOKUP('OPĆI DIO'!$C$3,'OPĆI DIO'!$L$6:$U$120,9,FALSE))</f>
        <v/>
      </c>
      <c r="C367" s="63" t="str">
        <f t="shared" si="0"/>
        <v/>
      </c>
      <c r="D367" s="64" t="str">
        <f t="shared" si="1"/>
        <v/>
      </c>
      <c r="E367" s="68"/>
      <c r="F367" s="66" t="str">
        <f t="shared" si="2"/>
        <v/>
      </c>
      <c r="G367" s="67"/>
      <c r="H367" s="67"/>
      <c r="I367" s="67"/>
      <c r="J367" s="68"/>
      <c r="L367" s="51" t="str">
        <f t="shared" si="3"/>
        <v/>
      </c>
      <c r="M367" s="51" t="str">
        <f t="shared" si="7"/>
        <v/>
      </c>
    </row>
    <row r="368" spans="1:13" ht="15.75" customHeight="1">
      <c r="A368" s="79" t="str">
        <f>IF(E368="","",VLOOKUP('OPĆI DIO'!$C$3,'OPĆI DIO'!$L$6:$U$120,10,FALSE))</f>
        <v/>
      </c>
      <c r="B368" s="79" t="str">
        <f>IF(E368="","",VLOOKUP('OPĆI DIO'!$C$3,'OPĆI DIO'!$L$6:$U$120,9,FALSE))</f>
        <v/>
      </c>
      <c r="C368" s="63" t="str">
        <f t="shared" si="0"/>
        <v/>
      </c>
      <c r="D368" s="64" t="str">
        <f t="shared" si="1"/>
        <v/>
      </c>
      <c r="E368" s="68"/>
      <c r="F368" s="66" t="str">
        <f t="shared" si="2"/>
        <v/>
      </c>
      <c r="G368" s="67"/>
      <c r="H368" s="67"/>
      <c r="I368" s="67"/>
      <c r="J368" s="68"/>
      <c r="L368" s="51" t="str">
        <f t="shared" si="3"/>
        <v/>
      </c>
      <c r="M368" s="51" t="str">
        <f t="shared" si="7"/>
        <v/>
      </c>
    </row>
    <row r="369" spans="1:13" ht="15.75" customHeight="1">
      <c r="A369" s="79" t="str">
        <f>IF(E369="","",VLOOKUP('OPĆI DIO'!$C$3,'OPĆI DIO'!$L$6:$U$120,10,FALSE))</f>
        <v/>
      </c>
      <c r="B369" s="79" t="str">
        <f>IF(E369="","",VLOOKUP('OPĆI DIO'!$C$3,'OPĆI DIO'!$L$6:$U$120,9,FALSE))</f>
        <v/>
      </c>
      <c r="C369" s="63" t="str">
        <f t="shared" si="0"/>
        <v/>
      </c>
      <c r="D369" s="64" t="str">
        <f t="shared" si="1"/>
        <v/>
      </c>
      <c r="E369" s="68"/>
      <c r="F369" s="66" t="str">
        <f t="shared" si="2"/>
        <v/>
      </c>
      <c r="G369" s="67"/>
      <c r="H369" s="67"/>
      <c r="I369" s="67"/>
      <c r="J369" s="68"/>
      <c r="L369" s="51" t="str">
        <f t="shared" si="3"/>
        <v/>
      </c>
      <c r="M369" s="51" t="str">
        <f t="shared" si="7"/>
        <v/>
      </c>
    </row>
    <row r="370" spans="1:13" ht="15.75" customHeight="1">
      <c r="A370" s="79" t="str">
        <f>IF(E370="","",VLOOKUP('OPĆI DIO'!$C$3,'OPĆI DIO'!$L$6:$U$120,10,FALSE))</f>
        <v/>
      </c>
      <c r="B370" s="79" t="str">
        <f>IF(E370="","",VLOOKUP('OPĆI DIO'!$C$3,'OPĆI DIO'!$L$6:$U$120,9,FALSE))</f>
        <v/>
      </c>
      <c r="C370" s="63" t="str">
        <f t="shared" si="0"/>
        <v/>
      </c>
      <c r="D370" s="64" t="str">
        <f t="shared" si="1"/>
        <v/>
      </c>
      <c r="E370" s="68"/>
      <c r="F370" s="66" t="str">
        <f t="shared" si="2"/>
        <v/>
      </c>
      <c r="G370" s="67"/>
      <c r="H370" s="67"/>
      <c r="I370" s="67"/>
      <c r="J370" s="68"/>
      <c r="L370" s="51" t="str">
        <f t="shared" si="3"/>
        <v/>
      </c>
      <c r="M370" s="51" t="str">
        <f t="shared" si="7"/>
        <v/>
      </c>
    </row>
    <row r="371" spans="1:13" ht="15.75" customHeight="1">
      <c r="A371" s="79" t="str">
        <f>IF(E371="","",VLOOKUP('OPĆI DIO'!$C$3,'OPĆI DIO'!$L$6:$U$120,10,FALSE))</f>
        <v/>
      </c>
      <c r="B371" s="79" t="str">
        <f>IF(E371="","",VLOOKUP('OPĆI DIO'!$C$3,'OPĆI DIO'!$L$6:$U$120,9,FALSE))</f>
        <v/>
      </c>
      <c r="C371" s="63" t="str">
        <f t="shared" si="0"/>
        <v/>
      </c>
      <c r="D371" s="64" t="str">
        <f t="shared" si="1"/>
        <v/>
      </c>
      <c r="E371" s="68"/>
      <c r="F371" s="66" t="str">
        <f t="shared" si="2"/>
        <v/>
      </c>
      <c r="G371" s="67"/>
      <c r="H371" s="67"/>
      <c r="I371" s="67"/>
      <c r="J371" s="68"/>
      <c r="L371" s="51" t="str">
        <f t="shared" si="3"/>
        <v/>
      </c>
      <c r="M371" s="51" t="str">
        <f t="shared" si="7"/>
        <v/>
      </c>
    </row>
    <row r="372" spans="1:13" ht="15.75" customHeight="1">
      <c r="A372" s="79" t="str">
        <f>IF(E372="","",VLOOKUP('OPĆI DIO'!$C$3,'OPĆI DIO'!$L$6:$U$120,10,FALSE))</f>
        <v/>
      </c>
      <c r="B372" s="79" t="str">
        <f>IF(E372="","",VLOOKUP('OPĆI DIO'!$C$3,'OPĆI DIO'!$L$6:$U$120,9,FALSE))</f>
        <v/>
      </c>
      <c r="C372" s="63" t="str">
        <f t="shared" si="0"/>
        <v/>
      </c>
      <c r="D372" s="64" t="str">
        <f t="shared" si="1"/>
        <v/>
      </c>
      <c r="E372" s="68"/>
      <c r="F372" s="66" t="str">
        <f t="shared" si="2"/>
        <v/>
      </c>
      <c r="G372" s="67"/>
      <c r="H372" s="67"/>
      <c r="I372" s="67"/>
      <c r="J372" s="68"/>
      <c r="L372" s="51" t="str">
        <f t="shared" si="3"/>
        <v/>
      </c>
      <c r="M372" s="51" t="str">
        <f t="shared" si="7"/>
        <v/>
      </c>
    </row>
    <row r="373" spans="1:13" ht="15.75" customHeight="1">
      <c r="A373" s="79" t="str">
        <f>IF(E373="","",VLOOKUP('OPĆI DIO'!$C$3,'OPĆI DIO'!$L$6:$U$120,10,FALSE))</f>
        <v/>
      </c>
      <c r="B373" s="79" t="str">
        <f>IF(E373="","",VLOOKUP('OPĆI DIO'!$C$3,'OPĆI DIO'!$L$6:$U$120,9,FALSE))</f>
        <v/>
      </c>
      <c r="C373" s="63" t="str">
        <f t="shared" si="0"/>
        <v/>
      </c>
      <c r="D373" s="64" t="str">
        <f t="shared" si="1"/>
        <v/>
      </c>
      <c r="E373" s="68"/>
      <c r="F373" s="66" t="str">
        <f t="shared" si="2"/>
        <v/>
      </c>
      <c r="G373" s="67"/>
      <c r="H373" s="67"/>
      <c r="I373" s="67"/>
      <c r="J373" s="68"/>
      <c r="L373" s="51" t="str">
        <f t="shared" si="3"/>
        <v/>
      </c>
      <c r="M373" s="51" t="str">
        <f t="shared" si="7"/>
        <v/>
      </c>
    </row>
    <row r="374" spans="1:13" ht="15.75" customHeight="1">
      <c r="A374" s="79" t="str">
        <f>IF(E374="","",VLOOKUP('OPĆI DIO'!$C$3,'OPĆI DIO'!$L$6:$U$120,10,FALSE))</f>
        <v/>
      </c>
      <c r="B374" s="79" t="str">
        <f>IF(E374="","",VLOOKUP('OPĆI DIO'!$C$3,'OPĆI DIO'!$L$6:$U$120,9,FALSE))</f>
        <v/>
      </c>
      <c r="C374" s="63" t="str">
        <f t="shared" si="0"/>
        <v/>
      </c>
      <c r="D374" s="64" t="str">
        <f t="shared" si="1"/>
        <v/>
      </c>
      <c r="E374" s="68"/>
      <c r="F374" s="66" t="str">
        <f t="shared" si="2"/>
        <v/>
      </c>
      <c r="G374" s="67"/>
      <c r="H374" s="67"/>
      <c r="I374" s="67"/>
      <c r="J374" s="68"/>
      <c r="L374" s="51" t="str">
        <f t="shared" si="3"/>
        <v/>
      </c>
      <c r="M374" s="51" t="str">
        <f t="shared" si="7"/>
        <v/>
      </c>
    </row>
    <row r="375" spans="1:13" ht="15.75" customHeight="1">
      <c r="A375" s="79" t="str">
        <f>IF(E375="","",VLOOKUP('OPĆI DIO'!$C$3,'OPĆI DIO'!$L$6:$U$120,10,FALSE))</f>
        <v/>
      </c>
      <c r="B375" s="79" t="str">
        <f>IF(E375="","",VLOOKUP('OPĆI DIO'!$C$3,'OPĆI DIO'!$L$6:$U$120,9,FALSE))</f>
        <v/>
      </c>
      <c r="C375" s="63" t="str">
        <f t="shared" si="0"/>
        <v/>
      </c>
      <c r="D375" s="64" t="str">
        <f t="shared" si="1"/>
        <v/>
      </c>
      <c r="E375" s="68"/>
      <c r="F375" s="66" t="str">
        <f t="shared" si="2"/>
        <v/>
      </c>
      <c r="G375" s="67"/>
      <c r="H375" s="67"/>
      <c r="I375" s="67"/>
      <c r="J375" s="68"/>
      <c r="L375" s="51" t="str">
        <f t="shared" si="3"/>
        <v/>
      </c>
      <c r="M375" s="51" t="str">
        <f t="shared" si="7"/>
        <v/>
      </c>
    </row>
    <row r="376" spans="1:13" ht="15.75" customHeight="1">
      <c r="A376" s="79" t="str">
        <f>IF(E376="","",VLOOKUP('OPĆI DIO'!$C$3,'OPĆI DIO'!$L$6:$U$120,10,FALSE))</f>
        <v/>
      </c>
      <c r="B376" s="79" t="str">
        <f>IF(E376="","",VLOOKUP('OPĆI DIO'!$C$3,'OPĆI DIO'!$L$6:$U$120,9,FALSE))</f>
        <v/>
      </c>
      <c r="C376" s="63" t="str">
        <f t="shared" si="0"/>
        <v/>
      </c>
      <c r="D376" s="64" t="str">
        <f t="shared" si="1"/>
        <v/>
      </c>
      <c r="E376" s="68"/>
      <c r="F376" s="66" t="str">
        <f t="shared" si="2"/>
        <v/>
      </c>
      <c r="G376" s="67"/>
      <c r="H376" s="67"/>
      <c r="I376" s="67"/>
      <c r="J376" s="68"/>
      <c r="L376" s="51" t="str">
        <f t="shared" si="3"/>
        <v/>
      </c>
      <c r="M376" s="51" t="str">
        <f t="shared" si="7"/>
        <v/>
      </c>
    </row>
    <row r="377" spans="1:13" ht="15.75" customHeight="1">
      <c r="A377" s="79" t="str">
        <f>IF(E377="","",VLOOKUP('OPĆI DIO'!$C$3,'OPĆI DIO'!$L$6:$U$120,10,FALSE))</f>
        <v/>
      </c>
      <c r="B377" s="79" t="str">
        <f>IF(E377="","",VLOOKUP('OPĆI DIO'!$C$3,'OPĆI DIO'!$L$6:$U$120,9,FALSE))</f>
        <v/>
      </c>
      <c r="C377" s="63" t="str">
        <f t="shared" si="0"/>
        <v/>
      </c>
      <c r="D377" s="64" t="str">
        <f t="shared" si="1"/>
        <v/>
      </c>
      <c r="E377" s="68"/>
      <c r="F377" s="66" t="str">
        <f t="shared" si="2"/>
        <v/>
      </c>
      <c r="G377" s="67"/>
      <c r="H377" s="67"/>
      <c r="I377" s="67"/>
      <c r="J377" s="68"/>
      <c r="L377" s="51" t="str">
        <f t="shared" si="3"/>
        <v/>
      </c>
      <c r="M377" s="51" t="str">
        <f t="shared" si="7"/>
        <v/>
      </c>
    </row>
    <row r="378" spans="1:13" ht="15.75" customHeight="1">
      <c r="A378" s="79" t="str">
        <f>IF(E378="","",VLOOKUP('OPĆI DIO'!$C$3,'OPĆI DIO'!$L$6:$U$120,10,FALSE))</f>
        <v/>
      </c>
      <c r="B378" s="79" t="str">
        <f>IF(E378="","",VLOOKUP('OPĆI DIO'!$C$3,'OPĆI DIO'!$L$6:$U$120,9,FALSE))</f>
        <v/>
      </c>
      <c r="C378" s="63" t="str">
        <f t="shared" si="0"/>
        <v/>
      </c>
      <c r="D378" s="64" t="str">
        <f t="shared" si="1"/>
        <v/>
      </c>
      <c r="E378" s="68"/>
      <c r="F378" s="66" t="str">
        <f t="shared" si="2"/>
        <v/>
      </c>
      <c r="G378" s="67"/>
      <c r="H378" s="67"/>
      <c r="I378" s="67"/>
      <c r="J378" s="68"/>
      <c r="L378" s="51" t="str">
        <f t="shared" si="3"/>
        <v/>
      </c>
      <c r="M378" s="51" t="str">
        <f t="shared" si="7"/>
        <v/>
      </c>
    </row>
    <row r="379" spans="1:13" ht="15.75" customHeight="1">
      <c r="A379" s="79" t="str">
        <f>IF(E379="","",VLOOKUP('OPĆI DIO'!$C$3,'OPĆI DIO'!$L$6:$U$120,10,FALSE))</f>
        <v/>
      </c>
      <c r="B379" s="79" t="str">
        <f>IF(E379="","",VLOOKUP('OPĆI DIO'!$C$3,'OPĆI DIO'!$L$6:$U$120,9,FALSE))</f>
        <v/>
      </c>
      <c r="C379" s="63" t="str">
        <f t="shared" si="0"/>
        <v/>
      </c>
      <c r="D379" s="64" t="str">
        <f t="shared" si="1"/>
        <v/>
      </c>
      <c r="E379" s="68"/>
      <c r="F379" s="66" t="str">
        <f t="shared" si="2"/>
        <v/>
      </c>
      <c r="G379" s="67"/>
      <c r="H379" s="67"/>
      <c r="I379" s="67"/>
      <c r="J379" s="68"/>
      <c r="L379" s="51" t="str">
        <f t="shared" si="3"/>
        <v/>
      </c>
      <c r="M379" s="51" t="str">
        <f t="shared" si="7"/>
        <v/>
      </c>
    </row>
    <row r="380" spans="1:13" ht="15.75" customHeight="1">
      <c r="A380" s="79" t="str">
        <f>IF(E380="","",VLOOKUP('OPĆI DIO'!$C$3,'OPĆI DIO'!$L$6:$U$120,10,FALSE))</f>
        <v/>
      </c>
      <c r="B380" s="79" t="str">
        <f>IF(E380="","",VLOOKUP('OPĆI DIO'!$C$3,'OPĆI DIO'!$L$6:$U$120,9,FALSE))</f>
        <v/>
      </c>
      <c r="C380" s="63" t="str">
        <f t="shared" si="0"/>
        <v/>
      </c>
      <c r="D380" s="64" t="str">
        <f t="shared" si="1"/>
        <v/>
      </c>
      <c r="E380" s="68"/>
      <c r="F380" s="66" t="str">
        <f t="shared" si="2"/>
        <v/>
      </c>
      <c r="G380" s="67"/>
      <c r="H380" s="67"/>
      <c r="I380" s="67"/>
      <c r="J380" s="68"/>
      <c r="L380" s="51" t="str">
        <f t="shared" si="3"/>
        <v/>
      </c>
      <c r="M380" s="51" t="str">
        <f t="shared" si="7"/>
        <v/>
      </c>
    </row>
    <row r="381" spans="1:13" ht="15.75" customHeight="1">
      <c r="A381" s="79" t="str">
        <f>IF(E381="","",VLOOKUP('OPĆI DIO'!$C$3,'OPĆI DIO'!$L$6:$U$120,10,FALSE))</f>
        <v/>
      </c>
      <c r="B381" s="79" t="str">
        <f>IF(E381="","",VLOOKUP('OPĆI DIO'!$C$3,'OPĆI DIO'!$L$6:$U$120,9,FALSE))</f>
        <v/>
      </c>
      <c r="C381" s="63" t="str">
        <f t="shared" si="0"/>
        <v/>
      </c>
      <c r="D381" s="64" t="str">
        <f t="shared" si="1"/>
        <v/>
      </c>
      <c r="E381" s="68"/>
      <c r="F381" s="66" t="str">
        <f t="shared" si="2"/>
        <v/>
      </c>
      <c r="G381" s="67"/>
      <c r="H381" s="67"/>
      <c r="I381" s="67"/>
      <c r="J381" s="68"/>
      <c r="L381" s="51" t="str">
        <f t="shared" si="3"/>
        <v/>
      </c>
      <c r="M381" s="51" t="str">
        <f t="shared" si="7"/>
        <v/>
      </c>
    </row>
    <row r="382" spans="1:13" ht="15.75" customHeight="1">
      <c r="A382" s="79" t="str">
        <f>IF(E382="","",VLOOKUP('OPĆI DIO'!$C$3,'OPĆI DIO'!$L$6:$U$120,10,FALSE))</f>
        <v/>
      </c>
      <c r="B382" s="79" t="str">
        <f>IF(E382="","",VLOOKUP('OPĆI DIO'!$C$3,'OPĆI DIO'!$L$6:$U$120,9,FALSE))</f>
        <v/>
      </c>
      <c r="C382" s="63" t="str">
        <f t="shared" si="0"/>
        <v/>
      </c>
      <c r="D382" s="64" t="str">
        <f t="shared" si="1"/>
        <v/>
      </c>
      <c r="E382" s="68"/>
      <c r="F382" s="66" t="str">
        <f t="shared" si="2"/>
        <v/>
      </c>
      <c r="G382" s="67"/>
      <c r="H382" s="67"/>
      <c r="I382" s="67"/>
      <c r="J382" s="68"/>
      <c r="L382" s="51" t="str">
        <f t="shared" si="3"/>
        <v/>
      </c>
      <c r="M382" s="51" t="str">
        <f t="shared" si="7"/>
        <v/>
      </c>
    </row>
    <row r="383" spans="1:13" ht="15.75" customHeight="1">
      <c r="A383" s="79" t="str">
        <f>IF(E383="","",VLOOKUP('OPĆI DIO'!$C$3,'OPĆI DIO'!$L$6:$U$120,10,FALSE))</f>
        <v/>
      </c>
      <c r="B383" s="79" t="str">
        <f>IF(E383="","",VLOOKUP('OPĆI DIO'!$C$3,'OPĆI DIO'!$L$6:$U$120,9,FALSE))</f>
        <v/>
      </c>
      <c r="C383" s="63" t="str">
        <f t="shared" si="0"/>
        <v/>
      </c>
      <c r="D383" s="64" t="str">
        <f t="shared" si="1"/>
        <v/>
      </c>
      <c r="E383" s="68"/>
      <c r="F383" s="66" t="str">
        <f t="shared" si="2"/>
        <v/>
      </c>
      <c r="G383" s="67"/>
      <c r="H383" s="67"/>
      <c r="I383" s="67"/>
      <c r="J383" s="68"/>
      <c r="L383" s="51" t="str">
        <f t="shared" si="3"/>
        <v/>
      </c>
      <c r="M383" s="51" t="str">
        <f t="shared" si="7"/>
        <v/>
      </c>
    </row>
    <row r="384" spans="1:13" ht="15.75" customHeight="1">
      <c r="A384" s="79" t="str">
        <f>IF(E384="","",VLOOKUP('OPĆI DIO'!$C$3,'OPĆI DIO'!$L$6:$U$120,10,FALSE))</f>
        <v/>
      </c>
      <c r="B384" s="79" t="str">
        <f>IF(E384="","",VLOOKUP('OPĆI DIO'!$C$3,'OPĆI DIO'!$L$6:$U$120,9,FALSE))</f>
        <v/>
      </c>
      <c r="C384" s="63" t="str">
        <f t="shared" si="0"/>
        <v/>
      </c>
      <c r="D384" s="64" t="str">
        <f t="shared" si="1"/>
        <v/>
      </c>
      <c r="E384" s="68"/>
      <c r="F384" s="66" t="str">
        <f t="shared" si="2"/>
        <v/>
      </c>
      <c r="G384" s="67"/>
      <c r="H384" s="67"/>
      <c r="I384" s="67"/>
      <c r="J384" s="68"/>
      <c r="L384" s="51" t="str">
        <f t="shared" si="3"/>
        <v/>
      </c>
      <c r="M384" s="51" t="str">
        <f t="shared" si="7"/>
        <v/>
      </c>
    </row>
    <row r="385" spans="1:13" ht="15.75" customHeight="1">
      <c r="A385" s="79" t="str">
        <f>IF(E385="","",VLOOKUP('OPĆI DIO'!$C$3,'OPĆI DIO'!$L$6:$U$120,10,FALSE))</f>
        <v/>
      </c>
      <c r="B385" s="79" t="str">
        <f>IF(E385="","",VLOOKUP('OPĆI DIO'!$C$3,'OPĆI DIO'!$L$6:$U$120,9,FALSE))</f>
        <v/>
      </c>
      <c r="C385" s="63" t="str">
        <f t="shared" si="0"/>
        <v/>
      </c>
      <c r="D385" s="64" t="str">
        <f t="shared" si="1"/>
        <v/>
      </c>
      <c r="E385" s="68"/>
      <c r="F385" s="66" t="str">
        <f t="shared" si="2"/>
        <v/>
      </c>
      <c r="G385" s="67"/>
      <c r="H385" s="67"/>
      <c r="I385" s="67"/>
      <c r="J385" s="68"/>
      <c r="L385" s="51" t="str">
        <f t="shared" si="3"/>
        <v/>
      </c>
      <c r="M385" s="51" t="str">
        <f t="shared" si="7"/>
        <v/>
      </c>
    </row>
    <row r="386" spans="1:13" ht="15.75" customHeight="1">
      <c r="A386" s="79" t="str">
        <f>IF(E386="","",VLOOKUP('OPĆI DIO'!$C$3,'OPĆI DIO'!$L$6:$U$120,10,FALSE))</f>
        <v/>
      </c>
      <c r="B386" s="79" t="str">
        <f>IF(E386="","",VLOOKUP('OPĆI DIO'!$C$3,'OPĆI DIO'!$L$6:$U$120,9,FALSE))</f>
        <v/>
      </c>
      <c r="C386" s="63" t="str">
        <f t="shared" si="0"/>
        <v/>
      </c>
      <c r="D386" s="64" t="str">
        <f t="shared" si="1"/>
        <v/>
      </c>
      <c r="E386" s="68"/>
      <c r="F386" s="66" t="str">
        <f t="shared" si="2"/>
        <v/>
      </c>
      <c r="G386" s="67"/>
      <c r="H386" s="67"/>
      <c r="I386" s="67"/>
      <c r="J386" s="68"/>
      <c r="L386" s="51" t="str">
        <f t="shared" si="3"/>
        <v/>
      </c>
      <c r="M386" s="51" t="str">
        <f t="shared" si="7"/>
        <v/>
      </c>
    </row>
    <row r="387" spans="1:13" ht="15.75" customHeight="1">
      <c r="A387" s="79" t="str">
        <f>IF(E387="","",VLOOKUP('OPĆI DIO'!$C$3,'OPĆI DIO'!$L$6:$U$120,10,FALSE))</f>
        <v/>
      </c>
      <c r="B387" s="79" t="str">
        <f>IF(E387="","",VLOOKUP('OPĆI DIO'!$C$3,'OPĆI DIO'!$L$6:$U$120,9,FALSE))</f>
        <v/>
      </c>
      <c r="C387" s="63" t="str">
        <f t="shared" si="0"/>
        <v/>
      </c>
      <c r="D387" s="64" t="str">
        <f t="shared" si="1"/>
        <v/>
      </c>
      <c r="E387" s="68"/>
      <c r="F387" s="66" t="str">
        <f t="shared" si="2"/>
        <v/>
      </c>
      <c r="G387" s="67"/>
      <c r="H387" s="67"/>
      <c r="I387" s="67"/>
      <c r="J387" s="68"/>
      <c r="L387" s="51" t="str">
        <f t="shared" si="3"/>
        <v/>
      </c>
      <c r="M387" s="51" t="str">
        <f t="shared" si="7"/>
        <v/>
      </c>
    </row>
    <row r="388" spans="1:13" ht="15.75" customHeight="1">
      <c r="A388" s="79" t="str">
        <f>IF(E388="","",VLOOKUP('OPĆI DIO'!$C$3,'OPĆI DIO'!$L$6:$U$120,10,FALSE))</f>
        <v/>
      </c>
      <c r="B388" s="79" t="str">
        <f>IF(E388="","",VLOOKUP('OPĆI DIO'!$C$3,'OPĆI DIO'!$L$6:$U$120,9,FALSE))</f>
        <v/>
      </c>
      <c r="C388" s="63" t="str">
        <f t="shared" si="0"/>
        <v/>
      </c>
      <c r="D388" s="64" t="str">
        <f t="shared" si="1"/>
        <v/>
      </c>
      <c r="E388" s="68"/>
      <c r="F388" s="66" t="str">
        <f t="shared" si="2"/>
        <v/>
      </c>
      <c r="G388" s="67"/>
      <c r="H388" s="67"/>
      <c r="I388" s="67"/>
      <c r="J388" s="68"/>
      <c r="L388" s="51" t="str">
        <f t="shared" si="3"/>
        <v/>
      </c>
      <c r="M388" s="51" t="str">
        <f t="shared" si="7"/>
        <v/>
      </c>
    </row>
    <row r="389" spans="1:13" ht="15.75" customHeight="1">
      <c r="A389" s="79" t="str">
        <f>IF(E389="","",VLOOKUP('OPĆI DIO'!$C$3,'OPĆI DIO'!$L$6:$U$120,10,FALSE))</f>
        <v/>
      </c>
      <c r="B389" s="79" t="str">
        <f>IF(E389="","",VLOOKUP('OPĆI DIO'!$C$3,'OPĆI DIO'!$L$6:$U$120,9,FALSE))</f>
        <v/>
      </c>
      <c r="C389" s="63" t="str">
        <f t="shared" si="0"/>
        <v/>
      </c>
      <c r="D389" s="64" t="str">
        <f t="shared" si="1"/>
        <v/>
      </c>
      <c r="E389" s="68"/>
      <c r="F389" s="66" t="str">
        <f t="shared" si="2"/>
        <v/>
      </c>
      <c r="G389" s="67"/>
      <c r="H389" s="67"/>
      <c r="I389" s="67"/>
      <c r="J389" s="68"/>
      <c r="L389" s="51" t="str">
        <f t="shared" si="3"/>
        <v/>
      </c>
      <c r="M389" s="51" t="str">
        <f t="shared" si="7"/>
        <v/>
      </c>
    </row>
    <row r="390" spans="1:13" ht="15.75" customHeight="1">
      <c r="A390" s="79" t="str">
        <f>IF(E390="","",VLOOKUP('OPĆI DIO'!$C$3,'OPĆI DIO'!$L$6:$U$120,10,FALSE))</f>
        <v/>
      </c>
      <c r="B390" s="79" t="str">
        <f>IF(E390="","",VLOOKUP('OPĆI DIO'!$C$3,'OPĆI DIO'!$L$6:$U$120,9,FALSE))</f>
        <v/>
      </c>
      <c r="C390" s="63" t="str">
        <f t="shared" si="0"/>
        <v/>
      </c>
      <c r="D390" s="64" t="str">
        <f t="shared" si="1"/>
        <v/>
      </c>
      <c r="E390" s="68"/>
      <c r="F390" s="66" t="str">
        <f t="shared" si="2"/>
        <v/>
      </c>
      <c r="G390" s="67"/>
      <c r="H390" s="67"/>
      <c r="I390" s="67"/>
      <c r="J390" s="68"/>
      <c r="L390" s="51" t="str">
        <f t="shared" si="3"/>
        <v/>
      </c>
      <c r="M390" s="51" t="str">
        <f t="shared" si="7"/>
        <v/>
      </c>
    </row>
    <row r="391" spans="1:13" ht="15.75" customHeight="1">
      <c r="A391" s="79" t="str">
        <f>IF(E391="","",VLOOKUP('OPĆI DIO'!$C$3,'OPĆI DIO'!$L$6:$U$120,10,FALSE))</f>
        <v/>
      </c>
      <c r="B391" s="79" t="str">
        <f>IF(E391="","",VLOOKUP('OPĆI DIO'!$C$3,'OPĆI DIO'!$L$6:$U$120,9,FALSE))</f>
        <v/>
      </c>
      <c r="C391" s="63" t="str">
        <f t="shared" si="0"/>
        <v/>
      </c>
      <c r="D391" s="64" t="str">
        <f t="shared" si="1"/>
        <v/>
      </c>
      <c r="E391" s="68"/>
      <c r="F391" s="66" t="str">
        <f t="shared" si="2"/>
        <v/>
      </c>
      <c r="G391" s="67"/>
      <c r="H391" s="67"/>
      <c r="I391" s="67"/>
      <c r="J391" s="68"/>
      <c r="L391" s="51" t="str">
        <f t="shared" si="3"/>
        <v/>
      </c>
      <c r="M391" s="51" t="str">
        <f t="shared" si="7"/>
        <v/>
      </c>
    </row>
    <row r="392" spans="1:13" ht="15.75" customHeight="1">
      <c r="A392" s="79" t="str">
        <f>IF(E392="","",VLOOKUP('OPĆI DIO'!$C$3,'OPĆI DIO'!$L$6:$U$120,10,FALSE))</f>
        <v/>
      </c>
      <c r="B392" s="79" t="str">
        <f>IF(E392="","",VLOOKUP('OPĆI DIO'!$C$3,'OPĆI DIO'!$L$6:$U$120,9,FALSE))</f>
        <v/>
      </c>
      <c r="C392" s="63" t="str">
        <f t="shared" si="0"/>
        <v/>
      </c>
      <c r="D392" s="64" t="str">
        <f t="shared" si="1"/>
        <v/>
      </c>
      <c r="E392" s="68"/>
      <c r="F392" s="66" t="str">
        <f t="shared" si="2"/>
        <v/>
      </c>
      <c r="G392" s="67"/>
      <c r="H392" s="67"/>
      <c r="I392" s="67"/>
      <c r="J392" s="68"/>
      <c r="L392" s="51" t="str">
        <f t="shared" si="3"/>
        <v/>
      </c>
      <c r="M392" s="51" t="str">
        <f t="shared" si="7"/>
        <v/>
      </c>
    </row>
    <row r="393" spans="1:13" ht="15.75" customHeight="1">
      <c r="A393" s="79" t="str">
        <f>IF(E393="","",VLOOKUP('OPĆI DIO'!$C$3,'OPĆI DIO'!$L$6:$U$120,10,FALSE))</f>
        <v/>
      </c>
      <c r="B393" s="79" t="str">
        <f>IF(E393="","",VLOOKUP('OPĆI DIO'!$C$3,'OPĆI DIO'!$L$6:$U$120,9,FALSE))</f>
        <v/>
      </c>
      <c r="C393" s="63" t="str">
        <f t="shared" si="0"/>
        <v/>
      </c>
      <c r="D393" s="64" t="str">
        <f t="shared" si="1"/>
        <v/>
      </c>
      <c r="E393" s="68"/>
      <c r="F393" s="66" t="str">
        <f t="shared" si="2"/>
        <v/>
      </c>
      <c r="G393" s="67"/>
      <c r="H393" s="67"/>
      <c r="I393" s="67"/>
      <c r="J393" s="68"/>
      <c r="L393" s="51" t="str">
        <f t="shared" si="3"/>
        <v/>
      </c>
      <c r="M393" s="51" t="str">
        <f t="shared" si="7"/>
        <v/>
      </c>
    </row>
    <row r="394" spans="1:13" ht="15.75" customHeight="1">
      <c r="A394" s="79" t="str">
        <f>IF(E394="","",VLOOKUP('OPĆI DIO'!$C$3,'OPĆI DIO'!$L$6:$U$120,10,FALSE))</f>
        <v/>
      </c>
      <c r="B394" s="79" t="str">
        <f>IF(E394="","",VLOOKUP('OPĆI DIO'!$C$3,'OPĆI DIO'!$L$6:$U$120,9,FALSE))</f>
        <v/>
      </c>
      <c r="C394" s="63" t="str">
        <f t="shared" si="0"/>
        <v/>
      </c>
      <c r="D394" s="64" t="str">
        <f t="shared" si="1"/>
        <v/>
      </c>
      <c r="E394" s="68"/>
      <c r="F394" s="66" t="str">
        <f t="shared" si="2"/>
        <v/>
      </c>
      <c r="G394" s="67"/>
      <c r="H394" s="67"/>
      <c r="I394" s="67"/>
      <c r="J394" s="68"/>
      <c r="L394" s="51" t="str">
        <f t="shared" si="3"/>
        <v/>
      </c>
      <c r="M394" s="51" t="str">
        <f t="shared" si="7"/>
        <v/>
      </c>
    </row>
    <row r="395" spans="1:13" ht="15.75" customHeight="1">
      <c r="A395" s="79" t="str">
        <f>IF(E395="","",VLOOKUP('OPĆI DIO'!$C$3,'OPĆI DIO'!$L$6:$U$120,10,FALSE))</f>
        <v/>
      </c>
      <c r="B395" s="79" t="str">
        <f>IF(E395="","",VLOOKUP('OPĆI DIO'!$C$3,'OPĆI DIO'!$L$6:$U$120,9,FALSE))</f>
        <v/>
      </c>
      <c r="C395" s="63" t="str">
        <f t="shared" si="0"/>
        <v/>
      </c>
      <c r="D395" s="64" t="str">
        <f t="shared" si="1"/>
        <v/>
      </c>
      <c r="E395" s="68"/>
      <c r="F395" s="66" t="str">
        <f t="shared" si="2"/>
        <v/>
      </c>
      <c r="G395" s="67"/>
      <c r="H395" s="67"/>
      <c r="I395" s="67"/>
      <c r="J395" s="68"/>
      <c r="L395" s="51" t="str">
        <f t="shared" si="3"/>
        <v/>
      </c>
      <c r="M395" s="51" t="str">
        <f t="shared" si="7"/>
        <v/>
      </c>
    </row>
    <row r="396" spans="1:13" ht="15.75" customHeight="1">
      <c r="A396" s="79" t="str">
        <f>IF(E396="","",VLOOKUP('OPĆI DIO'!$C$3,'OPĆI DIO'!$L$6:$U$120,10,FALSE))</f>
        <v/>
      </c>
      <c r="B396" s="79" t="str">
        <f>IF(E396="","",VLOOKUP('OPĆI DIO'!$C$3,'OPĆI DIO'!$L$6:$U$120,9,FALSE))</f>
        <v/>
      </c>
      <c r="C396" s="63" t="str">
        <f t="shared" si="0"/>
        <v/>
      </c>
      <c r="D396" s="64" t="str">
        <f t="shared" si="1"/>
        <v/>
      </c>
      <c r="E396" s="68"/>
      <c r="F396" s="66" t="str">
        <f t="shared" si="2"/>
        <v/>
      </c>
      <c r="G396" s="67"/>
      <c r="H396" s="67"/>
      <c r="I396" s="67"/>
      <c r="J396" s="68"/>
      <c r="L396" s="51" t="str">
        <f t="shared" si="3"/>
        <v/>
      </c>
      <c r="M396" s="51" t="str">
        <f t="shared" si="7"/>
        <v/>
      </c>
    </row>
    <row r="397" spans="1:13" ht="15.75" customHeight="1">
      <c r="A397" s="79" t="str">
        <f>IF(E397="","",VLOOKUP('OPĆI DIO'!$C$3,'OPĆI DIO'!$L$6:$U$120,10,FALSE))</f>
        <v/>
      </c>
      <c r="B397" s="79" t="str">
        <f>IF(E397="","",VLOOKUP('OPĆI DIO'!$C$3,'OPĆI DIO'!$L$6:$U$120,9,FALSE))</f>
        <v/>
      </c>
      <c r="C397" s="63" t="str">
        <f t="shared" si="0"/>
        <v/>
      </c>
      <c r="D397" s="64" t="str">
        <f t="shared" si="1"/>
        <v/>
      </c>
      <c r="E397" s="68"/>
      <c r="F397" s="66" t="str">
        <f t="shared" si="2"/>
        <v/>
      </c>
      <c r="G397" s="67"/>
      <c r="H397" s="67"/>
      <c r="I397" s="67"/>
      <c r="J397" s="68"/>
      <c r="L397" s="51" t="str">
        <f t="shared" si="3"/>
        <v/>
      </c>
      <c r="M397" s="51" t="str">
        <f t="shared" si="7"/>
        <v/>
      </c>
    </row>
    <row r="398" spans="1:13" ht="15.75" customHeight="1">
      <c r="A398" s="79" t="str">
        <f>IF(E398="","",VLOOKUP('OPĆI DIO'!$C$3,'OPĆI DIO'!$L$6:$U$120,10,FALSE))</f>
        <v/>
      </c>
      <c r="B398" s="79" t="str">
        <f>IF(E398="","",VLOOKUP('OPĆI DIO'!$C$3,'OPĆI DIO'!$L$6:$U$120,9,FALSE))</f>
        <v/>
      </c>
      <c r="C398" s="63" t="str">
        <f t="shared" si="0"/>
        <v/>
      </c>
      <c r="D398" s="64" t="str">
        <f t="shared" si="1"/>
        <v/>
      </c>
      <c r="E398" s="68"/>
      <c r="F398" s="66" t="str">
        <f t="shared" si="2"/>
        <v/>
      </c>
      <c r="G398" s="67"/>
      <c r="H398" s="67"/>
      <c r="I398" s="67"/>
      <c r="J398" s="68"/>
      <c r="L398" s="51" t="str">
        <f t="shared" si="3"/>
        <v/>
      </c>
      <c r="M398" s="51" t="str">
        <f t="shared" si="7"/>
        <v/>
      </c>
    </row>
    <row r="399" spans="1:13" ht="15.75" customHeight="1">
      <c r="A399" s="79" t="str">
        <f>IF(E399="","",VLOOKUP('OPĆI DIO'!$C$3,'OPĆI DIO'!$L$6:$U$120,10,FALSE))</f>
        <v/>
      </c>
      <c r="B399" s="79" t="str">
        <f>IF(E399="","",VLOOKUP('OPĆI DIO'!$C$3,'OPĆI DIO'!$L$6:$U$120,9,FALSE))</f>
        <v/>
      </c>
      <c r="C399" s="63" t="str">
        <f t="shared" si="0"/>
        <v/>
      </c>
      <c r="D399" s="64" t="str">
        <f t="shared" si="1"/>
        <v/>
      </c>
      <c r="E399" s="68"/>
      <c r="F399" s="66" t="str">
        <f t="shared" si="2"/>
        <v/>
      </c>
      <c r="G399" s="67"/>
      <c r="H399" s="67"/>
      <c r="I399" s="67"/>
      <c r="J399" s="68"/>
      <c r="L399" s="51" t="str">
        <f t="shared" si="3"/>
        <v/>
      </c>
      <c r="M399" s="51" t="str">
        <f t="shared" si="7"/>
        <v/>
      </c>
    </row>
    <row r="400" spans="1:13" ht="15.75" customHeight="1">
      <c r="A400" s="79" t="str">
        <f>IF(E400="","",VLOOKUP('OPĆI DIO'!$C$3,'OPĆI DIO'!$L$6:$U$120,10,FALSE))</f>
        <v/>
      </c>
      <c r="B400" s="79" t="str">
        <f>IF(E400="","",VLOOKUP('OPĆI DIO'!$C$3,'OPĆI DIO'!$L$6:$U$120,9,FALSE))</f>
        <v/>
      </c>
      <c r="C400" s="63" t="str">
        <f t="shared" si="0"/>
        <v/>
      </c>
      <c r="D400" s="64" t="str">
        <f t="shared" si="1"/>
        <v/>
      </c>
      <c r="E400" s="68"/>
      <c r="F400" s="66" t="str">
        <f t="shared" si="2"/>
        <v/>
      </c>
      <c r="G400" s="67"/>
      <c r="H400" s="67"/>
      <c r="I400" s="67"/>
      <c r="J400" s="68"/>
      <c r="L400" s="51" t="str">
        <f t="shared" si="3"/>
        <v/>
      </c>
      <c r="M400" s="51" t="str">
        <f t="shared" si="7"/>
        <v/>
      </c>
    </row>
    <row r="401" spans="1:13" ht="15.75" customHeight="1">
      <c r="A401" s="79" t="str">
        <f>IF(E401="","",VLOOKUP('OPĆI DIO'!$C$3,'OPĆI DIO'!$L$6:$U$120,10,FALSE))</f>
        <v/>
      </c>
      <c r="B401" s="79" t="str">
        <f>IF(E401="","",VLOOKUP('OPĆI DIO'!$C$3,'OPĆI DIO'!$L$6:$U$120,9,FALSE))</f>
        <v/>
      </c>
      <c r="C401" s="63" t="str">
        <f t="shared" si="0"/>
        <v/>
      </c>
      <c r="D401" s="64" t="str">
        <f t="shared" si="1"/>
        <v/>
      </c>
      <c r="E401" s="68"/>
      <c r="F401" s="66" t="str">
        <f t="shared" si="2"/>
        <v/>
      </c>
      <c r="G401" s="67"/>
      <c r="H401" s="67"/>
      <c r="I401" s="67"/>
      <c r="J401" s="68"/>
      <c r="L401" s="51" t="str">
        <f t="shared" si="3"/>
        <v/>
      </c>
      <c r="M401" s="51" t="str">
        <f t="shared" si="7"/>
        <v/>
      </c>
    </row>
    <row r="402" spans="1:13" ht="15.75" customHeight="1">
      <c r="A402" s="79" t="str">
        <f>IF(E402="","",VLOOKUP('OPĆI DIO'!$C$3,'OPĆI DIO'!$L$6:$U$120,10,FALSE))</f>
        <v/>
      </c>
      <c r="B402" s="79" t="str">
        <f>IF(E402="","",VLOOKUP('OPĆI DIO'!$C$3,'OPĆI DIO'!$L$6:$U$120,9,FALSE))</f>
        <v/>
      </c>
      <c r="C402" s="63" t="str">
        <f t="shared" si="0"/>
        <v/>
      </c>
      <c r="D402" s="64" t="str">
        <f t="shared" si="1"/>
        <v/>
      </c>
      <c r="E402" s="68"/>
      <c r="F402" s="66" t="str">
        <f t="shared" si="2"/>
        <v/>
      </c>
      <c r="G402" s="67"/>
      <c r="H402" s="67"/>
      <c r="I402" s="67"/>
      <c r="J402" s="68"/>
      <c r="L402" s="51" t="str">
        <f t="shared" si="3"/>
        <v/>
      </c>
      <c r="M402" s="51" t="str">
        <f t="shared" si="7"/>
        <v/>
      </c>
    </row>
    <row r="403" spans="1:13" ht="15.75" customHeight="1">
      <c r="A403" s="79" t="str">
        <f>IF(E403="","",VLOOKUP('OPĆI DIO'!$C$3,'OPĆI DIO'!$L$6:$U$120,10,FALSE))</f>
        <v/>
      </c>
      <c r="B403" s="79" t="str">
        <f>IF(E403="","",VLOOKUP('OPĆI DIO'!$C$3,'OPĆI DIO'!$L$6:$U$120,9,FALSE))</f>
        <v/>
      </c>
      <c r="C403" s="63" t="str">
        <f t="shared" si="0"/>
        <v/>
      </c>
      <c r="D403" s="64" t="str">
        <f t="shared" si="1"/>
        <v/>
      </c>
      <c r="E403" s="68"/>
      <c r="F403" s="66" t="str">
        <f t="shared" si="2"/>
        <v/>
      </c>
      <c r="G403" s="67"/>
      <c r="H403" s="67"/>
      <c r="I403" s="67"/>
      <c r="J403" s="68"/>
      <c r="L403" s="51" t="str">
        <f t="shared" si="3"/>
        <v/>
      </c>
      <c r="M403" s="51" t="str">
        <f t="shared" si="7"/>
        <v/>
      </c>
    </row>
    <row r="404" spans="1:13" ht="15.75" customHeight="1">
      <c r="A404" s="79" t="str">
        <f>IF(E404="","",VLOOKUP('OPĆI DIO'!$C$3,'OPĆI DIO'!$L$6:$U$120,10,FALSE))</f>
        <v/>
      </c>
      <c r="B404" s="79" t="str">
        <f>IF(E404="","",VLOOKUP('OPĆI DIO'!$C$3,'OPĆI DIO'!$L$6:$U$120,9,FALSE))</f>
        <v/>
      </c>
      <c r="C404" s="63" t="str">
        <f t="shared" si="0"/>
        <v/>
      </c>
      <c r="D404" s="64" t="str">
        <f t="shared" si="1"/>
        <v/>
      </c>
      <c r="E404" s="68"/>
      <c r="F404" s="66" t="str">
        <f t="shared" si="2"/>
        <v/>
      </c>
      <c r="G404" s="67"/>
      <c r="H404" s="67"/>
      <c r="I404" s="67"/>
      <c r="J404" s="68"/>
      <c r="L404" s="51" t="str">
        <f t="shared" si="3"/>
        <v/>
      </c>
      <c r="M404" s="51" t="str">
        <f t="shared" si="7"/>
        <v/>
      </c>
    </row>
    <row r="405" spans="1:13" ht="15.75" customHeight="1">
      <c r="A405" s="79" t="str">
        <f>IF(E405="","",VLOOKUP('OPĆI DIO'!$C$3,'OPĆI DIO'!$L$6:$U$120,10,FALSE))</f>
        <v/>
      </c>
      <c r="B405" s="79" t="str">
        <f>IF(E405="","",VLOOKUP('OPĆI DIO'!$C$3,'OPĆI DIO'!$L$6:$U$120,9,FALSE))</f>
        <v/>
      </c>
      <c r="C405" s="63" t="str">
        <f t="shared" si="0"/>
        <v/>
      </c>
      <c r="D405" s="64" t="str">
        <f t="shared" si="1"/>
        <v/>
      </c>
      <c r="E405" s="68"/>
      <c r="F405" s="66" t="str">
        <f t="shared" si="2"/>
        <v/>
      </c>
      <c r="G405" s="67"/>
      <c r="H405" s="67"/>
      <c r="I405" s="67"/>
      <c r="J405" s="68"/>
      <c r="L405" s="51" t="str">
        <f t="shared" si="3"/>
        <v/>
      </c>
      <c r="M405" s="51" t="str">
        <f t="shared" si="7"/>
        <v/>
      </c>
    </row>
    <row r="406" spans="1:13" ht="15.75" customHeight="1">
      <c r="A406" s="79" t="str">
        <f>IF(E406="","",VLOOKUP('OPĆI DIO'!$C$3,'OPĆI DIO'!$L$6:$U$120,10,FALSE))</f>
        <v/>
      </c>
      <c r="B406" s="79" t="str">
        <f>IF(E406="","",VLOOKUP('OPĆI DIO'!$C$3,'OPĆI DIO'!$L$6:$U$120,9,FALSE))</f>
        <v/>
      </c>
      <c r="C406" s="63" t="str">
        <f t="shared" si="0"/>
        <v/>
      </c>
      <c r="D406" s="64" t="str">
        <f t="shared" si="1"/>
        <v/>
      </c>
      <c r="E406" s="68"/>
      <c r="F406" s="66" t="str">
        <f t="shared" si="2"/>
        <v/>
      </c>
      <c r="G406" s="67"/>
      <c r="H406" s="67"/>
      <c r="I406" s="67"/>
      <c r="J406" s="68"/>
      <c r="L406" s="51" t="str">
        <f t="shared" si="3"/>
        <v/>
      </c>
      <c r="M406" s="51" t="str">
        <f t="shared" si="7"/>
        <v/>
      </c>
    </row>
    <row r="407" spans="1:13" ht="15.75" customHeight="1">
      <c r="A407" s="79" t="str">
        <f>IF(E407="","",VLOOKUP('OPĆI DIO'!$C$3,'OPĆI DIO'!$L$6:$U$120,10,FALSE))</f>
        <v/>
      </c>
      <c r="B407" s="79" t="str">
        <f>IF(E407="","",VLOOKUP('OPĆI DIO'!$C$3,'OPĆI DIO'!$L$6:$U$120,9,FALSE))</f>
        <v/>
      </c>
      <c r="C407" s="63" t="str">
        <f t="shared" si="0"/>
        <v/>
      </c>
      <c r="D407" s="64" t="str">
        <f t="shared" si="1"/>
        <v/>
      </c>
      <c r="E407" s="68"/>
      <c r="F407" s="66" t="str">
        <f t="shared" si="2"/>
        <v/>
      </c>
      <c r="G407" s="67"/>
      <c r="H407" s="67"/>
      <c r="I407" s="67"/>
      <c r="J407" s="68"/>
      <c r="L407" s="51" t="str">
        <f t="shared" si="3"/>
        <v/>
      </c>
      <c r="M407" s="51" t="str">
        <f t="shared" si="7"/>
        <v/>
      </c>
    </row>
    <row r="408" spans="1:13" ht="15.75" customHeight="1">
      <c r="A408" s="79" t="str">
        <f>IF(E408="","",VLOOKUP('OPĆI DIO'!$C$3,'OPĆI DIO'!$L$6:$U$120,10,FALSE))</f>
        <v/>
      </c>
      <c r="B408" s="79" t="str">
        <f>IF(E408="","",VLOOKUP('OPĆI DIO'!$C$3,'OPĆI DIO'!$L$6:$U$120,9,FALSE))</f>
        <v/>
      </c>
      <c r="C408" s="63" t="str">
        <f t="shared" si="0"/>
        <v/>
      </c>
      <c r="D408" s="64" t="str">
        <f t="shared" si="1"/>
        <v/>
      </c>
      <c r="E408" s="68"/>
      <c r="F408" s="66" t="str">
        <f t="shared" si="2"/>
        <v/>
      </c>
      <c r="G408" s="67"/>
      <c r="H408" s="67"/>
      <c r="I408" s="67"/>
      <c r="J408" s="68"/>
      <c r="L408" s="51" t="str">
        <f t="shared" si="3"/>
        <v/>
      </c>
      <c r="M408" s="51" t="str">
        <f t="shared" si="7"/>
        <v/>
      </c>
    </row>
    <row r="409" spans="1:13" ht="15.75" customHeight="1">
      <c r="A409" s="79" t="str">
        <f>IF(E409="","",VLOOKUP('OPĆI DIO'!$C$3,'OPĆI DIO'!$L$6:$U$120,10,FALSE))</f>
        <v/>
      </c>
      <c r="B409" s="79" t="str">
        <f>IF(E409="","",VLOOKUP('OPĆI DIO'!$C$3,'OPĆI DIO'!$L$6:$U$120,9,FALSE))</f>
        <v/>
      </c>
      <c r="C409" s="63" t="str">
        <f t="shared" si="0"/>
        <v/>
      </c>
      <c r="D409" s="64" t="str">
        <f t="shared" si="1"/>
        <v/>
      </c>
      <c r="E409" s="68"/>
      <c r="F409" s="66" t="str">
        <f t="shared" si="2"/>
        <v/>
      </c>
      <c r="G409" s="67"/>
      <c r="H409" s="67"/>
      <c r="I409" s="67"/>
      <c r="J409" s="68"/>
      <c r="L409" s="51" t="str">
        <f t="shared" si="3"/>
        <v/>
      </c>
      <c r="M409" s="51" t="str">
        <f t="shared" si="7"/>
        <v/>
      </c>
    </row>
    <row r="410" spans="1:13" ht="15.75" customHeight="1">
      <c r="A410" s="79" t="str">
        <f>IF(E410="","",VLOOKUP('OPĆI DIO'!$C$3,'OPĆI DIO'!$L$6:$U$120,10,FALSE))</f>
        <v/>
      </c>
      <c r="B410" s="79" t="str">
        <f>IF(E410="","",VLOOKUP('OPĆI DIO'!$C$3,'OPĆI DIO'!$L$6:$U$120,9,FALSE))</f>
        <v/>
      </c>
      <c r="C410" s="63" t="str">
        <f t="shared" si="0"/>
        <v/>
      </c>
      <c r="D410" s="64" t="str">
        <f t="shared" si="1"/>
        <v/>
      </c>
      <c r="E410" s="68"/>
      <c r="F410" s="66" t="str">
        <f t="shared" si="2"/>
        <v/>
      </c>
      <c r="G410" s="67"/>
      <c r="H410" s="67"/>
      <c r="I410" s="67"/>
      <c r="J410" s="68"/>
      <c r="L410" s="51" t="str">
        <f t="shared" si="3"/>
        <v/>
      </c>
      <c r="M410" s="51" t="str">
        <f t="shared" si="7"/>
        <v/>
      </c>
    </row>
    <row r="411" spans="1:13" ht="15.75" customHeight="1">
      <c r="A411" s="79" t="str">
        <f>IF(E411="","",VLOOKUP('OPĆI DIO'!$C$3,'OPĆI DIO'!$L$6:$U$120,10,FALSE))</f>
        <v/>
      </c>
      <c r="B411" s="79" t="str">
        <f>IF(E411="","",VLOOKUP('OPĆI DIO'!$C$3,'OPĆI DIO'!$L$6:$U$120,9,FALSE))</f>
        <v/>
      </c>
      <c r="C411" s="63" t="str">
        <f t="shared" si="0"/>
        <v/>
      </c>
      <c r="D411" s="64" t="str">
        <f t="shared" si="1"/>
        <v/>
      </c>
      <c r="E411" s="68"/>
      <c r="F411" s="66" t="str">
        <f t="shared" si="2"/>
        <v/>
      </c>
      <c r="G411" s="67"/>
      <c r="H411" s="67"/>
      <c r="I411" s="67"/>
      <c r="J411" s="68"/>
      <c r="L411" s="51" t="str">
        <f t="shared" si="3"/>
        <v/>
      </c>
      <c r="M411" s="51" t="str">
        <f t="shared" si="7"/>
        <v/>
      </c>
    </row>
    <row r="412" spans="1:13" ht="15.75" customHeight="1">
      <c r="A412" s="79" t="str">
        <f>IF(E412="","",VLOOKUP('OPĆI DIO'!$C$3,'OPĆI DIO'!$L$6:$U$120,10,FALSE))</f>
        <v/>
      </c>
      <c r="B412" s="79" t="str">
        <f>IF(E412="","",VLOOKUP('OPĆI DIO'!$C$3,'OPĆI DIO'!$L$6:$U$120,9,FALSE))</f>
        <v/>
      </c>
      <c r="C412" s="63" t="str">
        <f t="shared" si="0"/>
        <v/>
      </c>
      <c r="D412" s="64" t="str">
        <f t="shared" si="1"/>
        <v/>
      </c>
      <c r="E412" s="68"/>
      <c r="F412" s="66" t="str">
        <f t="shared" si="2"/>
        <v/>
      </c>
      <c r="G412" s="67"/>
      <c r="H412" s="67"/>
      <c r="I412" s="67"/>
      <c r="J412" s="68"/>
      <c r="L412" s="51" t="str">
        <f t="shared" si="3"/>
        <v/>
      </c>
      <c r="M412" s="51" t="str">
        <f t="shared" si="7"/>
        <v/>
      </c>
    </row>
    <row r="413" spans="1:13" ht="15.75" customHeight="1">
      <c r="A413" s="79" t="str">
        <f>IF(E413="","",VLOOKUP('OPĆI DIO'!$C$3,'OPĆI DIO'!$L$6:$U$120,10,FALSE))</f>
        <v/>
      </c>
      <c r="B413" s="79" t="str">
        <f>IF(E413="","",VLOOKUP('OPĆI DIO'!$C$3,'OPĆI DIO'!$L$6:$U$120,9,FALSE))</f>
        <v/>
      </c>
      <c r="C413" s="63" t="str">
        <f t="shared" si="0"/>
        <v/>
      </c>
      <c r="D413" s="64" t="str">
        <f t="shared" si="1"/>
        <v/>
      </c>
      <c r="E413" s="68"/>
      <c r="F413" s="66" t="str">
        <f t="shared" si="2"/>
        <v/>
      </c>
      <c r="G413" s="67"/>
      <c r="H413" s="67"/>
      <c r="I413" s="67"/>
      <c r="J413" s="68"/>
      <c r="L413" s="51" t="str">
        <f t="shared" si="3"/>
        <v/>
      </c>
      <c r="M413" s="51" t="str">
        <f t="shared" si="7"/>
        <v/>
      </c>
    </row>
    <row r="414" spans="1:13" ht="15.75" customHeight="1">
      <c r="A414" s="79" t="str">
        <f>IF(E414="","",VLOOKUP('OPĆI DIO'!$C$3,'OPĆI DIO'!$L$6:$U$120,10,FALSE))</f>
        <v/>
      </c>
      <c r="B414" s="79" t="str">
        <f>IF(E414="","",VLOOKUP('OPĆI DIO'!$C$3,'OPĆI DIO'!$L$6:$U$120,9,FALSE))</f>
        <v/>
      </c>
      <c r="C414" s="63" t="str">
        <f t="shared" si="0"/>
        <v/>
      </c>
      <c r="D414" s="64" t="str">
        <f t="shared" si="1"/>
        <v/>
      </c>
      <c r="E414" s="68"/>
      <c r="F414" s="66" t="str">
        <f t="shared" si="2"/>
        <v/>
      </c>
      <c r="G414" s="67"/>
      <c r="H414" s="67"/>
      <c r="I414" s="67"/>
      <c r="J414" s="68"/>
      <c r="L414" s="51" t="str">
        <f t="shared" si="3"/>
        <v/>
      </c>
      <c r="M414" s="51" t="str">
        <f t="shared" si="7"/>
        <v/>
      </c>
    </row>
    <row r="415" spans="1:13" ht="15.75" customHeight="1">
      <c r="A415" s="79" t="str">
        <f>IF(E415="","",VLOOKUP('OPĆI DIO'!$C$3,'OPĆI DIO'!$L$6:$U$120,10,FALSE))</f>
        <v/>
      </c>
      <c r="B415" s="79" t="str">
        <f>IF(E415="","",VLOOKUP('OPĆI DIO'!$C$3,'OPĆI DIO'!$L$6:$U$120,9,FALSE))</f>
        <v/>
      </c>
      <c r="C415" s="63" t="str">
        <f t="shared" si="0"/>
        <v/>
      </c>
      <c r="D415" s="64" t="str">
        <f t="shared" si="1"/>
        <v/>
      </c>
      <c r="E415" s="68"/>
      <c r="F415" s="66" t="str">
        <f t="shared" si="2"/>
        <v/>
      </c>
      <c r="G415" s="67"/>
      <c r="H415" s="67"/>
      <c r="I415" s="67"/>
      <c r="J415" s="68"/>
      <c r="L415" s="51" t="str">
        <f t="shared" si="3"/>
        <v/>
      </c>
      <c r="M415" s="51" t="str">
        <f t="shared" si="7"/>
        <v/>
      </c>
    </row>
    <row r="416" spans="1:13" ht="15.75" customHeight="1">
      <c r="A416" s="79" t="str">
        <f>IF(E416="","",VLOOKUP('OPĆI DIO'!$C$3,'OPĆI DIO'!$L$6:$U$120,10,FALSE))</f>
        <v/>
      </c>
      <c r="B416" s="79" t="str">
        <f>IF(E416="","",VLOOKUP('OPĆI DIO'!$C$3,'OPĆI DIO'!$L$6:$U$120,9,FALSE))</f>
        <v/>
      </c>
      <c r="C416" s="63" t="str">
        <f t="shared" si="0"/>
        <v/>
      </c>
      <c r="D416" s="64" t="str">
        <f t="shared" si="1"/>
        <v/>
      </c>
      <c r="E416" s="68"/>
      <c r="F416" s="66" t="str">
        <f t="shared" si="2"/>
        <v/>
      </c>
      <c r="G416" s="67"/>
      <c r="H416" s="67"/>
      <c r="I416" s="67"/>
      <c r="J416" s="68"/>
      <c r="L416" s="51" t="str">
        <f t="shared" si="3"/>
        <v/>
      </c>
      <c r="M416" s="51" t="str">
        <f t="shared" si="7"/>
        <v/>
      </c>
    </row>
    <row r="417" spans="1:13" ht="15.75" customHeight="1">
      <c r="A417" s="79" t="str">
        <f>IF(E417="","",VLOOKUP('OPĆI DIO'!$C$3,'OPĆI DIO'!$L$6:$U$120,10,FALSE))</f>
        <v/>
      </c>
      <c r="B417" s="79" t="str">
        <f>IF(E417="","",VLOOKUP('OPĆI DIO'!$C$3,'OPĆI DIO'!$L$6:$U$120,9,FALSE))</f>
        <v/>
      </c>
      <c r="C417" s="63" t="str">
        <f t="shared" si="0"/>
        <v/>
      </c>
      <c r="D417" s="64" t="str">
        <f t="shared" si="1"/>
        <v/>
      </c>
      <c r="E417" s="68"/>
      <c r="F417" s="66" t="str">
        <f t="shared" si="2"/>
        <v/>
      </c>
      <c r="G417" s="67"/>
      <c r="H417" s="67"/>
      <c r="I417" s="67"/>
      <c r="J417" s="68"/>
      <c r="L417" s="51" t="str">
        <f t="shared" si="3"/>
        <v/>
      </c>
      <c r="M417" s="51" t="str">
        <f t="shared" si="7"/>
        <v/>
      </c>
    </row>
    <row r="418" spans="1:13" ht="15.75" customHeight="1">
      <c r="A418" s="79" t="str">
        <f>IF(E418="","",VLOOKUP('OPĆI DIO'!$C$3,'OPĆI DIO'!$L$6:$U$120,10,FALSE))</f>
        <v/>
      </c>
      <c r="B418" s="79" t="str">
        <f>IF(E418="","",VLOOKUP('OPĆI DIO'!$C$3,'OPĆI DIO'!$L$6:$U$120,9,FALSE))</f>
        <v/>
      </c>
      <c r="C418" s="63" t="str">
        <f t="shared" si="0"/>
        <v/>
      </c>
      <c r="D418" s="64" t="str">
        <f t="shared" si="1"/>
        <v/>
      </c>
      <c r="E418" s="68"/>
      <c r="F418" s="66" t="str">
        <f t="shared" si="2"/>
        <v/>
      </c>
      <c r="G418" s="67"/>
      <c r="H418" s="67"/>
      <c r="I418" s="67"/>
      <c r="J418" s="68"/>
      <c r="L418" s="51" t="str">
        <f t="shared" si="3"/>
        <v/>
      </c>
      <c r="M418" s="51" t="str">
        <f t="shared" si="7"/>
        <v/>
      </c>
    </row>
    <row r="419" spans="1:13" ht="15.75" customHeight="1">
      <c r="A419" s="79" t="str">
        <f>IF(E419="","",VLOOKUP('OPĆI DIO'!$C$3,'OPĆI DIO'!$L$6:$U$120,10,FALSE))</f>
        <v/>
      </c>
      <c r="B419" s="79" t="str">
        <f>IF(E419="","",VLOOKUP('OPĆI DIO'!$C$3,'OPĆI DIO'!$L$6:$U$120,9,FALSE))</f>
        <v/>
      </c>
      <c r="C419" s="63" t="str">
        <f t="shared" si="0"/>
        <v/>
      </c>
      <c r="D419" s="64" t="str">
        <f t="shared" si="1"/>
        <v/>
      </c>
      <c r="E419" s="68"/>
      <c r="F419" s="66" t="str">
        <f t="shared" si="2"/>
        <v/>
      </c>
      <c r="G419" s="67"/>
      <c r="H419" s="67"/>
      <c r="I419" s="67"/>
      <c r="J419" s="68"/>
      <c r="L419" s="51" t="str">
        <f t="shared" si="3"/>
        <v/>
      </c>
      <c r="M419" s="51" t="str">
        <f t="shared" si="7"/>
        <v/>
      </c>
    </row>
    <row r="420" spans="1:13" ht="15.75" customHeight="1">
      <c r="A420" s="79" t="str">
        <f>IF(E420="","",VLOOKUP('OPĆI DIO'!$C$3,'OPĆI DIO'!$L$6:$U$120,10,FALSE))</f>
        <v/>
      </c>
      <c r="B420" s="79" t="str">
        <f>IF(E420="","",VLOOKUP('OPĆI DIO'!$C$3,'OPĆI DIO'!$L$6:$U$120,9,FALSE))</f>
        <v/>
      </c>
      <c r="C420" s="63" t="str">
        <f t="shared" si="0"/>
        <v/>
      </c>
      <c r="D420" s="64" t="str">
        <f t="shared" si="1"/>
        <v/>
      </c>
      <c r="E420" s="68"/>
      <c r="F420" s="66" t="str">
        <f t="shared" si="2"/>
        <v/>
      </c>
      <c r="G420" s="67"/>
      <c r="H420" s="67"/>
      <c r="I420" s="67"/>
      <c r="J420" s="68"/>
      <c r="L420" s="51" t="str">
        <f t="shared" si="3"/>
        <v/>
      </c>
      <c r="M420" s="51" t="str">
        <f t="shared" si="7"/>
        <v/>
      </c>
    </row>
    <row r="421" spans="1:13" ht="15.75" customHeight="1">
      <c r="A421" s="79" t="str">
        <f>IF(E421="","",VLOOKUP('OPĆI DIO'!$C$3,'OPĆI DIO'!$L$6:$U$120,10,FALSE))</f>
        <v/>
      </c>
      <c r="B421" s="79" t="str">
        <f>IF(E421="","",VLOOKUP('OPĆI DIO'!$C$3,'OPĆI DIO'!$L$6:$U$120,9,FALSE))</f>
        <v/>
      </c>
      <c r="C421" s="63" t="str">
        <f t="shared" si="0"/>
        <v/>
      </c>
      <c r="D421" s="64" t="str">
        <f t="shared" si="1"/>
        <v/>
      </c>
      <c r="E421" s="68"/>
      <c r="F421" s="66" t="str">
        <f t="shared" si="2"/>
        <v/>
      </c>
      <c r="G421" s="67"/>
      <c r="H421" s="67"/>
      <c r="I421" s="67"/>
      <c r="J421" s="68"/>
      <c r="L421" s="51" t="str">
        <f t="shared" si="3"/>
        <v/>
      </c>
      <c r="M421" s="51" t="str">
        <f t="shared" si="7"/>
        <v/>
      </c>
    </row>
    <row r="422" spans="1:13" ht="15.75" customHeight="1">
      <c r="A422" s="79" t="str">
        <f>IF(E422="","",VLOOKUP('OPĆI DIO'!$C$3,'OPĆI DIO'!$L$6:$U$120,10,FALSE))</f>
        <v/>
      </c>
      <c r="B422" s="79" t="str">
        <f>IF(E422="","",VLOOKUP('OPĆI DIO'!$C$3,'OPĆI DIO'!$L$6:$U$120,9,FALSE))</f>
        <v/>
      </c>
      <c r="C422" s="63" t="str">
        <f t="shared" si="0"/>
        <v/>
      </c>
      <c r="D422" s="64" t="str">
        <f t="shared" si="1"/>
        <v/>
      </c>
      <c r="E422" s="68"/>
      <c r="F422" s="66" t="str">
        <f t="shared" si="2"/>
        <v/>
      </c>
      <c r="G422" s="67"/>
      <c r="H422" s="67"/>
      <c r="I422" s="67"/>
      <c r="J422" s="68"/>
      <c r="L422" s="51" t="str">
        <f t="shared" si="3"/>
        <v/>
      </c>
      <c r="M422" s="51" t="str">
        <f t="shared" si="7"/>
        <v/>
      </c>
    </row>
    <row r="423" spans="1:13" ht="15.75" customHeight="1">
      <c r="A423" s="79" t="str">
        <f>IF(E423="","",VLOOKUP('OPĆI DIO'!$C$3,'OPĆI DIO'!$L$6:$U$120,10,FALSE))</f>
        <v/>
      </c>
      <c r="B423" s="79" t="str">
        <f>IF(E423="","",VLOOKUP('OPĆI DIO'!$C$3,'OPĆI DIO'!$L$6:$U$120,9,FALSE))</f>
        <v/>
      </c>
      <c r="C423" s="63" t="str">
        <f t="shared" si="0"/>
        <v/>
      </c>
      <c r="D423" s="64" t="str">
        <f t="shared" si="1"/>
        <v/>
      </c>
      <c r="E423" s="68"/>
      <c r="F423" s="66" t="str">
        <f t="shared" si="2"/>
        <v/>
      </c>
      <c r="G423" s="67"/>
      <c r="H423" s="67"/>
      <c r="I423" s="67"/>
      <c r="J423" s="68"/>
      <c r="L423" s="51" t="str">
        <f t="shared" si="3"/>
        <v/>
      </c>
      <c r="M423" s="51" t="str">
        <f t="shared" si="7"/>
        <v/>
      </c>
    </row>
    <row r="424" spans="1:13" ht="15.75" customHeight="1">
      <c r="A424" s="79" t="str">
        <f>IF(E424="","",VLOOKUP('OPĆI DIO'!$C$3,'OPĆI DIO'!$L$6:$U$120,10,FALSE))</f>
        <v/>
      </c>
      <c r="B424" s="79" t="str">
        <f>IF(E424="","",VLOOKUP('OPĆI DIO'!$C$3,'OPĆI DIO'!$L$6:$U$120,9,FALSE))</f>
        <v/>
      </c>
      <c r="C424" s="63" t="str">
        <f t="shared" si="0"/>
        <v/>
      </c>
      <c r="D424" s="64" t="str">
        <f t="shared" si="1"/>
        <v/>
      </c>
      <c r="E424" s="68"/>
      <c r="F424" s="66" t="str">
        <f t="shared" si="2"/>
        <v/>
      </c>
      <c r="G424" s="67"/>
      <c r="H424" s="67"/>
      <c r="I424" s="67"/>
      <c r="J424" s="68"/>
      <c r="L424" s="51" t="str">
        <f t="shared" si="3"/>
        <v/>
      </c>
      <c r="M424" s="51" t="str">
        <f t="shared" si="7"/>
        <v/>
      </c>
    </row>
    <row r="425" spans="1:13" ht="15.75" customHeight="1">
      <c r="A425" s="79" t="str">
        <f>IF(E425="","",VLOOKUP('OPĆI DIO'!$C$3,'OPĆI DIO'!$L$6:$U$120,10,FALSE))</f>
        <v/>
      </c>
      <c r="B425" s="79" t="str">
        <f>IF(E425="","",VLOOKUP('OPĆI DIO'!$C$3,'OPĆI DIO'!$L$6:$U$120,9,FALSE))</f>
        <v/>
      </c>
      <c r="C425" s="63" t="str">
        <f t="shared" si="0"/>
        <v/>
      </c>
      <c r="D425" s="64" t="str">
        <f t="shared" si="1"/>
        <v/>
      </c>
      <c r="E425" s="68"/>
      <c r="F425" s="66" t="str">
        <f t="shared" si="2"/>
        <v/>
      </c>
      <c r="G425" s="67"/>
      <c r="H425" s="67"/>
      <c r="I425" s="67"/>
      <c r="J425" s="68"/>
      <c r="L425" s="51" t="str">
        <f t="shared" si="3"/>
        <v/>
      </c>
      <c r="M425" s="51" t="str">
        <f t="shared" si="7"/>
        <v/>
      </c>
    </row>
    <row r="426" spans="1:13" ht="15.75" customHeight="1">
      <c r="A426" s="79" t="str">
        <f>IF(E426="","",VLOOKUP('OPĆI DIO'!$C$3,'OPĆI DIO'!$L$6:$U$120,10,FALSE))</f>
        <v/>
      </c>
      <c r="B426" s="79" t="str">
        <f>IF(E426="","",VLOOKUP('OPĆI DIO'!$C$3,'OPĆI DIO'!$L$6:$U$120,9,FALSE))</f>
        <v/>
      </c>
      <c r="C426" s="63" t="str">
        <f t="shared" si="0"/>
        <v/>
      </c>
      <c r="D426" s="64" t="str">
        <f t="shared" si="1"/>
        <v/>
      </c>
      <c r="E426" s="68"/>
      <c r="F426" s="66" t="str">
        <f t="shared" si="2"/>
        <v/>
      </c>
      <c r="G426" s="67"/>
      <c r="H426" s="67"/>
      <c r="I426" s="67"/>
      <c r="J426" s="68"/>
      <c r="L426" s="51" t="str">
        <f t="shared" si="3"/>
        <v/>
      </c>
      <c r="M426" s="51" t="str">
        <f t="shared" si="7"/>
        <v/>
      </c>
    </row>
    <row r="427" spans="1:13" ht="15.75" customHeight="1">
      <c r="A427" s="79" t="str">
        <f>IF(E427="","",VLOOKUP('OPĆI DIO'!$C$3,'OPĆI DIO'!$L$6:$U$120,10,FALSE))</f>
        <v/>
      </c>
      <c r="B427" s="79" t="str">
        <f>IF(E427="","",VLOOKUP('OPĆI DIO'!$C$3,'OPĆI DIO'!$L$6:$U$120,9,FALSE))</f>
        <v/>
      </c>
      <c r="C427" s="63" t="str">
        <f t="shared" si="0"/>
        <v/>
      </c>
      <c r="D427" s="64" t="str">
        <f t="shared" si="1"/>
        <v/>
      </c>
      <c r="E427" s="68"/>
      <c r="F427" s="66" t="str">
        <f t="shared" si="2"/>
        <v/>
      </c>
      <c r="G427" s="67"/>
      <c r="H427" s="67"/>
      <c r="I427" s="67"/>
      <c r="J427" s="68"/>
      <c r="L427" s="51" t="str">
        <f t="shared" si="3"/>
        <v/>
      </c>
      <c r="M427" s="51" t="str">
        <f t="shared" si="7"/>
        <v/>
      </c>
    </row>
    <row r="428" spans="1:13" ht="15.75" customHeight="1">
      <c r="A428" s="79" t="str">
        <f>IF(E428="","",VLOOKUP('OPĆI DIO'!$C$3,'OPĆI DIO'!$L$6:$U$120,10,FALSE))</f>
        <v/>
      </c>
      <c r="B428" s="79" t="str">
        <f>IF(E428="","",VLOOKUP('OPĆI DIO'!$C$3,'OPĆI DIO'!$L$6:$U$120,9,FALSE))</f>
        <v/>
      </c>
      <c r="C428" s="63" t="str">
        <f t="shared" si="0"/>
        <v/>
      </c>
      <c r="D428" s="64" t="str">
        <f t="shared" si="1"/>
        <v/>
      </c>
      <c r="E428" s="68"/>
      <c r="F428" s="66" t="str">
        <f t="shared" si="2"/>
        <v/>
      </c>
      <c r="G428" s="67"/>
      <c r="H428" s="67"/>
      <c r="I428" s="67"/>
      <c r="J428" s="68"/>
      <c r="L428" s="51" t="str">
        <f t="shared" si="3"/>
        <v/>
      </c>
      <c r="M428" s="51" t="str">
        <f t="shared" si="7"/>
        <v/>
      </c>
    </row>
    <row r="429" spans="1:13" ht="15.75" customHeight="1">
      <c r="A429" s="79" t="str">
        <f>IF(E429="","",VLOOKUP('OPĆI DIO'!$C$3,'OPĆI DIO'!$L$6:$U$120,10,FALSE))</f>
        <v/>
      </c>
      <c r="B429" s="79" t="str">
        <f>IF(E429="","",VLOOKUP('OPĆI DIO'!$C$3,'OPĆI DIO'!$L$6:$U$120,9,FALSE))</f>
        <v/>
      </c>
      <c r="C429" s="63" t="str">
        <f t="shared" si="0"/>
        <v/>
      </c>
      <c r="D429" s="64" t="str">
        <f t="shared" si="1"/>
        <v/>
      </c>
      <c r="E429" s="68"/>
      <c r="F429" s="66" t="str">
        <f t="shared" si="2"/>
        <v/>
      </c>
      <c r="G429" s="67"/>
      <c r="H429" s="67"/>
      <c r="I429" s="67"/>
      <c r="J429" s="68"/>
      <c r="L429" s="51" t="str">
        <f t="shared" si="3"/>
        <v/>
      </c>
      <c r="M429" s="51" t="str">
        <f t="shared" si="7"/>
        <v/>
      </c>
    </row>
    <row r="430" spans="1:13" ht="15.75" customHeight="1">
      <c r="A430" s="79" t="str">
        <f>IF(E430="","",VLOOKUP('OPĆI DIO'!$C$3,'OPĆI DIO'!$L$6:$U$120,10,FALSE))</f>
        <v/>
      </c>
      <c r="B430" s="79" t="str">
        <f>IF(E430="","",VLOOKUP('OPĆI DIO'!$C$3,'OPĆI DIO'!$L$6:$U$120,9,FALSE))</f>
        <v/>
      </c>
      <c r="C430" s="63" t="str">
        <f t="shared" si="0"/>
        <v/>
      </c>
      <c r="D430" s="64" t="str">
        <f t="shared" si="1"/>
        <v/>
      </c>
      <c r="E430" s="68"/>
      <c r="F430" s="66" t="str">
        <f t="shared" si="2"/>
        <v/>
      </c>
      <c r="G430" s="67"/>
      <c r="H430" s="67"/>
      <c r="I430" s="67"/>
      <c r="J430" s="68"/>
      <c r="L430" s="51" t="str">
        <f t="shared" si="3"/>
        <v/>
      </c>
      <c r="M430" s="51" t="str">
        <f t="shared" si="7"/>
        <v/>
      </c>
    </row>
    <row r="431" spans="1:13" ht="15.75" customHeight="1">
      <c r="A431" s="79" t="str">
        <f>IF(E431="","",VLOOKUP('OPĆI DIO'!$C$3,'OPĆI DIO'!$L$6:$U$120,10,FALSE))</f>
        <v/>
      </c>
      <c r="B431" s="79" t="str">
        <f>IF(E431="","",VLOOKUP('OPĆI DIO'!$C$3,'OPĆI DIO'!$L$6:$U$120,9,FALSE))</f>
        <v/>
      </c>
      <c r="C431" s="63" t="str">
        <f t="shared" si="0"/>
        <v/>
      </c>
      <c r="D431" s="64" t="str">
        <f t="shared" si="1"/>
        <v/>
      </c>
      <c r="E431" s="68"/>
      <c r="F431" s="66" t="str">
        <f t="shared" si="2"/>
        <v/>
      </c>
      <c r="G431" s="67"/>
      <c r="H431" s="67"/>
      <c r="I431" s="67"/>
      <c r="J431" s="68"/>
      <c r="L431" s="51" t="str">
        <f t="shared" si="3"/>
        <v/>
      </c>
      <c r="M431" s="51" t="str">
        <f t="shared" si="7"/>
        <v/>
      </c>
    </row>
    <row r="432" spans="1:13" ht="15.75" customHeight="1">
      <c r="A432" s="79" t="str">
        <f>IF(E432="","",VLOOKUP('OPĆI DIO'!$C$3,'OPĆI DIO'!$L$6:$U$120,10,FALSE))</f>
        <v/>
      </c>
      <c r="B432" s="79" t="str">
        <f>IF(E432="","",VLOOKUP('OPĆI DIO'!$C$3,'OPĆI DIO'!$L$6:$U$120,9,FALSE))</f>
        <v/>
      </c>
      <c r="C432" s="63" t="str">
        <f t="shared" si="0"/>
        <v/>
      </c>
      <c r="D432" s="64" t="str">
        <f t="shared" si="1"/>
        <v/>
      </c>
      <c r="E432" s="68"/>
      <c r="F432" s="66" t="str">
        <f t="shared" si="2"/>
        <v/>
      </c>
      <c r="G432" s="67"/>
      <c r="H432" s="67"/>
      <c r="I432" s="67"/>
      <c r="J432" s="68"/>
      <c r="L432" s="51" t="str">
        <f t="shared" si="3"/>
        <v/>
      </c>
      <c r="M432" s="51" t="str">
        <f t="shared" si="7"/>
        <v/>
      </c>
    </row>
    <row r="433" spans="1:13" ht="15.75" customHeight="1">
      <c r="A433" s="79" t="str">
        <f>IF(E433="","",VLOOKUP('OPĆI DIO'!$C$3,'OPĆI DIO'!$L$6:$U$120,10,FALSE))</f>
        <v/>
      </c>
      <c r="B433" s="79" t="str">
        <f>IF(E433="","",VLOOKUP('OPĆI DIO'!$C$3,'OPĆI DIO'!$L$6:$U$120,9,FALSE))</f>
        <v/>
      </c>
      <c r="C433" s="63" t="str">
        <f t="shared" si="0"/>
        <v/>
      </c>
      <c r="D433" s="64" t="str">
        <f t="shared" si="1"/>
        <v/>
      </c>
      <c r="E433" s="68"/>
      <c r="F433" s="66" t="str">
        <f t="shared" si="2"/>
        <v/>
      </c>
      <c r="G433" s="67"/>
      <c r="H433" s="67"/>
      <c r="I433" s="67"/>
      <c r="J433" s="68"/>
      <c r="L433" s="51" t="str">
        <f t="shared" si="3"/>
        <v/>
      </c>
      <c r="M433" s="51" t="str">
        <f t="shared" si="7"/>
        <v/>
      </c>
    </row>
    <row r="434" spans="1:13" ht="15.75" customHeight="1">
      <c r="A434" s="79" t="str">
        <f>IF(E434="","",VLOOKUP('OPĆI DIO'!$C$3,'OPĆI DIO'!$L$6:$U$120,10,FALSE))</f>
        <v/>
      </c>
      <c r="B434" s="79" t="str">
        <f>IF(E434="","",VLOOKUP('OPĆI DIO'!$C$3,'OPĆI DIO'!$L$6:$U$120,9,FALSE))</f>
        <v/>
      </c>
      <c r="C434" s="63" t="str">
        <f t="shared" si="0"/>
        <v/>
      </c>
      <c r="D434" s="64" t="str">
        <f t="shared" si="1"/>
        <v/>
      </c>
      <c r="E434" s="68"/>
      <c r="F434" s="66" t="str">
        <f t="shared" si="2"/>
        <v/>
      </c>
      <c r="G434" s="67"/>
      <c r="H434" s="67"/>
      <c r="I434" s="67"/>
      <c r="J434" s="68"/>
      <c r="L434" s="51" t="str">
        <f t="shared" si="3"/>
        <v/>
      </c>
      <c r="M434" s="51" t="str">
        <f t="shared" si="7"/>
        <v/>
      </c>
    </row>
    <row r="435" spans="1:13" ht="15.75" customHeight="1">
      <c r="A435" s="79" t="str">
        <f>IF(E435="","",VLOOKUP('OPĆI DIO'!$C$3,'OPĆI DIO'!$L$6:$U$120,10,FALSE))</f>
        <v/>
      </c>
      <c r="B435" s="79" t="str">
        <f>IF(E435="","",VLOOKUP('OPĆI DIO'!$C$3,'OPĆI DIO'!$L$6:$U$120,9,FALSE))</f>
        <v/>
      </c>
      <c r="C435" s="63" t="str">
        <f t="shared" si="0"/>
        <v/>
      </c>
      <c r="D435" s="64" t="str">
        <f t="shared" si="1"/>
        <v/>
      </c>
      <c r="E435" s="68"/>
      <c r="F435" s="66" t="str">
        <f t="shared" si="2"/>
        <v/>
      </c>
      <c r="G435" s="67"/>
      <c r="H435" s="67"/>
      <c r="I435" s="67"/>
      <c r="J435" s="68"/>
      <c r="L435" s="51" t="str">
        <f t="shared" si="3"/>
        <v/>
      </c>
      <c r="M435" s="51" t="str">
        <f t="shared" si="7"/>
        <v/>
      </c>
    </row>
    <row r="436" spans="1:13" ht="15.75" customHeight="1">
      <c r="A436" s="79" t="str">
        <f>IF(E436="","",VLOOKUP('OPĆI DIO'!$C$3,'OPĆI DIO'!$L$6:$U$120,10,FALSE))</f>
        <v/>
      </c>
      <c r="B436" s="79" t="str">
        <f>IF(E436="","",VLOOKUP('OPĆI DIO'!$C$3,'OPĆI DIO'!$L$6:$U$120,9,FALSE))</f>
        <v/>
      </c>
      <c r="C436" s="63" t="str">
        <f t="shared" si="0"/>
        <v/>
      </c>
      <c r="D436" s="64" t="str">
        <f t="shared" si="1"/>
        <v/>
      </c>
      <c r="E436" s="68"/>
      <c r="F436" s="66" t="str">
        <f t="shared" si="2"/>
        <v/>
      </c>
      <c r="G436" s="67"/>
      <c r="H436" s="67"/>
      <c r="I436" s="67"/>
      <c r="J436" s="68"/>
      <c r="L436" s="51" t="str">
        <f t="shared" si="3"/>
        <v/>
      </c>
      <c r="M436" s="51" t="str">
        <f t="shared" si="7"/>
        <v/>
      </c>
    </row>
    <row r="437" spans="1:13" ht="15.75" customHeight="1">
      <c r="A437" s="79" t="str">
        <f>IF(E437="","",VLOOKUP('OPĆI DIO'!$C$3,'OPĆI DIO'!$L$6:$U$120,10,FALSE))</f>
        <v/>
      </c>
      <c r="B437" s="79" t="str">
        <f>IF(E437="","",VLOOKUP('OPĆI DIO'!$C$3,'OPĆI DIO'!$L$6:$U$120,9,FALSE))</f>
        <v/>
      </c>
      <c r="C437" s="63" t="str">
        <f t="shared" si="0"/>
        <v/>
      </c>
      <c r="D437" s="64" t="str">
        <f t="shared" si="1"/>
        <v/>
      </c>
      <c r="E437" s="68"/>
      <c r="F437" s="66" t="str">
        <f t="shared" si="2"/>
        <v/>
      </c>
      <c r="G437" s="67"/>
      <c r="H437" s="67"/>
      <c r="I437" s="67"/>
      <c r="J437" s="68"/>
      <c r="L437" s="51" t="str">
        <f t="shared" si="3"/>
        <v/>
      </c>
      <c r="M437" s="51" t="str">
        <f t="shared" si="7"/>
        <v/>
      </c>
    </row>
    <row r="438" spans="1:13" ht="15.75" customHeight="1">
      <c r="A438" s="79" t="str">
        <f>IF(E438="","",VLOOKUP('OPĆI DIO'!$C$3,'OPĆI DIO'!$L$6:$U$120,10,FALSE))</f>
        <v/>
      </c>
      <c r="B438" s="79" t="str">
        <f>IF(E438="","",VLOOKUP('OPĆI DIO'!$C$3,'OPĆI DIO'!$L$6:$U$120,9,FALSE))</f>
        <v/>
      </c>
      <c r="C438" s="63" t="str">
        <f t="shared" si="0"/>
        <v/>
      </c>
      <c r="D438" s="64" t="str">
        <f t="shared" si="1"/>
        <v/>
      </c>
      <c r="E438" s="68"/>
      <c r="F438" s="66" t="str">
        <f t="shared" si="2"/>
        <v/>
      </c>
      <c r="G438" s="67"/>
      <c r="H438" s="67"/>
      <c r="I438" s="67"/>
      <c r="J438" s="68"/>
      <c r="L438" s="51" t="str">
        <f t="shared" si="3"/>
        <v/>
      </c>
      <c r="M438" s="51" t="str">
        <f t="shared" si="7"/>
        <v/>
      </c>
    </row>
    <row r="439" spans="1:13" ht="15.75" customHeight="1">
      <c r="A439" s="79" t="str">
        <f>IF(E439="","",VLOOKUP('OPĆI DIO'!$C$3,'OPĆI DIO'!$L$6:$U$120,10,FALSE))</f>
        <v/>
      </c>
      <c r="B439" s="79" t="str">
        <f>IF(E439="","",VLOOKUP('OPĆI DIO'!$C$3,'OPĆI DIO'!$L$6:$U$120,9,FALSE))</f>
        <v/>
      </c>
      <c r="C439" s="63" t="str">
        <f t="shared" si="0"/>
        <v/>
      </c>
      <c r="D439" s="64" t="str">
        <f t="shared" si="1"/>
        <v/>
      </c>
      <c r="E439" s="68"/>
      <c r="F439" s="66" t="str">
        <f t="shared" si="2"/>
        <v/>
      </c>
      <c r="G439" s="67"/>
      <c r="H439" s="67"/>
      <c r="I439" s="67"/>
      <c r="J439" s="68"/>
      <c r="L439" s="51" t="str">
        <f t="shared" si="3"/>
        <v/>
      </c>
      <c r="M439" s="51" t="str">
        <f t="shared" si="7"/>
        <v/>
      </c>
    </row>
    <row r="440" spans="1:13" ht="15.75" customHeight="1">
      <c r="A440" s="79" t="str">
        <f>IF(E440="","",VLOOKUP('OPĆI DIO'!$C$3,'OPĆI DIO'!$L$6:$U$120,10,FALSE))</f>
        <v/>
      </c>
      <c r="B440" s="79" t="str">
        <f>IF(E440="","",VLOOKUP('OPĆI DIO'!$C$3,'OPĆI DIO'!$L$6:$U$120,9,FALSE))</f>
        <v/>
      </c>
      <c r="C440" s="63" t="str">
        <f t="shared" si="0"/>
        <v/>
      </c>
      <c r="D440" s="64" t="str">
        <f t="shared" si="1"/>
        <v/>
      </c>
      <c r="E440" s="68"/>
      <c r="F440" s="66" t="str">
        <f t="shared" si="2"/>
        <v/>
      </c>
      <c r="G440" s="67"/>
      <c r="H440" s="67"/>
      <c r="I440" s="67"/>
      <c r="J440" s="68"/>
      <c r="L440" s="51" t="str">
        <f t="shared" si="3"/>
        <v/>
      </c>
      <c r="M440" s="51" t="str">
        <f t="shared" si="7"/>
        <v/>
      </c>
    </row>
    <row r="441" spans="1:13" ht="15.75" customHeight="1">
      <c r="A441" s="79" t="str">
        <f>IF(E441="","",VLOOKUP('OPĆI DIO'!$C$3,'OPĆI DIO'!$L$6:$U$120,10,FALSE))</f>
        <v/>
      </c>
      <c r="B441" s="79" t="str">
        <f>IF(E441="","",VLOOKUP('OPĆI DIO'!$C$3,'OPĆI DIO'!$L$6:$U$120,9,FALSE))</f>
        <v/>
      </c>
      <c r="C441" s="63" t="str">
        <f t="shared" si="0"/>
        <v/>
      </c>
      <c r="D441" s="64" t="str">
        <f t="shared" si="1"/>
        <v/>
      </c>
      <c r="E441" s="68"/>
      <c r="F441" s="66" t="str">
        <f t="shared" si="2"/>
        <v/>
      </c>
      <c r="G441" s="67"/>
      <c r="H441" s="67"/>
      <c r="I441" s="67"/>
      <c r="J441" s="68"/>
      <c r="L441" s="51" t="str">
        <f t="shared" si="3"/>
        <v/>
      </c>
      <c r="M441" s="51" t="str">
        <f t="shared" si="7"/>
        <v/>
      </c>
    </row>
    <row r="442" spans="1:13" ht="15.75" customHeight="1">
      <c r="A442" s="79" t="str">
        <f>IF(E442="","",VLOOKUP('OPĆI DIO'!$C$3,'OPĆI DIO'!$L$6:$U$120,10,FALSE))</f>
        <v/>
      </c>
      <c r="B442" s="79" t="str">
        <f>IF(E442="","",VLOOKUP('OPĆI DIO'!$C$3,'OPĆI DIO'!$L$6:$U$120,9,FALSE))</f>
        <v/>
      </c>
      <c r="C442" s="63" t="str">
        <f t="shared" si="0"/>
        <v/>
      </c>
      <c r="D442" s="64" t="str">
        <f t="shared" si="1"/>
        <v/>
      </c>
      <c r="E442" s="68"/>
      <c r="F442" s="66" t="str">
        <f t="shared" si="2"/>
        <v/>
      </c>
      <c r="G442" s="67"/>
      <c r="H442" s="67"/>
      <c r="I442" s="67"/>
      <c r="J442" s="68"/>
      <c r="L442" s="51" t="str">
        <f t="shared" si="3"/>
        <v/>
      </c>
      <c r="M442" s="51" t="str">
        <f t="shared" si="7"/>
        <v/>
      </c>
    </row>
    <row r="443" spans="1:13" ht="15.75" customHeight="1">
      <c r="A443" s="79" t="str">
        <f>IF(E443="","",VLOOKUP('OPĆI DIO'!$C$3,'OPĆI DIO'!$L$6:$U$120,10,FALSE))</f>
        <v/>
      </c>
      <c r="B443" s="79" t="str">
        <f>IF(E443="","",VLOOKUP('OPĆI DIO'!$C$3,'OPĆI DIO'!$L$6:$U$120,9,FALSE))</f>
        <v/>
      </c>
      <c r="C443" s="63" t="str">
        <f t="shared" si="0"/>
        <v/>
      </c>
      <c r="D443" s="64" t="str">
        <f t="shared" si="1"/>
        <v/>
      </c>
      <c r="E443" s="68"/>
      <c r="F443" s="66" t="str">
        <f t="shared" si="2"/>
        <v/>
      </c>
      <c r="G443" s="67"/>
      <c r="H443" s="67"/>
      <c r="I443" s="67"/>
      <c r="J443" s="68"/>
      <c r="L443" s="51" t="str">
        <f t="shared" si="3"/>
        <v/>
      </c>
      <c r="M443" s="51" t="str">
        <f t="shared" si="7"/>
        <v/>
      </c>
    </row>
    <row r="444" spans="1:13" ht="15.75" customHeight="1">
      <c r="A444" s="79" t="str">
        <f>IF(E444="","",VLOOKUP('OPĆI DIO'!$C$3,'OPĆI DIO'!$L$6:$U$120,10,FALSE))</f>
        <v/>
      </c>
      <c r="B444" s="79" t="str">
        <f>IF(E444="","",VLOOKUP('OPĆI DIO'!$C$3,'OPĆI DIO'!$L$6:$U$120,9,FALSE))</f>
        <v/>
      </c>
      <c r="C444" s="63" t="str">
        <f t="shared" si="0"/>
        <v/>
      </c>
      <c r="D444" s="64" t="str">
        <f t="shared" si="1"/>
        <v/>
      </c>
      <c r="E444" s="68"/>
      <c r="F444" s="66" t="str">
        <f t="shared" si="2"/>
        <v/>
      </c>
      <c r="G444" s="67"/>
      <c r="H444" s="67"/>
      <c r="I444" s="67"/>
      <c r="J444" s="68"/>
      <c r="L444" s="51" t="str">
        <f t="shared" si="3"/>
        <v/>
      </c>
      <c r="M444" s="51" t="str">
        <f t="shared" si="7"/>
        <v/>
      </c>
    </row>
    <row r="445" spans="1:13" ht="15.75" customHeight="1">
      <c r="A445" s="79" t="str">
        <f>IF(E445="","",VLOOKUP('OPĆI DIO'!$C$3,'OPĆI DIO'!$L$6:$U$120,10,FALSE))</f>
        <v/>
      </c>
      <c r="B445" s="79" t="str">
        <f>IF(E445="","",VLOOKUP('OPĆI DIO'!$C$3,'OPĆI DIO'!$L$6:$U$120,9,FALSE))</f>
        <v/>
      </c>
      <c r="C445" s="63" t="str">
        <f t="shared" si="0"/>
        <v/>
      </c>
      <c r="D445" s="64" t="str">
        <f t="shared" si="1"/>
        <v/>
      </c>
      <c r="E445" s="68"/>
      <c r="F445" s="66" t="str">
        <f t="shared" si="2"/>
        <v/>
      </c>
      <c r="G445" s="67"/>
      <c r="H445" s="67"/>
      <c r="I445" s="67"/>
      <c r="J445" s="68"/>
      <c r="L445" s="51" t="str">
        <f t="shared" si="3"/>
        <v/>
      </c>
      <c r="M445" s="51" t="str">
        <f t="shared" si="7"/>
        <v/>
      </c>
    </row>
    <row r="446" spans="1:13" ht="15.75" customHeight="1">
      <c r="A446" s="79" t="str">
        <f>IF(E446="","",VLOOKUP('OPĆI DIO'!$C$3,'OPĆI DIO'!$L$6:$U$120,10,FALSE))</f>
        <v/>
      </c>
      <c r="B446" s="79" t="str">
        <f>IF(E446="","",VLOOKUP('OPĆI DIO'!$C$3,'OPĆI DIO'!$L$6:$U$120,9,FALSE))</f>
        <v/>
      </c>
      <c r="C446" s="63" t="str">
        <f t="shared" si="0"/>
        <v/>
      </c>
      <c r="D446" s="64" t="str">
        <f t="shared" si="1"/>
        <v/>
      </c>
      <c r="E446" s="68"/>
      <c r="F446" s="66" t="str">
        <f t="shared" si="2"/>
        <v/>
      </c>
      <c r="G446" s="67"/>
      <c r="H446" s="67"/>
      <c r="I446" s="67"/>
      <c r="J446" s="68"/>
      <c r="L446" s="51" t="str">
        <f t="shared" si="3"/>
        <v/>
      </c>
      <c r="M446" s="51" t="str">
        <f t="shared" si="7"/>
        <v/>
      </c>
    </row>
    <row r="447" spans="1:13" ht="15.75" customHeight="1">
      <c r="A447" s="79" t="str">
        <f>IF(E447="","",VLOOKUP('OPĆI DIO'!$C$3,'OPĆI DIO'!$L$6:$U$120,10,FALSE))</f>
        <v/>
      </c>
      <c r="B447" s="79" t="str">
        <f>IF(E447="","",VLOOKUP('OPĆI DIO'!$C$3,'OPĆI DIO'!$L$6:$U$120,9,FALSE))</f>
        <v/>
      </c>
      <c r="C447" s="63" t="str">
        <f t="shared" si="0"/>
        <v/>
      </c>
      <c r="D447" s="64" t="str">
        <f t="shared" si="1"/>
        <v/>
      </c>
      <c r="E447" s="68"/>
      <c r="F447" s="66" t="str">
        <f t="shared" si="2"/>
        <v/>
      </c>
      <c r="G447" s="67"/>
      <c r="H447" s="67"/>
      <c r="I447" s="67"/>
      <c r="J447" s="68"/>
      <c r="L447" s="51" t="str">
        <f t="shared" si="3"/>
        <v/>
      </c>
      <c r="M447" s="51" t="str">
        <f t="shared" si="7"/>
        <v/>
      </c>
    </row>
    <row r="448" spans="1:13" ht="15.75" customHeight="1">
      <c r="A448" s="79" t="str">
        <f>IF(E448="","",VLOOKUP('OPĆI DIO'!$C$3,'OPĆI DIO'!$L$6:$U$120,10,FALSE))</f>
        <v/>
      </c>
      <c r="B448" s="79" t="str">
        <f>IF(E448="","",VLOOKUP('OPĆI DIO'!$C$3,'OPĆI DIO'!$L$6:$U$120,9,FALSE))</f>
        <v/>
      </c>
      <c r="C448" s="63" t="str">
        <f t="shared" si="0"/>
        <v/>
      </c>
      <c r="D448" s="64" t="str">
        <f t="shared" si="1"/>
        <v/>
      </c>
      <c r="E448" s="68"/>
      <c r="F448" s="66" t="str">
        <f t="shared" si="2"/>
        <v/>
      </c>
      <c r="G448" s="67"/>
      <c r="H448" s="67"/>
      <c r="I448" s="67"/>
      <c r="J448" s="68"/>
      <c r="L448" s="51" t="str">
        <f t="shared" si="3"/>
        <v/>
      </c>
      <c r="M448" s="51" t="str">
        <f t="shared" si="7"/>
        <v/>
      </c>
    </row>
    <row r="449" spans="1:13" ht="15.75" customHeight="1">
      <c r="A449" s="79" t="str">
        <f>IF(E449="","",VLOOKUP('OPĆI DIO'!$C$3,'OPĆI DIO'!$L$6:$U$120,10,FALSE))</f>
        <v/>
      </c>
      <c r="B449" s="79" t="str">
        <f>IF(E449="","",VLOOKUP('OPĆI DIO'!$C$3,'OPĆI DIO'!$L$6:$U$120,9,FALSE))</f>
        <v/>
      </c>
      <c r="C449" s="63" t="str">
        <f t="shared" si="0"/>
        <v/>
      </c>
      <c r="D449" s="64" t="str">
        <f t="shared" si="1"/>
        <v/>
      </c>
      <c r="E449" s="68"/>
      <c r="F449" s="66" t="str">
        <f t="shared" si="2"/>
        <v/>
      </c>
      <c r="G449" s="67"/>
      <c r="H449" s="67"/>
      <c r="I449" s="67"/>
      <c r="J449" s="68"/>
      <c r="L449" s="51" t="str">
        <f t="shared" si="3"/>
        <v/>
      </c>
      <c r="M449" s="51" t="str">
        <f t="shared" si="7"/>
        <v/>
      </c>
    </row>
    <row r="450" spans="1:13" ht="15.75" customHeight="1">
      <c r="A450" s="79" t="str">
        <f>IF(E450="","",VLOOKUP('OPĆI DIO'!$C$3,'OPĆI DIO'!$L$6:$U$120,10,FALSE))</f>
        <v/>
      </c>
      <c r="B450" s="79" t="str">
        <f>IF(E450="","",VLOOKUP('OPĆI DIO'!$C$3,'OPĆI DIO'!$L$6:$U$120,9,FALSE))</f>
        <v/>
      </c>
      <c r="C450" s="63" t="str">
        <f t="shared" si="0"/>
        <v/>
      </c>
      <c r="D450" s="64" t="str">
        <f t="shared" si="1"/>
        <v/>
      </c>
      <c r="E450" s="68"/>
      <c r="F450" s="66" t="str">
        <f t="shared" si="2"/>
        <v/>
      </c>
      <c r="G450" s="67"/>
      <c r="H450" s="67"/>
      <c r="I450" s="67"/>
      <c r="J450" s="68"/>
      <c r="L450" s="51" t="str">
        <f t="shared" si="3"/>
        <v/>
      </c>
      <c r="M450" s="51" t="str">
        <f t="shared" si="7"/>
        <v/>
      </c>
    </row>
    <row r="451" spans="1:13" ht="15.75" customHeight="1">
      <c r="A451" s="79" t="str">
        <f>IF(E451="","",VLOOKUP('OPĆI DIO'!$C$3,'OPĆI DIO'!$L$6:$U$120,10,FALSE))</f>
        <v/>
      </c>
      <c r="B451" s="79" t="str">
        <f>IF(E451="","",VLOOKUP('OPĆI DIO'!$C$3,'OPĆI DIO'!$L$6:$U$120,9,FALSE))</f>
        <v/>
      </c>
      <c r="C451" s="63" t="str">
        <f t="shared" si="0"/>
        <v/>
      </c>
      <c r="D451" s="64" t="str">
        <f t="shared" si="1"/>
        <v/>
      </c>
      <c r="E451" s="68"/>
      <c r="F451" s="66" t="str">
        <f t="shared" si="2"/>
        <v/>
      </c>
      <c r="G451" s="67"/>
      <c r="H451" s="67"/>
      <c r="I451" s="67"/>
      <c r="J451" s="68"/>
      <c r="L451" s="51" t="str">
        <f t="shared" si="3"/>
        <v/>
      </c>
      <c r="M451" s="51" t="str">
        <f t="shared" si="7"/>
        <v/>
      </c>
    </row>
    <row r="452" spans="1:13" ht="15.75" customHeight="1">
      <c r="A452" s="79" t="str">
        <f>IF(E452="","",VLOOKUP('OPĆI DIO'!$C$3,'OPĆI DIO'!$L$6:$U$120,10,FALSE))</f>
        <v/>
      </c>
      <c r="B452" s="79" t="str">
        <f>IF(E452="","",VLOOKUP('OPĆI DIO'!$C$3,'OPĆI DIO'!$L$6:$U$120,9,FALSE))</f>
        <v/>
      </c>
      <c r="C452" s="63" t="str">
        <f t="shared" si="0"/>
        <v/>
      </c>
      <c r="D452" s="64" t="str">
        <f t="shared" si="1"/>
        <v/>
      </c>
      <c r="E452" s="68"/>
      <c r="F452" s="66" t="str">
        <f t="shared" si="2"/>
        <v/>
      </c>
      <c r="G452" s="67"/>
      <c r="H452" s="67"/>
      <c r="I452" s="67"/>
      <c r="J452" s="68"/>
      <c r="L452" s="51" t="str">
        <f t="shared" si="3"/>
        <v/>
      </c>
      <c r="M452" s="51" t="str">
        <f t="shared" si="7"/>
        <v/>
      </c>
    </row>
    <row r="453" spans="1:13" ht="15.75" customHeight="1">
      <c r="A453" s="79" t="str">
        <f>IF(E453="","",VLOOKUP('OPĆI DIO'!$C$3,'OPĆI DIO'!$L$6:$U$120,10,FALSE))</f>
        <v/>
      </c>
      <c r="B453" s="79" t="str">
        <f>IF(E453="","",VLOOKUP('OPĆI DIO'!$C$3,'OPĆI DIO'!$L$6:$U$120,9,FALSE))</f>
        <v/>
      </c>
      <c r="C453" s="63" t="str">
        <f t="shared" si="0"/>
        <v/>
      </c>
      <c r="D453" s="64" t="str">
        <f t="shared" si="1"/>
        <v/>
      </c>
      <c r="E453" s="68"/>
      <c r="F453" s="66" t="str">
        <f t="shared" si="2"/>
        <v/>
      </c>
      <c r="G453" s="67"/>
      <c r="H453" s="67"/>
      <c r="I453" s="67"/>
      <c r="J453" s="68"/>
      <c r="L453" s="51" t="str">
        <f t="shared" si="3"/>
        <v/>
      </c>
      <c r="M453" s="51" t="str">
        <f t="shared" si="7"/>
        <v/>
      </c>
    </row>
    <row r="454" spans="1:13" ht="15.75" customHeight="1">
      <c r="A454" s="79" t="str">
        <f>IF(E454="","",VLOOKUP('OPĆI DIO'!$C$3,'OPĆI DIO'!$L$6:$U$120,10,FALSE))</f>
        <v/>
      </c>
      <c r="B454" s="79" t="str">
        <f>IF(E454="","",VLOOKUP('OPĆI DIO'!$C$3,'OPĆI DIO'!$L$6:$U$120,9,FALSE))</f>
        <v/>
      </c>
      <c r="C454" s="63" t="str">
        <f t="shared" si="0"/>
        <v/>
      </c>
      <c r="D454" s="64" t="str">
        <f t="shared" si="1"/>
        <v/>
      </c>
      <c r="E454" s="68"/>
      <c r="F454" s="66" t="str">
        <f t="shared" si="2"/>
        <v/>
      </c>
      <c r="G454" s="67"/>
      <c r="H454" s="67"/>
      <c r="I454" s="67"/>
      <c r="J454" s="68"/>
      <c r="L454" s="51" t="str">
        <f t="shared" si="3"/>
        <v/>
      </c>
      <c r="M454" s="51" t="str">
        <f t="shared" si="7"/>
        <v/>
      </c>
    </row>
    <row r="455" spans="1:13" ht="15.75" customHeight="1">
      <c r="A455" s="79" t="str">
        <f>IF(E455="","",VLOOKUP('OPĆI DIO'!$C$3,'OPĆI DIO'!$L$6:$U$120,10,FALSE))</f>
        <v/>
      </c>
      <c r="B455" s="79" t="str">
        <f>IF(E455="","",VLOOKUP('OPĆI DIO'!$C$3,'OPĆI DIO'!$L$6:$U$120,9,FALSE))</f>
        <v/>
      </c>
      <c r="C455" s="63" t="str">
        <f t="shared" si="0"/>
        <v/>
      </c>
      <c r="D455" s="64" t="str">
        <f t="shared" si="1"/>
        <v/>
      </c>
      <c r="E455" s="68"/>
      <c r="F455" s="66" t="str">
        <f t="shared" si="2"/>
        <v/>
      </c>
      <c r="G455" s="67"/>
      <c r="H455" s="67"/>
      <c r="I455" s="67"/>
      <c r="J455" s="68"/>
      <c r="L455" s="51" t="str">
        <f t="shared" si="3"/>
        <v/>
      </c>
      <c r="M455" s="51" t="str">
        <f t="shared" si="7"/>
        <v/>
      </c>
    </row>
    <row r="456" spans="1:13" ht="15.75" customHeight="1">
      <c r="A456" s="79" t="str">
        <f>IF(E456="","",VLOOKUP('OPĆI DIO'!$C$3,'OPĆI DIO'!$L$6:$U$120,10,FALSE))</f>
        <v/>
      </c>
      <c r="B456" s="79" t="str">
        <f>IF(E456="","",VLOOKUP('OPĆI DIO'!$C$3,'OPĆI DIO'!$L$6:$U$120,9,FALSE))</f>
        <v/>
      </c>
      <c r="C456" s="63" t="str">
        <f t="shared" si="0"/>
        <v/>
      </c>
      <c r="D456" s="64" t="str">
        <f t="shared" si="1"/>
        <v/>
      </c>
      <c r="E456" s="68"/>
      <c r="F456" s="66" t="str">
        <f t="shared" si="2"/>
        <v/>
      </c>
      <c r="G456" s="67"/>
      <c r="H456" s="67"/>
      <c r="I456" s="67"/>
      <c r="J456" s="68"/>
      <c r="L456" s="51" t="str">
        <f t="shared" si="3"/>
        <v/>
      </c>
      <c r="M456" s="51" t="str">
        <f t="shared" si="7"/>
        <v/>
      </c>
    </row>
    <row r="457" spans="1:13" ht="15.75" customHeight="1">
      <c r="A457" s="79" t="str">
        <f>IF(E457="","",VLOOKUP('OPĆI DIO'!$C$3,'OPĆI DIO'!$L$6:$U$120,10,FALSE))</f>
        <v/>
      </c>
      <c r="B457" s="79" t="str">
        <f>IF(E457="","",VLOOKUP('OPĆI DIO'!$C$3,'OPĆI DIO'!$L$6:$U$120,9,FALSE))</f>
        <v/>
      </c>
      <c r="C457" s="63" t="str">
        <f t="shared" si="0"/>
        <v/>
      </c>
      <c r="D457" s="64" t="str">
        <f t="shared" si="1"/>
        <v/>
      </c>
      <c r="E457" s="68"/>
      <c r="F457" s="66" t="str">
        <f t="shared" si="2"/>
        <v/>
      </c>
      <c r="G457" s="67"/>
      <c r="H457" s="67"/>
      <c r="I457" s="67"/>
      <c r="J457" s="68"/>
      <c r="L457" s="51" t="str">
        <f t="shared" si="3"/>
        <v/>
      </c>
      <c r="M457" s="51" t="str">
        <f t="shared" si="7"/>
        <v/>
      </c>
    </row>
    <row r="458" spans="1:13" ht="15.75" customHeight="1">
      <c r="A458" s="79" t="str">
        <f>IF(E458="","",VLOOKUP('OPĆI DIO'!$C$3,'OPĆI DIO'!$L$6:$U$120,10,FALSE))</f>
        <v/>
      </c>
      <c r="B458" s="79" t="str">
        <f>IF(E458="","",VLOOKUP('OPĆI DIO'!$C$3,'OPĆI DIO'!$L$6:$U$120,9,FALSE))</f>
        <v/>
      </c>
      <c r="C458" s="63" t="str">
        <f t="shared" si="0"/>
        <v/>
      </c>
      <c r="D458" s="64" t="str">
        <f t="shared" si="1"/>
        <v/>
      </c>
      <c r="E458" s="68"/>
      <c r="F458" s="66" t="str">
        <f t="shared" si="2"/>
        <v/>
      </c>
      <c r="G458" s="67"/>
      <c r="H458" s="67"/>
      <c r="I458" s="67"/>
      <c r="J458" s="68"/>
      <c r="L458" s="51" t="str">
        <f t="shared" si="3"/>
        <v/>
      </c>
      <c r="M458" s="51" t="str">
        <f t="shared" si="7"/>
        <v/>
      </c>
    </row>
    <row r="459" spans="1:13" ht="15.75" customHeight="1">
      <c r="A459" s="79" t="str">
        <f>IF(E459="","",VLOOKUP('OPĆI DIO'!$C$3,'OPĆI DIO'!$L$6:$U$120,10,FALSE))</f>
        <v/>
      </c>
      <c r="B459" s="79" t="str">
        <f>IF(E459="","",VLOOKUP('OPĆI DIO'!$C$3,'OPĆI DIO'!$L$6:$U$120,9,FALSE))</f>
        <v/>
      </c>
      <c r="C459" s="63" t="str">
        <f t="shared" si="0"/>
        <v/>
      </c>
      <c r="D459" s="64" t="str">
        <f t="shared" si="1"/>
        <v/>
      </c>
      <c r="E459" s="68"/>
      <c r="F459" s="66" t="str">
        <f t="shared" si="2"/>
        <v/>
      </c>
      <c r="G459" s="67"/>
      <c r="H459" s="67"/>
      <c r="I459" s="67"/>
      <c r="J459" s="68"/>
      <c r="L459" s="51" t="str">
        <f t="shared" si="3"/>
        <v/>
      </c>
      <c r="M459" s="51" t="str">
        <f t="shared" si="7"/>
        <v/>
      </c>
    </row>
    <row r="460" spans="1:13" ht="15.75" customHeight="1">
      <c r="A460" s="79" t="str">
        <f>IF(E460="","",VLOOKUP('OPĆI DIO'!$C$3,'OPĆI DIO'!$L$6:$U$120,10,FALSE))</f>
        <v/>
      </c>
      <c r="B460" s="79" t="str">
        <f>IF(E460="","",VLOOKUP('OPĆI DIO'!$C$3,'OPĆI DIO'!$L$6:$U$120,9,FALSE))</f>
        <v/>
      </c>
      <c r="C460" s="63" t="str">
        <f t="shared" si="0"/>
        <v/>
      </c>
      <c r="D460" s="64" t="str">
        <f t="shared" si="1"/>
        <v/>
      </c>
      <c r="E460" s="68"/>
      <c r="F460" s="66" t="str">
        <f t="shared" si="2"/>
        <v/>
      </c>
      <c r="G460" s="67"/>
      <c r="H460" s="67"/>
      <c r="I460" s="67"/>
      <c r="J460" s="68"/>
      <c r="L460" s="51" t="str">
        <f t="shared" si="3"/>
        <v/>
      </c>
      <c r="M460" s="51" t="str">
        <f t="shared" si="7"/>
        <v/>
      </c>
    </row>
    <row r="461" spans="1:13" ht="15.75" customHeight="1">
      <c r="A461" s="79" t="str">
        <f>IF(E461="","",VLOOKUP('OPĆI DIO'!$C$3,'OPĆI DIO'!$L$6:$U$120,10,FALSE))</f>
        <v/>
      </c>
      <c r="B461" s="79" t="str">
        <f>IF(E461="","",VLOOKUP('OPĆI DIO'!$C$3,'OPĆI DIO'!$L$6:$U$120,9,FALSE))</f>
        <v/>
      </c>
      <c r="C461" s="63" t="str">
        <f t="shared" si="0"/>
        <v/>
      </c>
      <c r="D461" s="64" t="str">
        <f t="shared" si="1"/>
        <v/>
      </c>
      <c r="E461" s="68"/>
      <c r="F461" s="66" t="str">
        <f t="shared" si="2"/>
        <v/>
      </c>
      <c r="G461" s="67"/>
      <c r="H461" s="67"/>
      <c r="I461" s="67"/>
      <c r="J461" s="68"/>
      <c r="L461" s="51" t="str">
        <f t="shared" si="3"/>
        <v/>
      </c>
      <c r="M461" s="51" t="str">
        <f t="shared" si="7"/>
        <v/>
      </c>
    </row>
    <row r="462" spans="1:13" ht="15.75" customHeight="1">
      <c r="A462" s="79" t="str">
        <f>IF(E462="","",VLOOKUP('OPĆI DIO'!$C$3,'OPĆI DIO'!$L$6:$U$120,10,FALSE))</f>
        <v/>
      </c>
      <c r="B462" s="79" t="str">
        <f>IF(E462="","",VLOOKUP('OPĆI DIO'!$C$3,'OPĆI DIO'!$L$6:$U$120,9,FALSE))</f>
        <v/>
      </c>
      <c r="C462" s="63" t="str">
        <f t="shared" si="0"/>
        <v/>
      </c>
      <c r="D462" s="64" t="str">
        <f t="shared" si="1"/>
        <v/>
      </c>
      <c r="E462" s="68"/>
      <c r="F462" s="66" t="str">
        <f t="shared" si="2"/>
        <v/>
      </c>
      <c r="G462" s="67"/>
      <c r="H462" s="67"/>
      <c r="I462" s="67"/>
      <c r="J462" s="68"/>
      <c r="L462" s="51" t="str">
        <f t="shared" si="3"/>
        <v/>
      </c>
      <c r="M462" s="51" t="str">
        <f t="shared" si="7"/>
        <v/>
      </c>
    </row>
    <row r="463" spans="1:13" ht="15.75" customHeight="1">
      <c r="A463" s="79" t="str">
        <f>IF(E463="","",VLOOKUP('OPĆI DIO'!$C$3,'OPĆI DIO'!$L$6:$U$120,10,FALSE))</f>
        <v/>
      </c>
      <c r="B463" s="79" t="str">
        <f>IF(E463="","",VLOOKUP('OPĆI DIO'!$C$3,'OPĆI DIO'!$L$6:$U$120,9,FALSE))</f>
        <v/>
      </c>
      <c r="C463" s="63" t="str">
        <f t="shared" si="0"/>
        <v/>
      </c>
      <c r="D463" s="64" t="str">
        <f t="shared" si="1"/>
        <v/>
      </c>
      <c r="E463" s="68"/>
      <c r="F463" s="66" t="str">
        <f t="shared" si="2"/>
        <v/>
      </c>
      <c r="G463" s="67"/>
      <c r="H463" s="67"/>
      <c r="I463" s="67"/>
      <c r="J463" s="68"/>
      <c r="L463" s="51" t="str">
        <f t="shared" si="3"/>
        <v/>
      </c>
      <c r="M463" s="51" t="str">
        <f t="shared" si="7"/>
        <v/>
      </c>
    </row>
    <row r="464" spans="1:13" ht="15.75" customHeight="1">
      <c r="A464" s="79" t="str">
        <f>IF(E464="","",VLOOKUP('OPĆI DIO'!$C$3,'OPĆI DIO'!$L$6:$U$120,10,FALSE))</f>
        <v/>
      </c>
      <c r="B464" s="79" t="str">
        <f>IF(E464="","",VLOOKUP('OPĆI DIO'!$C$3,'OPĆI DIO'!$L$6:$U$120,9,FALSE))</f>
        <v/>
      </c>
      <c r="C464" s="63" t="str">
        <f t="shared" si="0"/>
        <v/>
      </c>
      <c r="D464" s="64" t="str">
        <f t="shared" si="1"/>
        <v/>
      </c>
      <c r="E464" s="68"/>
      <c r="F464" s="66" t="str">
        <f t="shared" si="2"/>
        <v/>
      </c>
      <c r="G464" s="67"/>
      <c r="H464" s="67"/>
      <c r="I464" s="67"/>
      <c r="J464" s="68"/>
      <c r="L464" s="51" t="str">
        <f t="shared" si="3"/>
        <v/>
      </c>
      <c r="M464" s="51" t="str">
        <f t="shared" si="7"/>
        <v/>
      </c>
    </row>
    <row r="465" spans="1:13" ht="15.75" customHeight="1">
      <c r="A465" s="79" t="str">
        <f>IF(E465="","",VLOOKUP('OPĆI DIO'!$C$3,'OPĆI DIO'!$L$6:$U$120,10,FALSE))</f>
        <v/>
      </c>
      <c r="B465" s="79" t="str">
        <f>IF(E465="","",VLOOKUP('OPĆI DIO'!$C$3,'OPĆI DIO'!$L$6:$U$120,9,FALSE))</f>
        <v/>
      </c>
      <c r="C465" s="63" t="str">
        <f t="shared" si="0"/>
        <v/>
      </c>
      <c r="D465" s="64" t="str">
        <f t="shared" si="1"/>
        <v/>
      </c>
      <c r="E465" s="68"/>
      <c r="F465" s="66" t="str">
        <f t="shared" si="2"/>
        <v/>
      </c>
      <c r="G465" s="67"/>
      <c r="H465" s="67"/>
      <c r="I465" s="67"/>
      <c r="J465" s="68"/>
      <c r="L465" s="51" t="str">
        <f t="shared" si="3"/>
        <v/>
      </c>
      <c r="M465" s="51" t="str">
        <f t="shared" si="7"/>
        <v/>
      </c>
    </row>
    <row r="466" spans="1:13" ht="15.75" customHeight="1">
      <c r="A466" s="79" t="str">
        <f>IF(E466="","",VLOOKUP('OPĆI DIO'!$C$3,'OPĆI DIO'!$L$6:$U$120,10,FALSE))</f>
        <v/>
      </c>
      <c r="B466" s="79" t="str">
        <f>IF(E466="","",VLOOKUP('OPĆI DIO'!$C$3,'OPĆI DIO'!$L$6:$U$120,9,FALSE))</f>
        <v/>
      </c>
      <c r="C466" s="63" t="str">
        <f t="shared" si="0"/>
        <v/>
      </c>
      <c r="D466" s="64" t="str">
        <f t="shared" si="1"/>
        <v/>
      </c>
      <c r="E466" s="68"/>
      <c r="F466" s="66" t="str">
        <f t="shared" si="2"/>
        <v/>
      </c>
      <c r="G466" s="67"/>
      <c r="H466" s="67"/>
      <c r="I466" s="67"/>
      <c r="J466" s="68"/>
      <c r="L466" s="51" t="str">
        <f t="shared" si="3"/>
        <v/>
      </c>
      <c r="M466" s="51" t="str">
        <f t="shared" si="7"/>
        <v/>
      </c>
    </row>
    <row r="467" spans="1:13" ht="15.75" customHeight="1">
      <c r="A467" s="79" t="str">
        <f>IF(E467="","",VLOOKUP('OPĆI DIO'!$C$3,'OPĆI DIO'!$L$6:$U$120,10,FALSE))</f>
        <v/>
      </c>
      <c r="B467" s="79" t="str">
        <f>IF(E467="","",VLOOKUP('OPĆI DIO'!$C$3,'OPĆI DIO'!$L$6:$U$120,9,FALSE))</f>
        <v/>
      </c>
      <c r="C467" s="63" t="str">
        <f t="shared" si="0"/>
        <v/>
      </c>
      <c r="D467" s="64" t="str">
        <f t="shared" si="1"/>
        <v/>
      </c>
      <c r="E467" s="68"/>
      <c r="F467" s="66" t="str">
        <f t="shared" si="2"/>
        <v/>
      </c>
      <c r="G467" s="67"/>
      <c r="H467" s="67"/>
      <c r="I467" s="67"/>
      <c r="J467" s="68"/>
      <c r="L467" s="51" t="str">
        <f t="shared" si="3"/>
        <v/>
      </c>
      <c r="M467" s="51" t="str">
        <f t="shared" si="7"/>
        <v/>
      </c>
    </row>
    <row r="468" spans="1:13" ht="15.75" customHeight="1">
      <c r="A468" s="79" t="str">
        <f>IF(E468="","",VLOOKUP('OPĆI DIO'!$C$3,'OPĆI DIO'!$L$6:$U$120,10,FALSE))</f>
        <v/>
      </c>
      <c r="B468" s="79" t="str">
        <f>IF(E468="","",VLOOKUP('OPĆI DIO'!$C$3,'OPĆI DIO'!$L$6:$U$120,9,FALSE))</f>
        <v/>
      </c>
      <c r="C468" s="63" t="str">
        <f t="shared" si="0"/>
        <v/>
      </c>
      <c r="D468" s="64" t="str">
        <f t="shared" si="1"/>
        <v/>
      </c>
      <c r="E468" s="68"/>
      <c r="F468" s="66" t="str">
        <f t="shared" si="2"/>
        <v/>
      </c>
      <c r="G468" s="67"/>
      <c r="H468" s="67"/>
      <c r="I468" s="67"/>
      <c r="J468" s="68"/>
      <c r="L468" s="51" t="str">
        <f t="shared" si="3"/>
        <v/>
      </c>
      <c r="M468" s="51" t="str">
        <f t="shared" si="7"/>
        <v/>
      </c>
    </row>
    <row r="469" spans="1:13" ht="15.75" customHeight="1">
      <c r="A469" s="79" t="str">
        <f>IF(E469="","",VLOOKUP('OPĆI DIO'!$C$3,'OPĆI DIO'!$L$6:$U$120,10,FALSE))</f>
        <v/>
      </c>
      <c r="B469" s="79" t="str">
        <f>IF(E469="","",VLOOKUP('OPĆI DIO'!$C$3,'OPĆI DIO'!$L$6:$U$120,9,FALSE))</f>
        <v/>
      </c>
      <c r="C469" s="63" t="str">
        <f t="shared" si="0"/>
        <v/>
      </c>
      <c r="D469" s="64" t="str">
        <f t="shared" si="1"/>
        <v/>
      </c>
      <c r="E469" s="68"/>
      <c r="F469" s="66" t="str">
        <f t="shared" si="2"/>
        <v/>
      </c>
      <c r="G469" s="67"/>
      <c r="H469" s="67"/>
      <c r="I469" s="67"/>
      <c r="J469" s="68"/>
      <c r="L469" s="51" t="str">
        <f t="shared" si="3"/>
        <v/>
      </c>
      <c r="M469" s="51" t="str">
        <f t="shared" si="7"/>
        <v/>
      </c>
    </row>
    <row r="470" spans="1:13" ht="15.75" customHeight="1">
      <c r="A470" s="79" t="str">
        <f>IF(E470="","",VLOOKUP('OPĆI DIO'!$C$3,'OPĆI DIO'!$L$6:$U$120,10,FALSE))</f>
        <v/>
      </c>
      <c r="B470" s="79" t="str">
        <f>IF(E470="","",VLOOKUP('OPĆI DIO'!$C$3,'OPĆI DIO'!$L$6:$U$120,9,FALSE))</f>
        <v/>
      </c>
      <c r="C470" s="63" t="str">
        <f t="shared" si="0"/>
        <v/>
      </c>
      <c r="D470" s="64" t="str">
        <f t="shared" si="1"/>
        <v/>
      </c>
      <c r="E470" s="68"/>
      <c r="F470" s="66" t="str">
        <f t="shared" si="2"/>
        <v/>
      </c>
      <c r="G470" s="67"/>
      <c r="H470" s="67"/>
      <c r="I470" s="67"/>
      <c r="J470" s="68"/>
      <c r="L470" s="51" t="str">
        <f t="shared" si="3"/>
        <v/>
      </c>
      <c r="M470" s="51" t="str">
        <f t="shared" si="7"/>
        <v/>
      </c>
    </row>
    <row r="471" spans="1:13" ht="15.75" customHeight="1">
      <c r="A471" s="79" t="str">
        <f>IF(E471="","",VLOOKUP('OPĆI DIO'!$C$3,'OPĆI DIO'!$L$6:$U$120,10,FALSE))</f>
        <v/>
      </c>
      <c r="B471" s="79" t="str">
        <f>IF(E471="","",VLOOKUP('OPĆI DIO'!$C$3,'OPĆI DIO'!$L$6:$U$120,9,FALSE))</f>
        <v/>
      </c>
      <c r="C471" s="63" t="str">
        <f t="shared" si="0"/>
        <v/>
      </c>
      <c r="D471" s="64" t="str">
        <f t="shared" si="1"/>
        <v/>
      </c>
      <c r="E471" s="68"/>
      <c r="F471" s="66" t="str">
        <f t="shared" si="2"/>
        <v/>
      </c>
      <c r="G471" s="67"/>
      <c r="H471" s="67"/>
      <c r="I471" s="67"/>
      <c r="J471" s="68"/>
      <c r="L471" s="51" t="str">
        <f t="shared" si="3"/>
        <v/>
      </c>
      <c r="M471" s="51" t="str">
        <f t="shared" si="7"/>
        <v/>
      </c>
    </row>
    <row r="472" spans="1:13" ht="15.75" customHeight="1">
      <c r="A472" s="79" t="str">
        <f>IF(E472="","",VLOOKUP('OPĆI DIO'!$C$3,'OPĆI DIO'!$L$6:$U$120,10,FALSE))</f>
        <v/>
      </c>
      <c r="B472" s="79" t="str">
        <f>IF(E472="","",VLOOKUP('OPĆI DIO'!$C$3,'OPĆI DIO'!$L$6:$U$120,9,FALSE))</f>
        <v/>
      </c>
      <c r="C472" s="63" t="str">
        <f t="shared" si="0"/>
        <v/>
      </c>
      <c r="D472" s="64" t="str">
        <f t="shared" si="1"/>
        <v/>
      </c>
      <c r="E472" s="68"/>
      <c r="F472" s="66" t="str">
        <f t="shared" si="2"/>
        <v/>
      </c>
      <c r="G472" s="67"/>
      <c r="H472" s="67"/>
      <c r="I472" s="67"/>
      <c r="J472" s="68"/>
      <c r="L472" s="51" t="str">
        <f t="shared" si="3"/>
        <v/>
      </c>
      <c r="M472" s="51" t="str">
        <f t="shared" si="7"/>
        <v/>
      </c>
    </row>
    <row r="473" spans="1:13" ht="15.75" customHeight="1">
      <c r="A473" s="79" t="str">
        <f>IF(E473="","",VLOOKUP('OPĆI DIO'!$C$3,'OPĆI DIO'!$L$6:$U$120,10,FALSE))</f>
        <v/>
      </c>
      <c r="B473" s="79" t="str">
        <f>IF(E473="","",VLOOKUP('OPĆI DIO'!$C$3,'OPĆI DIO'!$L$6:$U$120,9,FALSE))</f>
        <v/>
      </c>
      <c r="C473" s="63" t="str">
        <f t="shared" si="0"/>
        <v/>
      </c>
      <c r="D473" s="64" t="str">
        <f t="shared" si="1"/>
        <v/>
      </c>
      <c r="E473" s="68"/>
      <c r="F473" s="66" t="str">
        <f t="shared" si="2"/>
        <v/>
      </c>
      <c r="G473" s="67"/>
      <c r="H473" s="67"/>
      <c r="I473" s="67"/>
      <c r="J473" s="68"/>
      <c r="L473" s="51" t="str">
        <f t="shared" si="3"/>
        <v/>
      </c>
      <c r="M473" s="51" t="str">
        <f t="shared" si="7"/>
        <v/>
      </c>
    </row>
    <row r="474" spans="1:13" ht="15.75" customHeight="1">
      <c r="A474" s="79" t="str">
        <f>IF(E474="","",VLOOKUP('OPĆI DIO'!$C$3,'OPĆI DIO'!$L$6:$U$120,10,FALSE))</f>
        <v/>
      </c>
      <c r="B474" s="79" t="str">
        <f>IF(E474="","",VLOOKUP('OPĆI DIO'!$C$3,'OPĆI DIO'!$L$6:$U$120,9,FALSE))</f>
        <v/>
      </c>
      <c r="C474" s="63" t="str">
        <f t="shared" si="0"/>
        <v/>
      </c>
      <c r="D474" s="64" t="str">
        <f t="shared" si="1"/>
        <v/>
      </c>
      <c r="E474" s="68"/>
      <c r="F474" s="66" t="str">
        <f t="shared" si="2"/>
        <v/>
      </c>
      <c r="G474" s="67"/>
      <c r="H474" s="67"/>
      <c r="I474" s="67"/>
      <c r="J474" s="68"/>
      <c r="L474" s="51" t="str">
        <f t="shared" si="3"/>
        <v/>
      </c>
      <c r="M474" s="51" t="str">
        <f t="shared" si="7"/>
        <v/>
      </c>
    </row>
    <row r="475" spans="1:13" ht="15.75" customHeight="1">
      <c r="A475" s="79" t="str">
        <f>IF(E475="","",VLOOKUP('OPĆI DIO'!$C$3,'OPĆI DIO'!$L$6:$U$120,10,FALSE))</f>
        <v/>
      </c>
      <c r="B475" s="79" t="str">
        <f>IF(E475="","",VLOOKUP('OPĆI DIO'!$C$3,'OPĆI DIO'!$L$6:$U$120,9,FALSE))</f>
        <v/>
      </c>
      <c r="C475" s="63" t="str">
        <f t="shared" si="0"/>
        <v/>
      </c>
      <c r="D475" s="64" t="str">
        <f t="shared" si="1"/>
        <v/>
      </c>
      <c r="E475" s="68"/>
      <c r="F475" s="66" t="str">
        <f t="shared" si="2"/>
        <v/>
      </c>
      <c r="G475" s="67"/>
      <c r="H475" s="67"/>
      <c r="I475" s="67"/>
      <c r="J475" s="68"/>
      <c r="L475" s="51" t="str">
        <f t="shared" si="3"/>
        <v/>
      </c>
      <c r="M475" s="51" t="str">
        <f t="shared" si="7"/>
        <v/>
      </c>
    </row>
    <row r="476" spans="1:13" ht="15.75" customHeight="1">
      <c r="A476" s="79" t="str">
        <f>IF(E476="","",VLOOKUP('OPĆI DIO'!$C$3,'OPĆI DIO'!$L$6:$U$120,10,FALSE))</f>
        <v/>
      </c>
      <c r="B476" s="79" t="str">
        <f>IF(E476="","",VLOOKUP('OPĆI DIO'!$C$3,'OPĆI DIO'!$L$6:$U$120,9,FALSE))</f>
        <v/>
      </c>
      <c r="C476" s="63" t="str">
        <f t="shared" si="0"/>
        <v/>
      </c>
      <c r="D476" s="64" t="str">
        <f t="shared" si="1"/>
        <v/>
      </c>
      <c r="E476" s="68"/>
      <c r="F476" s="66" t="str">
        <f t="shared" si="2"/>
        <v/>
      </c>
      <c r="G476" s="67"/>
      <c r="H476" s="67"/>
      <c r="I476" s="67"/>
      <c r="J476" s="68"/>
      <c r="L476" s="51" t="str">
        <f t="shared" si="3"/>
        <v/>
      </c>
      <c r="M476" s="51" t="str">
        <f t="shared" si="7"/>
        <v/>
      </c>
    </row>
    <row r="477" spans="1:13" ht="15.75" customHeight="1">
      <c r="A477" s="79" t="str">
        <f>IF(E477="","",VLOOKUP('OPĆI DIO'!$C$3,'OPĆI DIO'!$L$6:$U$120,10,FALSE))</f>
        <v/>
      </c>
      <c r="B477" s="79" t="str">
        <f>IF(E477="","",VLOOKUP('OPĆI DIO'!$C$3,'OPĆI DIO'!$L$6:$U$120,9,FALSE))</f>
        <v/>
      </c>
      <c r="C477" s="63" t="str">
        <f t="shared" si="0"/>
        <v/>
      </c>
      <c r="D477" s="64" t="str">
        <f t="shared" si="1"/>
        <v/>
      </c>
      <c r="E477" s="68"/>
      <c r="F477" s="66" t="str">
        <f t="shared" si="2"/>
        <v/>
      </c>
      <c r="G477" s="67"/>
      <c r="H477" s="67"/>
      <c r="I477" s="67"/>
      <c r="J477" s="68"/>
      <c r="L477" s="51" t="str">
        <f t="shared" si="3"/>
        <v/>
      </c>
      <c r="M477" s="51" t="str">
        <f t="shared" si="7"/>
        <v/>
      </c>
    </row>
    <row r="478" spans="1:13" ht="15.75" customHeight="1">
      <c r="A478" s="79" t="str">
        <f>IF(E478="","",VLOOKUP('OPĆI DIO'!$C$3,'OPĆI DIO'!$L$6:$U$120,10,FALSE))</f>
        <v/>
      </c>
      <c r="B478" s="79" t="str">
        <f>IF(E478="","",VLOOKUP('OPĆI DIO'!$C$3,'OPĆI DIO'!$L$6:$U$120,9,FALSE))</f>
        <v/>
      </c>
      <c r="C478" s="63" t="str">
        <f t="shared" si="0"/>
        <v/>
      </c>
      <c r="D478" s="64" t="str">
        <f t="shared" si="1"/>
        <v/>
      </c>
      <c r="E478" s="68"/>
      <c r="F478" s="66" t="str">
        <f t="shared" si="2"/>
        <v/>
      </c>
      <c r="G478" s="67"/>
      <c r="H478" s="67"/>
      <c r="I478" s="67"/>
      <c r="J478" s="68"/>
      <c r="L478" s="51" t="str">
        <f t="shared" si="3"/>
        <v/>
      </c>
      <c r="M478" s="51" t="str">
        <f t="shared" si="7"/>
        <v/>
      </c>
    </row>
    <row r="479" spans="1:13" ht="15.75" customHeight="1">
      <c r="A479" s="79" t="str">
        <f>IF(E479="","",VLOOKUP('OPĆI DIO'!$C$3,'OPĆI DIO'!$L$6:$U$120,10,FALSE))</f>
        <v/>
      </c>
      <c r="B479" s="79" t="str">
        <f>IF(E479="","",VLOOKUP('OPĆI DIO'!$C$3,'OPĆI DIO'!$L$6:$U$120,9,FALSE))</f>
        <v/>
      </c>
      <c r="C479" s="63" t="str">
        <f t="shared" si="0"/>
        <v/>
      </c>
      <c r="D479" s="64" t="str">
        <f t="shared" si="1"/>
        <v/>
      </c>
      <c r="E479" s="68"/>
      <c r="F479" s="66" t="str">
        <f t="shared" si="2"/>
        <v/>
      </c>
      <c r="G479" s="67"/>
      <c r="H479" s="67"/>
      <c r="I479" s="67"/>
      <c r="J479" s="68"/>
      <c r="L479" s="51" t="str">
        <f t="shared" si="3"/>
        <v/>
      </c>
      <c r="M479" s="51" t="str">
        <f t="shared" si="7"/>
        <v/>
      </c>
    </row>
    <row r="480" spans="1:13" ht="15.75" customHeight="1">
      <c r="A480" s="79" t="str">
        <f>IF(E480="","",VLOOKUP('OPĆI DIO'!$C$3,'OPĆI DIO'!$L$6:$U$120,10,FALSE))</f>
        <v/>
      </c>
      <c r="B480" s="79" t="str">
        <f>IF(E480="","",VLOOKUP('OPĆI DIO'!$C$3,'OPĆI DIO'!$L$6:$U$120,9,FALSE))</f>
        <v/>
      </c>
      <c r="C480" s="63" t="str">
        <f t="shared" si="0"/>
        <v/>
      </c>
      <c r="D480" s="64" t="str">
        <f t="shared" si="1"/>
        <v/>
      </c>
      <c r="E480" s="68"/>
      <c r="F480" s="66" t="str">
        <f t="shared" si="2"/>
        <v/>
      </c>
      <c r="G480" s="67"/>
      <c r="H480" s="67"/>
      <c r="I480" s="67"/>
      <c r="J480" s="68"/>
      <c r="L480" s="51" t="str">
        <f t="shared" si="3"/>
        <v/>
      </c>
      <c r="M480" s="51" t="str">
        <f t="shared" si="7"/>
        <v/>
      </c>
    </row>
    <row r="481" spans="1:13" ht="15.75" customHeight="1">
      <c r="A481" s="79" t="str">
        <f>IF(E481="","",VLOOKUP('OPĆI DIO'!$C$3,'OPĆI DIO'!$L$6:$U$120,10,FALSE))</f>
        <v/>
      </c>
      <c r="B481" s="79" t="str">
        <f>IF(E481="","",VLOOKUP('OPĆI DIO'!$C$3,'OPĆI DIO'!$L$6:$U$120,9,FALSE))</f>
        <v/>
      </c>
      <c r="C481" s="63" t="str">
        <f t="shared" si="0"/>
        <v/>
      </c>
      <c r="D481" s="64" t="str">
        <f t="shared" si="1"/>
        <v/>
      </c>
      <c r="E481" s="68"/>
      <c r="F481" s="66" t="str">
        <f t="shared" si="2"/>
        <v/>
      </c>
      <c r="G481" s="67"/>
      <c r="H481" s="67"/>
      <c r="I481" s="67"/>
      <c r="J481" s="68"/>
      <c r="L481" s="51" t="str">
        <f t="shared" si="3"/>
        <v/>
      </c>
      <c r="M481" s="51" t="str">
        <f t="shared" si="7"/>
        <v/>
      </c>
    </row>
    <row r="482" spans="1:13" ht="15.75" customHeight="1">
      <c r="A482" s="79" t="str">
        <f>IF(E482="","",VLOOKUP('OPĆI DIO'!$C$3,'OPĆI DIO'!$L$6:$U$120,10,FALSE))</f>
        <v/>
      </c>
      <c r="B482" s="79" t="str">
        <f>IF(E482="","",VLOOKUP('OPĆI DIO'!$C$3,'OPĆI DIO'!$L$6:$U$120,9,FALSE))</f>
        <v/>
      </c>
      <c r="C482" s="63" t="str">
        <f t="shared" si="0"/>
        <v/>
      </c>
      <c r="D482" s="64" t="str">
        <f t="shared" si="1"/>
        <v/>
      </c>
      <c r="E482" s="68"/>
      <c r="F482" s="66" t="str">
        <f t="shared" si="2"/>
        <v/>
      </c>
      <c r="G482" s="67"/>
      <c r="H482" s="67"/>
      <c r="I482" s="67"/>
      <c r="J482" s="68"/>
      <c r="L482" s="51" t="str">
        <f t="shared" si="3"/>
        <v/>
      </c>
      <c r="M482" s="51" t="str">
        <f t="shared" si="7"/>
        <v/>
      </c>
    </row>
    <row r="483" spans="1:13" ht="15.75" customHeight="1">
      <c r="A483" s="79" t="str">
        <f>IF(E483="","",VLOOKUP('OPĆI DIO'!$C$3,'OPĆI DIO'!$L$6:$U$120,10,FALSE))</f>
        <v/>
      </c>
      <c r="B483" s="79" t="str">
        <f>IF(E483="","",VLOOKUP('OPĆI DIO'!$C$3,'OPĆI DIO'!$L$6:$U$120,9,FALSE))</f>
        <v/>
      </c>
      <c r="C483" s="63" t="str">
        <f t="shared" si="0"/>
        <v/>
      </c>
      <c r="D483" s="64" t="str">
        <f t="shared" si="1"/>
        <v/>
      </c>
      <c r="E483" s="68"/>
      <c r="F483" s="66" t="str">
        <f t="shared" si="2"/>
        <v/>
      </c>
      <c r="G483" s="67"/>
      <c r="H483" s="67"/>
      <c r="I483" s="67"/>
      <c r="J483" s="68"/>
      <c r="L483" s="51" t="str">
        <f t="shared" si="3"/>
        <v/>
      </c>
      <c r="M483" s="51" t="str">
        <f t="shared" si="7"/>
        <v/>
      </c>
    </row>
    <row r="484" spans="1:13" ht="15.75" customHeight="1">
      <c r="A484" s="79" t="str">
        <f>IF(E484="","",VLOOKUP('OPĆI DIO'!$C$3,'OPĆI DIO'!$L$6:$U$120,10,FALSE))</f>
        <v/>
      </c>
      <c r="B484" s="79" t="str">
        <f>IF(E484="","",VLOOKUP('OPĆI DIO'!$C$3,'OPĆI DIO'!$L$6:$U$120,9,FALSE))</f>
        <v/>
      </c>
      <c r="C484" s="63" t="str">
        <f t="shared" si="0"/>
        <v/>
      </c>
      <c r="D484" s="64" t="str">
        <f t="shared" si="1"/>
        <v/>
      </c>
      <c r="E484" s="68"/>
      <c r="F484" s="66" t="str">
        <f t="shared" si="2"/>
        <v/>
      </c>
      <c r="G484" s="67"/>
      <c r="H484" s="67"/>
      <c r="I484" s="67"/>
      <c r="J484" s="68"/>
      <c r="L484" s="51" t="str">
        <f t="shared" si="3"/>
        <v/>
      </c>
      <c r="M484" s="51" t="str">
        <f t="shared" si="7"/>
        <v/>
      </c>
    </row>
    <row r="485" spans="1:13" ht="15.75" customHeight="1">
      <c r="A485" s="79" t="str">
        <f>IF(E485="","",VLOOKUP('OPĆI DIO'!$C$3,'OPĆI DIO'!$L$6:$U$120,10,FALSE))</f>
        <v/>
      </c>
      <c r="B485" s="79" t="str">
        <f>IF(E485="","",VLOOKUP('OPĆI DIO'!$C$3,'OPĆI DIO'!$L$6:$U$120,9,FALSE))</f>
        <v/>
      </c>
      <c r="C485" s="63" t="str">
        <f t="shared" si="0"/>
        <v/>
      </c>
      <c r="D485" s="64" t="str">
        <f t="shared" si="1"/>
        <v/>
      </c>
      <c r="E485" s="68"/>
      <c r="F485" s="66" t="str">
        <f t="shared" si="2"/>
        <v/>
      </c>
      <c r="G485" s="67"/>
      <c r="H485" s="67"/>
      <c r="I485" s="67"/>
      <c r="J485" s="68"/>
      <c r="L485" s="51" t="str">
        <f t="shared" si="3"/>
        <v/>
      </c>
      <c r="M485" s="51" t="str">
        <f t="shared" si="7"/>
        <v/>
      </c>
    </row>
    <row r="486" spans="1:13" ht="15.75" customHeight="1">
      <c r="A486" s="79" t="str">
        <f>IF(E486="","",VLOOKUP('OPĆI DIO'!$C$3,'OPĆI DIO'!$L$6:$U$120,10,FALSE))</f>
        <v/>
      </c>
      <c r="B486" s="79" t="str">
        <f>IF(E486="","",VLOOKUP('OPĆI DIO'!$C$3,'OPĆI DIO'!$L$6:$U$120,9,FALSE))</f>
        <v/>
      </c>
      <c r="C486" s="63" t="str">
        <f t="shared" si="0"/>
        <v/>
      </c>
      <c r="D486" s="64" t="str">
        <f t="shared" si="1"/>
        <v/>
      </c>
      <c r="E486" s="68"/>
      <c r="F486" s="66" t="str">
        <f t="shared" si="2"/>
        <v/>
      </c>
      <c r="G486" s="67"/>
      <c r="H486" s="67"/>
      <c r="I486" s="67"/>
      <c r="J486" s="68"/>
      <c r="L486" s="51" t="str">
        <f t="shared" si="3"/>
        <v/>
      </c>
      <c r="M486" s="51" t="str">
        <f t="shared" si="7"/>
        <v/>
      </c>
    </row>
    <row r="487" spans="1:13" ht="15.75" customHeight="1">
      <c r="A487" s="79" t="str">
        <f>IF(E487="","",VLOOKUP('OPĆI DIO'!$C$3,'OPĆI DIO'!$L$6:$U$120,10,FALSE))</f>
        <v/>
      </c>
      <c r="B487" s="79" t="str">
        <f>IF(E487="","",VLOOKUP('OPĆI DIO'!$C$3,'OPĆI DIO'!$L$6:$U$120,9,FALSE))</f>
        <v/>
      </c>
      <c r="C487" s="63" t="str">
        <f t="shared" si="0"/>
        <v/>
      </c>
      <c r="D487" s="64" t="str">
        <f t="shared" si="1"/>
        <v/>
      </c>
      <c r="E487" s="68"/>
      <c r="F487" s="66" t="str">
        <f t="shared" si="2"/>
        <v/>
      </c>
      <c r="G487" s="67"/>
      <c r="H487" s="67"/>
      <c r="I487" s="67"/>
      <c r="J487" s="68"/>
      <c r="L487" s="51" t="str">
        <f t="shared" si="3"/>
        <v/>
      </c>
      <c r="M487" s="51" t="str">
        <f t="shared" si="7"/>
        <v/>
      </c>
    </row>
    <row r="488" spans="1:13" ht="15.75" customHeight="1">
      <c r="A488" s="79" t="str">
        <f>IF(E488="","",VLOOKUP('OPĆI DIO'!$C$3,'OPĆI DIO'!$L$6:$U$120,10,FALSE))</f>
        <v/>
      </c>
      <c r="B488" s="79" t="str">
        <f>IF(E488="","",VLOOKUP('OPĆI DIO'!$C$3,'OPĆI DIO'!$L$6:$U$120,9,FALSE))</f>
        <v/>
      </c>
      <c r="C488" s="63" t="str">
        <f t="shared" si="0"/>
        <v/>
      </c>
      <c r="D488" s="64" t="str">
        <f t="shared" si="1"/>
        <v/>
      </c>
      <c r="E488" s="68"/>
      <c r="F488" s="66" t="str">
        <f t="shared" si="2"/>
        <v/>
      </c>
      <c r="G488" s="67"/>
      <c r="H488" s="67"/>
      <c r="I488" s="67"/>
      <c r="J488" s="68"/>
      <c r="L488" s="51" t="str">
        <f t="shared" si="3"/>
        <v/>
      </c>
      <c r="M488" s="51" t="str">
        <f t="shared" si="7"/>
        <v/>
      </c>
    </row>
    <row r="489" spans="1:13" ht="15.75" customHeight="1">
      <c r="A489" s="79" t="str">
        <f>IF(E489="","",VLOOKUP('OPĆI DIO'!$C$3,'OPĆI DIO'!$L$6:$U$120,10,FALSE))</f>
        <v/>
      </c>
      <c r="B489" s="79" t="str">
        <f>IF(E489="","",VLOOKUP('OPĆI DIO'!$C$3,'OPĆI DIO'!$L$6:$U$120,9,FALSE))</f>
        <v/>
      </c>
      <c r="C489" s="63" t="str">
        <f t="shared" si="0"/>
        <v/>
      </c>
      <c r="D489" s="64" t="str">
        <f t="shared" si="1"/>
        <v/>
      </c>
      <c r="E489" s="68"/>
      <c r="F489" s="66" t="str">
        <f t="shared" si="2"/>
        <v/>
      </c>
      <c r="G489" s="67"/>
      <c r="H489" s="67"/>
      <c r="I489" s="67"/>
      <c r="J489" s="68"/>
      <c r="L489" s="51" t="str">
        <f t="shared" si="3"/>
        <v/>
      </c>
      <c r="M489" s="51" t="str">
        <f t="shared" si="7"/>
        <v/>
      </c>
    </row>
    <row r="490" spans="1:13" ht="15.75" customHeight="1">
      <c r="A490" s="79" t="str">
        <f>IF(E490="","",VLOOKUP('OPĆI DIO'!$C$3,'OPĆI DIO'!$L$6:$U$120,10,FALSE))</f>
        <v/>
      </c>
      <c r="B490" s="79" t="str">
        <f>IF(E490="","",VLOOKUP('OPĆI DIO'!$C$3,'OPĆI DIO'!$L$6:$U$120,9,FALSE))</f>
        <v/>
      </c>
      <c r="C490" s="63" t="str">
        <f t="shared" si="0"/>
        <v/>
      </c>
      <c r="D490" s="64" t="str">
        <f t="shared" si="1"/>
        <v/>
      </c>
      <c r="E490" s="68"/>
      <c r="F490" s="66" t="str">
        <f t="shared" si="2"/>
        <v/>
      </c>
      <c r="G490" s="67"/>
      <c r="H490" s="67"/>
      <c r="I490" s="67"/>
      <c r="J490" s="68"/>
      <c r="L490" s="51" t="str">
        <f t="shared" si="3"/>
        <v/>
      </c>
      <c r="M490" s="51" t="str">
        <f t="shared" si="7"/>
        <v/>
      </c>
    </row>
    <row r="491" spans="1:13" ht="15.75" customHeight="1">
      <c r="A491" s="79" t="str">
        <f>IF(E491="","",VLOOKUP('OPĆI DIO'!$C$3,'OPĆI DIO'!$L$6:$U$120,10,FALSE))</f>
        <v/>
      </c>
      <c r="B491" s="79" t="str">
        <f>IF(E491="","",VLOOKUP('OPĆI DIO'!$C$3,'OPĆI DIO'!$L$6:$U$120,9,FALSE))</f>
        <v/>
      </c>
      <c r="C491" s="63" t="str">
        <f t="shared" si="0"/>
        <v/>
      </c>
      <c r="D491" s="64" t="str">
        <f t="shared" si="1"/>
        <v/>
      </c>
      <c r="E491" s="68"/>
      <c r="F491" s="66" t="str">
        <f t="shared" si="2"/>
        <v/>
      </c>
      <c r="G491" s="67"/>
      <c r="H491" s="67"/>
      <c r="I491" s="67"/>
      <c r="J491" s="68"/>
      <c r="L491" s="51" t="str">
        <f t="shared" si="3"/>
        <v/>
      </c>
      <c r="M491" s="51" t="str">
        <f t="shared" si="7"/>
        <v/>
      </c>
    </row>
    <row r="492" spans="1:13" ht="15.75" customHeight="1">
      <c r="A492" s="79" t="str">
        <f>IF(E492="","",VLOOKUP('OPĆI DIO'!$C$3,'OPĆI DIO'!$L$6:$U$120,10,FALSE))</f>
        <v/>
      </c>
      <c r="B492" s="79" t="str">
        <f>IF(E492="","",VLOOKUP('OPĆI DIO'!$C$3,'OPĆI DIO'!$L$6:$U$120,9,FALSE))</f>
        <v/>
      </c>
      <c r="C492" s="63" t="str">
        <f t="shared" si="0"/>
        <v/>
      </c>
      <c r="D492" s="64" t="str">
        <f t="shared" si="1"/>
        <v/>
      </c>
      <c r="E492" s="68"/>
      <c r="F492" s="66" t="str">
        <f t="shared" si="2"/>
        <v/>
      </c>
      <c r="G492" s="67"/>
      <c r="H492" s="67"/>
      <c r="I492" s="67"/>
      <c r="J492" s="68"/>
      <c r="L492" s="51" t="str">
        <f t="shared" si="3"/>
        <v/>
      </c>
      <c r="M492" s="51" t="str">
        <f t="shared" si="7"/>
        <v/>
      </c>
    </row>
    <row r="493" spans="1:13" ht="15.75" customHeight="1">
      <c r="A493" s="79" t="str">
        <f>IF(E493="","",VLOOKUP('OPĆI DIO'!$C$3,'OPĆI DIO'!$L$6:$U$120,10,FALSE))</f>
        <v/>
      </c>
      <c r="B493" s="79" t="str">
        <f>IF(E493="","",VLOOKUP('OPĆI DIO'!$C$3,'OPĆI DIO'!$L$6:$U$120,9,FALSE))</f>
        <v/>
      </c>
      <c r="C493" s="63" t="str">
        <f t="shared" si="0"/>
        <v/>
      </c>
      <c r="D493" s="64" t="str">
        <f t="shared" si="1"/>
        <v/>
      </c>
      <c r="E493" s="68"/>
      <c r="F493" s="66" t="str">
        <f t="shared" si="2"/>
        <v/>
      </c>
      <c r="G493" s="67"/>
      <c r="H493" s="67"/>
      <c r="I493" s="67"/>
      <c r="J493" s="68"/>
      <c r="L493" s="51" t="str">
        <f t="shared" si="3"/>
        <v/>
      </c>
      <c r="M493" s="51" t="str">
        <f t="shared" si="7"/>
        <v/>
      </c>
    </row>
    <row r="494" spans="1:13" ht="15.75" customHeight="1">
      <c r="A494" s="79" t="str">
        <f>IF(E494="","",VLOOKUP('OPĆI DIO'!$C$3,'OPĆI DIO'!$L$6:$U$120,10,FALSE))</f>
        <v/>
      </c>
      <c r="B494" s="79" t="str">
        <f>IF(E494="","",VLOOKUP('OPĆI DIO'!$C$3,'OPĆI DIO'!$L$6:$U$120,9,FALSE))</f>
        <v/>
      </c>
      <c r="C494" s="63" t="str">
        <f t="shared" si="0"/>
        <v/>
      </c>
      <c r="D494" s="64" t="str">
        <f t="shared" si="1"/>
        <v/>
      </c>
      <c r="E494" s="68"/>
      <c r="F494" s="66" t="str">
        <f t="shared" si="2"/>
        <v/>
      </c>
      <c r="G494" s="67"/>
      <c r="H494" s="67"/>
      <c r="I494" s="67"/>
      <c r="J494" s="68"/>
      <c r="L494" s="51" t="str">
        <f t="shared" si="3"/>
        <v/>
      </c>
      <c r="M494" s="51" t="str">
        <f t="shared" si="7"/>
        <v/>
      </c>
    </row>
    <row r="495" spans="1:13" ht="15.75" customHeight="1">
      <c r="A495" s="79" t="str">
        <f>IF(E495="","",VLOOKUP('OPĆI DIO'!$C$3,'OPĆI DIO'!$L$6:$U$120,10,FALSE))</f>
        <v/>
      </c>
      <c r="B495" s="79" t="str">
        <f>IF(E495="","",VLOOKUP('OPĆI DIO'!$C$3,'OPĆI DIO'!$L$6:$U$120,9,FALSE))</f>
        <v/>
      </c>
      <c r="C495" s="63" t="str">
        <f t="shared" si="0"/>
        <v/>
      </c>
      <c r="D495" s="64" t="str">
        <f t="shared" si="1"/>
        <v/>
      </c>
      <c r="E495" s="68"/>
      <c r="F495" s="66" t="str">
        <f t="shared" si="2"/>
        <v/>
      </c>
      <c r="G495" s="67"/>
      <c r="H495" s="67"/>
      <c r="I495" s="67"/>
      <c r="J495" s="68"/>
      <c r="L495" s="51" t="str">
        <f t="shared" si="3"/>
        <v/>
      </c>
      <c r="M495" s="51" t="str">
        <f t="shared" si="7"/>
        <v/>
      </c>
    </row>
    <row r="496" spans="1:13" ht="15.75" customHeight="1">
      <c r="A496" s="79" t="str">
        <f>IF(E496="","",VLOOKUP('OPĆI DIO'!$C$3,'OPĆI DIO'!$L$6:$U$120,10,FALSE))</f>
        <v/>
      </c>
      <c r="B496" s="79" t="str">
        <f>IF(E496="","",VLOOKUP('OPĆI DIO'!$C$3,'OPĆI DIO'!$L$6:$U$120,9,FALSE))</f>
        <v/>
      </c>
      <c r="C496" s="63" t="str">
        <f t="shared" si="0"/>
        <v/>
      </c>
      <c r="D496" s="64" t="str">
        <f t="shared" si="1"/>
        <v/>
      </c>
      <c r="E496" s="68"/>
      <c r="F496" s="66" t="str">
        <f t="shared" si="2"/>
        <v/>
      </c>
      <c r="G496" s="67"/>
      <c r="H496" s="67"/>
      <c r="I496" s="67"/>
      <c r="J496" s="68"/>
      <c r="L496" s="51" t="str">
        <f t="shared" si="3"/>
        <v/>
      </c>
      <c r="M496" s="51" t="str">
        <f t="shared" si="7"/>
        <v/>
      </c>
    </row>
    <row r="497" spans="1:13" ht="15.75" customHeight="1">
      <c r="A497" s="79" t="str">
        <f>IF(E497="","",VLOOKUP('OPĆI DIO'!$C$3,'OPĆI DIO'!$L$6:$U$120,10,FALSE))</f>
        <v/>
      </c>
      <c r="B497" s="79" t="str">
        <f>IF(E497="","",VLOOKUP('OPĆI DIO'!$C$3,'OPĆI DIO'!$L$6:$U$120,9,FALSE))</f>
        <v/>
      </c>
      <c r="C497" s="63" t="str">
        <f t="shared" si="0"/>
        <v/>
      </c>
      <c r="D497" s="64" t="str">
        <f t="shared" si="1"/>
        <v/>
      </c>
      <c r="E497" s="68"/>
      <c r="F497" s="66" t="str">
        <f t="shared" si="2"/>
        <v/>
      </c>
      <c r="G497" s="67"/>
      <c r="H497" s="67"/>
      <c r="I497" s="67"/>
      <c r="J497" s="68"/>
      <c r="L497" s="51" t="str">
        <f t="shared" si="3"/>
        <v/>
      </c>
      <c r="M497" s="51" t="str">
        <f t="shared" si="7"/>
        <v/>
      </c>
    </row>
    <row r="498" spans="1:13" ht="15.75" customHeight="1">
      <c r="A498" s="79" t="str">
        <f>IF(E498="","",VLOOKUP('OPĆI DIO'!$C$3,'OPĆI DIO'!$L$6:$U$120,10,FALSE))</f>
        <v/>
      </c>
      <c r="B498" s="79" t="str">
        <f>IF(E498="","",VLOOKUP('OPĆI DIO'!$C$3,'OPĆI DIO'!$L$6:$U$120,9,FALSE))</f>
        <v/>
      </c>
      <c r="C498" s="63" t="str">
        <f t="shared" si="0"/>
        <v/>
      </c>
      <c r="D498" s="64" t="str">
        <f t="shared" si="1"/>
        <v/>
      </c>
      <c r="E498" s="68"/>
      <c r="F498" s="66" t="str">
        <f t="shared" si="2"/>
        <v/>
      </c>
      <c r="G498" s="67"/>
      <c r="H498" s="67"/>
      <c r="I498" s="67"/>
      <c r="J498" s="68"/>
      <c r="L498" s="51" t="str">
        <f t="shared" si="3"/>
        <v/>
      </c>
      <c r="M498" s="51" t="str">
        <f t="shared" si="7"/>
        <v/>
      </c>
    </row>
    <row r="499" spans="1:13" ht="15.75" customHeight="1">
      <c r="A499" s="79" t="str">
        <f>IF(E499="","",VLOOKUP('OPĆI DIO'!$C$3,'OPĆI DIO'!$L$6:$U$120,10,FALSE))</f>
        <v/>
      </c>
      <c r="B499" s="79" t="str">
        <f>IF(E499="","",VLOOKUP('OPĆI DIO'!$C$3,'OPĆI DIO'!$L$6:$U$120,9,FALSE))</f>
        <v/>
      </c>
      <c r="C499" s="63" t="str">
        <f t="shared" si="0"/>
        <v/>
      </c>
      <c r="D499" s="64" t="str">
        <f t="shared" si="1"/>
        <v/>
      </c>
      <c r="E499" s="68"/>
      <c r="F499" s="66" t="str">
        <f t="shared" si="2"/>
        <v/>
      </c>
      <c r="G499" s="67"/>
      <c r="H499" s="67"/>
      <c r="I499" s="67"/>
      <c r="J499" s="68"/>
      <c r="L499" s="51" t="str">
        <f t="shared" si="3"/>
        <v/>
      </c>
      <c r="M499" s="51" t="str">
        <f t="shared" si="7"/>
        <v/>
      </c>
    </row>
    <row r="500" spans="1:13" ht="15.75" customHeight="1">
      <c r="A500" s="79" t="str">
        <f>IF(E500="","",VLOOKUP('OPĆI DIO'!$C$3,'OPĆI DIO'!$L$6:$U$120,10,FALSE))</f>
        <v/>
      </c>
      <c r="B500" s="79" t="str">
        <f>IF(E500="","",VLOOKUP('OPĆI DIO'!$C$3,'OPĆI DIO'!$L$6:$U$120,9,FALSE))</f>
        <v/>
      </c>
      <c r="C500" s="63" t="str">
        <f t="shared" si="0"/>
        <v/>
      </c>
      <c r="D500" s="64" t="str">
        <f t="shared" si="1"/>
        <v/>
      </c>
      <c r="E500" s="68"/>
      <c r="F500" s="66" t="str">
        <f t="shared" si="2"/>
        <v/>
      </c>
      <c r="G500" s="67"/>
      <c r="H500" s="67"/>
      <c r="I500" s="67"/>
      <c r="J500" s="68"/>
      <c r="L500" s="51" t="str">
        <f t="shared" si="3"/>
        <v/>
      </c>
      <c r="M500" s="51" t="str">
        <f t="shared" si="7"/>
        <v/>
      </c>
    </row>
    <row r="501" spans="1:13" ht="15.75" customHeight="1">
      <c r="A501" s="79" t="str">
        <f>IF(E501="","",VLOOKUP('OPĆI DIO'!$C$3,'OPĆI DIO'!$L$6:$U$120,10,FALSE))</f>
        <v/>
      </c>
      <c r="B501" s="79" t="str">
        <f>IF(E501="","",VLOOKUP('OPĆI DIO'!$C$3,'OPĆI DIO'!$L$6:$U$120,9,FALSE))</f>
        <v/>
      </c>
      <c r="C501" s="63" t="str">
        <f t="shared" si="0"/>
        <v/>
      </c>
      <c r="D501" s="64" t="str">
        <f t="shared" si="1"/>
        <v/>
      </c>
      <c r="E501" s="68"/>
      <c r="F501" s="66" t="str">
        <f t="shared" si="2"/>
        <v/>
      </c>
      <c r="G501" s="67"/>
      <c r="H501" s="67"/>
      <c r="I501" s="67"/>
      <c r="J501" s="68"/>
      <c r="L501" s="51" t="str">
        <f t="shared" si="3"/>
        <v/>
      </c>
      <c r="M501" s="51" t="str">
        <f t="shared" si="7"/>
        <v/>
      </c>
    </row>
    <row r="502" spans="1:13" ht="15.75" customHeight="1">
      <c r="A502" s="79" t="str">
        <f>IF(E502="","",VLOOKUP('OPĆI DIO'!$C$3,'OPĆI DIO'!$L$6:$U$120,10,FALSE))</f>
        <v/>
      </c>
      <c r="B502" s="79" t="str">
        <f>IF(E502="","",VLOOKUP('OPĆI DIO'!$C$3,'OPĆI DIO'!$L$6:$U$120,9,FALSE))</f>
        <v/>
      </c>
      <c r="C502" s="63" t="str">
        <f t="shared" si="0"/>
        <v/>
      </c>
      <c r="D502" s="64" t="str">
        <f t="shared" si="1"/>
        <v/>
      </c>
      <c r="E502" s="68"/>
      <c r="F502" s="66" t="str">
        <f t="shared" si="2"/>
        <v/>
      </c>
      <c r="G502" s="67"/>
      <c r="H502" s="67"/>
      <c r="I502" s="67"/>
      <c r="J502" s="68"/>
      <c r="L502" s="51" t="str">
        <f t="shared" si="3"/>
        <v/>
      </c>
      <c r="M502" s="51" t="str">
        <f t="shared" si="7"/>
        <v/>
      </c>
    </row>
    <row r="503" spans="1:13" ht="15.75" customHeight="1">
      <c r="G503" s="55"/>
      <c r="H503" s="55"/>
      <c r="I503" s="55"/>
    </row>
    <row r="504" spans="1:13" ht="15.75" hidden="1" customHeight="1">
      <c r="G504" s="55"/>
      <c r="H504" s="55"/>
      <c r="I504" s="55"/>
    </row>
    <row r="505" spans="1:13" ht="15.75" hidden="1" customHeight="1">
      <c r="G505" s="55"/>
      <c r="H505" s="55"/>
      <c r="I505" s="55"/>
    </row>
    <row r="506" spans="1:13" ht="15.75" hidden="1" customHeight="1">
      <c r="G506" s="55"/>
      <c r="H506" s="55"/>
      <c r="I506" s="55"/>
    </row>
    <row r="507" spans="1:13" ht="15.75" hidden="1" customHeight="1">
      <c r="G507" s="55"/>
      <c r="H507" s="55"/>
      <c r="I507" s="55"/>
    </row>
    <row r="508" spans="1:13" ht="15.75" hidden="1" customHeight="1">
      <c r="G508" s="55"/>
      <c r="H508" s="55"/>
      <c r="I508" s="55"/>
    </row>
    <row r="509" spans="1:13" ht="15.75" hidden="1" customHeight="1">
      <c r="G509" s="55"/>
      <c r="H509" s="55"/>
      <c r="I509" s="55"/>
    </row>
    <row r="510" spans="1:13" ht="15.75" hidden="1" customHeight="1">
      <c r="G510" s="55"/>
      <c r="H510" s="55"/>
      <c r="I510" s="55"/>
    </row>
    <row r="511" spans="1:13" ht="15.75" hidden="1" customHeight="1">
      <c r="G511" s="55"/>
      <c r="H511" s="55"/>
      <c r="I511" s="55"/>
    </row>
    <row r="512" spans="1:13" ht="15.75" hidden="1" customHeight="1">
      <c r="G512" s="55"/>
      <c r="H512" s="55"/>
      <c r="I512" s="55"/>
    </row>
    <row r="513" spans="2:9" ht="15.75" hidden="1" customHeight="1">
      <c r="G513" s="55"/>
      <c r="H513" s="55"/>
      <c r="I513" s="55"/>
    </row>
    <row r="514" spans="2:9" ht="15.75" hidden="1" customHeight="1">
      <c r="G514" s="55"/>
      <c r="H514" s="55"/>
      <c r="I514" s="55"/>
    </row>
    <row r="515" spans="2:9" ht="15.75" hidden="1" customHeight="1">
      <c r="G515" s="55"/>
      <c r="H515" s="55"/>
      <c r="I515" s="55"/>
    </row>
    <row r="516" spans="2:9" ht="15.75" hidden="1" customHeight="1">
      <c r="G516" s="55"/>
      <c r="H516" s="55"/>
      <c r="I516" s="55"/>
    </row>
    <row r="517" spans="2:9" ht="15.75" hidden="1" customHeight="1">
      <c r="G517" s="55"/>
      <c r="H517" s="55"/>
      <c r="I517" s="55"/>
    </row>
    <row r="518" spans="2:9" ht="15.75" hidden="1" customHeight="1">
      <c r="G518" s="55"/>
      <c r="H518" s="55"/>
      <c r="I518" s="55"/>
    </row>
    <row r="519" spans="2:9" ht="15.75" hidden="1" customHeight="1">
      <c r="G519" s="55"/>
      <c r="H519" s="55"/>
      <c r="I519" s="55"/>
    </row>
    <row r="520" spans="2:9" ht="15.75" hidden="1" customHeight="1">
      <c r="G520" s="55"/>
      <c r="H520" s="55"/>
      <c r="I520" s="55"/>
    </row>
    <row r="521" spans="2:9" ht="15.75" hidden="1" customHeight="1">
      <c r="G521" s="55"/>
      <c r="H521" s="55"/>
      <c r="I521" s="55"/>
    </row>
    <row r="522" spans="2:9" ht="15.75" hidden="1" customHeight="1">
      <c r="G522" s="55"/>
      <c r="H522" s="55"/>
      <c r="I522" s="55"/>
    </row>
    <row r="523" spans="2:9" ht="15.75" hidden="1" customHeight="1">
      <c r="G523" s="55"/>
      <c r="H523" s="55"/>
      <c r="I523" s="55"/>
    </row>
    <row r="524" spans="2:9" ht="15.75" hidden="1" customHeight="1">
      <c r="G524" s="55"/>
      <c r="H524" s="55"/>
      <c r="I524" s="55"/>
    </row>
    <row r="525" spans="2:9" ht="15.75" hidden="1" customHeight="1">
      <c r="G525" s="55"/>
      <c r="H525" s="55"/>
      <c r="I525" s="55"/>
    </row>
    <row r="526" spans="2:9" ht="15.75" customHeight="1">
      <c r="B526" s="278" t="s">
        <v>5411</v>
      </c>
      <c r="G526" s="277">
        <f>SUBTOTAL(9,G3:G502)</f>
        <v>70275906.939513892</v>
      </c>
      <c r="H526" s="277">
        <f t="shared" ref="H526:I526" si="8">SUBTOTAL(9,H3:H502)</f>
        <v>37332206.44542449</v>
      </c>
      <c r="I526" s="277">
        <f t="shared" si="8"/>
        <v>31961159.370170657</v>
      </c>
    </row>
    <row r="527" spans="2:9" ht="15.75" customHeight="1">
      <c r="G527" s="55"/>
      <c r="H527" s="55"/>
      <c r="I527" s="55"/>
    </row>
    <row r="528" spans="2:9" ht="15.75" customHeight="1">
      <c r="G528" s="55"/>
      <c r="H528" s="55"/>
      <c r="I528" s="55"/>
    </row>
    <row r="529" spans="7:9" ht="15.75" customHeight="1">
      <c r="G529" s="55"/>
      <c r="H529" s="55"/>
      <c r="I529" s="55"/>
    </row>
    <row r="530" spans="7:9" ht="15.75" customHeight="1">
      <c r="G530" s="55"/>
      <c r="H530" s="55"/>
      <c r="I530" s="55"/>
    </row>
    <row r="531" spans="7:9" ht="15.75" customHeight="1">
      <c r="G531" s="55"/>
      <c r="H531" s="55"/>
      <c r="I531" s="55"/>
    </row>
    <row r="532" spans="7:9" ht="15.75" customHeight="1">
      <c r="G532" s="55"/>
      <c r="H532" s="55"/>
      <c r="I532" s="55"/>
    </row>
    <row r="533" spans="7:9" ht="15.75" customHeight="1">
      <c r="G533" s="55"/>
      <c r="H533" s="55"/>
      <c r="I533" s="55"/>
    </row>
    <row r="534" spans="7:9" ht="15.75" customHeight="1">
      <c r="G534" s="55"/>
      <c r="H534" s="55"/>
      <c r="I534" s="55"/>
    </row>
    <row r="535" spans="7:9" ht="15.75" customHeight="1">
      <c r="G535" s="55"/>
      <c r="H535" s="55"/>
      <c r="I535" s="55"/>
    </row>
    <row r="536" spans="7:9" ht="15.75" customHeight="1">
      <c r="G536" s="55"/>
      <c r="H536" s="55"/>
      <c r="I536" s="55"/>
    </row>
    <row r="537" spans="7:9" ht="15.75" customHeight="1">
      <c r="G537" s="55"/>
      <c r="H537" s="55"/>
      <c r="I537" s="55"/>
    </row>
    <row r="538" spans="7:9" ht="15.75" customHeight="1">
      <c r="G538" s="55"/>
      <c r="H538" s="55"/>
      <c r="I538" s="55"/>
    </row>
    <row r="539" spans="7:9" ht="15.75" customHeight="1">
      <c r="G539" s="55"/>
      <c r="H539" s="55"/>
      <c r="I539" s="55"/>
    </row>
    <row r="540" spans="7:9" ht="15.75" customHeight="1">
      <c r="G540" s="55"/>
      <c r="H540" s="55"/>
      <c r="I540" s="55"/>
    </row>
    <row r="541" spans="7:9" ht="15.75" customHeight="1">
      <c r="G541" s="55"/>
      <c r="H541" s="55"/>
      <c r="I541" s="55"/>
    </row>
    <row r="542" spans="7:9" ht="15.75" customHeight="1">
      <c r="G542" s="55"/>
      <c r="H542" s="55"/>
      <c r="I542" s="55"/>
    </row>
    <row r="543" spans="7:9" ht="15.75" customHeight="1">
      <c r="G543" s="55"/>
      <c r="H543" s="55"/>
      <c r="I543" s="55"/>
    </row>
    <row r="544" spans="7:9" ht="15.75" customHeight="1">
      <c r="G544" s="55"/>
      <c r="H544" s="55"/>
      <c r="I544" s="55"/>
    </row>
    <row r="545" spans="7:9" ht="15.75" customHeight="1">
      <c r="G545" s="55"/>
      <c r="H545" s="55"/>
      <c r="I545" s="55"/>
    </row>
    <row r="546" spans="7:9" ht="15.75" customHeight="1">
      <c r="G546" s="55"/>
      <c r="H546" s="55"/>
      <c r="I546" s="55"/>
    </row>
    <row r="547" spans="7:9" ht="15.75" customHeight="1">
      <c r="G547" s="55"/>
      <c r="H547" s="55"/>
      <c r="I547" s="55"/>
    </row>
    <row r="548" spans="7:9" ht="15.75" customHeight="1">
      <c r="G548" s="55"/>
      <c r="H548" s="55"/>
      <c r="I548" s="55"/>
    </row>
    <row r="549" spans="7:9" ht="15.75" customHeight="1">
      <c r="G549" s="55"/>
      <c r="H549" s="55"/>
      <c r="I549" s="55"/>
    </row>
    <row r="550" spans="7:9" ht="15.75" customHeight="1">
      <c r="G550" s="55"/>
      <c r="H550" s="55"/>
      <c r="I550" s="55"/>
    </row>
    <row r="551" spans="7:9" ht="15.75" customHeight="1">
      <c r="G551" s="55"/>
      <c r="H551" s="55"/>
      <c r="I551" s="55"/>
    </row>
    <row r="552" spans="7:9" ht="15.75" customHeight="1">
      <c r="G552" s="55"/>
      <c r="H552" s="55"/>
      <c r="I552" s="55"/>
    </row>
    <row r="553" spans="7:9" ht="15.75" customHeight="1">
      <c r="G553" s="55"/>
      <c r="H553" s="55"/>
      <c r="I553" s="55"/>
    </row>
    <row r="554" spans="7:9" ht="15.75" customHeight="1">
      <c r="G554" s="55"/>
      <c r="H554" s="55"/>
      <c r="I554" s="55"/>
    </row>
    <row r="555" spans="7:9" ht="15.75" customHeight="1">
      <c r="G555" s="55"/>
      <c r="H555" s="55"/>
      <c r="I555" s="55"/>
    </row>
    <row r="556" spans="7:9" ht="15.75" customHeight="1">
      <c r="G556" s="55"/>
      <c r="H556" s="55"/>
      <c r="I556" s="55"/>
    </row>
    <row r="557" spans="7:9" ht="15.75" customHeight="1">
      <c r="G557" s="55"/>
      <c r="H557" s="55"/>
      <c r="I557" s="55"/>
    </row>
    <row r="558" spans="7:9" ht="15.75" customHeight="1">
      <c r="G558" s="55"/>
      <c r="H558" s="55"/>
      <c r="I558" s="55"/>
    </row>
    <row r="559" spans="7:9" ht="15.75" customHeight="1">
      <c r="G559" s="55"/>
      <c r="H559" s="55"/>
      <c r="I559" s="55"/>
    </row>
    <row r="560" spans="7:9" ht="15.75" customHeight="1">
      <c r="G560" s="55"/>
      <c r="H560" s="55"/>
      <c r="I560" s="55"/>
    </row>
    <row r="561" spans="7:9" ht="15.75" customHeight="1">
      <c r="G561" s="55"/>
      <c r="H561" s="55"/>
      <c r="I561" s="55"/>
    </row>
    <row r="562" spans="7:9" ht="15.75" customHeight="1">
      <c r="G562" s="55"/>
      <c r="H562" s="55"/>
      <c r="I562" s="55"/>
    </row>
    <row r="563" spans="7:9" ht="15.75" customHeight="1">
      <c r="G563" s="55"/>
      <c r="H563" s="55"/>
      <c r="I563" s="55"/>
    </row>
    <row r="564" spans="7:9" ht="15.75" customHeight="1">
      <c r="G564" s="55"/>
      <c r="H564" s="55"/>
      <c r="I564" s="55"/>
    </row>
    <row r="565" spans="7:9" ht="15.75" customHeight="1">
      <c r="G565" s="55"/>
      <c r="H565" s="55"/>
      <c r="I565" s="55"/>
    </row>
    <row r="566" spans="7:9" ht="15.75" customHeight="1">
      <c r="G566" s="55"/>
      <c r="H566" s="55"/>
      <c r="I566" s="55"/>
    </row>
    <row r="567" spans="7:9" ht="15.75" customHeight="1">
      <c r="G567" s="55"/>
      <c r="H567" s="55"/>
      <c r="I567" s="55"/>
    </row>
    <row r="568" spans="7:9" ht="15.75" customHeight="1">
      <c r="G568" s="55"/>
      <c r="H568" s="55"/>
      <c r="I568" s="55"/>
    </row>
    <row r="569" spans="7:9" ht="15.75" customHeight="1">
      <c r="G569" s="55"/>
      <c r="H569" s="55"/>
      <c r="I569" s="55"/>
    </row>
    <row r="570" spans="7:9" ht="15.75" customHeight="1">
      <c r="G570" s="55"/>
      <c r="H570" s="55"/>
      <c r="I570" s="55"/>
    </row>
    <row r="571" spans="7:9" ht="15.75" customHeight="1">
      <c r="G571" s="55"/>
      <c r="H571" s="55"/>
      <c r="I571" s="55"/>
    </row>
    <row r="572" spans="7:9" ht="15.75" customHeight="1">
      <c r="G572" s="55"/>
      <c r="H572" s="55"/>
      <c r="I572" s="55"/>
    </row>
    <row r="573" spans="7:9" ht="15.75" customHeight="1">
      <c r="G573" s="55"/>
      <c r="H573" s="55"/>
      <c r="I573" s="55"/>
    </row>
    <row r="574" spans="7:9" ht="15.75" customHeight="1">
      <c r="G574" s="55"/>
      <c r="H574" s="55"/>
      <c r="I574" s="55"/>
    </row>
    <row r="575" spans="7:9" ht="15.75" customHeight="1">
      <c r="G575" s="55"/>
      <c r="H575" s="55"/>
      <c r="I575" s="55"/>
    </row>
    <row r="576" spans="7:9" ht="15.75" customHeight="1">
      <c r="G576" s="55"/>
      <c r="H576" s="55"/>
      <c r="I576" s="55"/>
    </row>
    <row r="577" spans="7:9" ht="15.75" customHeight="1">
      <c r="G577" s="55"/>
      <c r="H577" s="55"/>
      <c r="I577" s="55"/>
    </row>
    <row r="578" spans="7:9" ht="15.75" customHeight="1">
      <c r="G578" s="55"/>
      <c r="H578" s="55"/>
      <c r="I578" s="55"/>
    </row>
    <row r="579" spans="7:9" ht="15.75" customHeight="1">
      <c r="G579" s="55"/>
      <c r="H579" s="55"/>
      <c r="I579" s="55"/>
    </row>
    <row r="580" spans="7:9" ht="15.75" customHeight="1">
      <c r="G580" s="55"/>
      <c r="H580" s="55"/>
      <c r="I580" s="55"/>
    </row>
    <row r="581" spans="7:9" ht="15.75" customHeight="1">
      <c r="G581" s="55"/>
      <c r="H581" s="55"/>
      <c r="I581" s="55"/>
    </row>
    <row r="582" spans="7:9" ht="15.75" customHeight="1">
      <c r="G582" s="55"/>
      <c r="H582" s="55"/>
      <c r="I582" s="55"/>
    </row>
    <row r="583" spans="7:9" ht="15.75" customHeight="1">
      <c r="G583" s="55"/>
      <c r="H583" s="55"/>
      <c r="I583" s="55"/>
    </row>
    <row r="584" spans="7:9" ht="15.75" customHeight="1">
      <c r="G584" s="55"/>
      <c r="H584" s="55"/>
      <c r="I584" s="55"/>
    </row>
    <row r="585" spans="7:9" ht="15.75" customHeight="1">
      <c r="G585" s="55"/>
      <c r="H585" s="55"/>
      <c r="I585" s="55"/>
    </row>
    <row r="586" spans="7:9" ht="15.75" customHeight="1">
      <c r="G586" s="55"/>
      <c r="H586" s="55"/>
      <c r="I586" s="55"/>
    </row>
    <row r="587" spans="7:9" ht="15.75" customHeight="1">
      <c r="G587" s="55"/>
      <c r="H587" s="55"/>
      <c r="I587" s="55"/>
    </row>
    <row r="588" spans="7:9" ht="15.75" customHeight="1">
      <c r="G588" s="55"/>
      <c r="H588" s="55"/>
      <c r="I588" s="55"/>
    </row>
    <row r="589" spans="7:9" ht="15.75" customHeight="1">
      <c r="G589" s="55"/>
      <c r="H589" s="55"/>
      <c r="I589" s="55"/>
    </row>
    <row r="590" spans="7:9" ht="15.75" customHeight="1">
      <c r="G590" s="55"/>
      <c r="H590" s="55"/>
      <c r="I590" s="55"/>
    </row>
    <row r="591" spans="7:9" ht="15.75" customHeight="1">
      <c r="G591" s="55"/>
      <c r="H591" s="55"/>
      <c r="I591" s="55"/>
    </row>
    <row r="592" spans="7:9" ht="15.75" customHeight="1">
      <c r="G592" s="55"/>
      <c r="H592" s="55"/>
      <c r="I592" s="55"/>
    </row>
    <row r="593" spans="7:9" ht="15.75" customHeight="1">
      <c r="G593" s="55"/>
      <c r="H593" s="55"/>
      <c r="I593" s="55"/>
    </row>
    <row r="594" spans="7:9" ht="15.75" customHeight="1">
      <c r="G594" s="55"/>
      <c r="H594" s="55"/>
      <c r="I594" s="55"/>
    </row>
    <row r="595" spans="7:9" ht="15.75" customHeight="1">
      <c r="G595" s="55"/>
      <c r="H595" s="55"/>
      <c r="I595" s="55"/>
    </row>
    <row r="596" spans="7:9" ht="15.75" customHeight="1">
      <c r="G596" s="55"/>
      <c r="H596" s="55"/>
      <c r="I596" s="55"/>
    </row>
    <row r="597" spans="7:9" ht="15.75" customHeight="1">
      <c r="G597" s="55"/>
      <c r="H597" s="55"/>
      <c r="I597" s="55"/>
    </row>
    <row r="598" spans="7:9" ht="15.75" customHeight="1">
      <c r="G598" s="55"/>
      <c r="H598" s="55"/>
      <c r="I598" s="55"/>
    </row>
    <row r="599" spans="7:9" ht="15.75" customHeight="1">
      <c r="G599" s="55"/>
      <c r="H599" s="55"/>
      <c r="I599" s="55"/>
    </row>
    <row r="600" spans="7:9" ht="15.75" customHeight="1">
      <c r="G600" s="55"/>
      <c r="H600" s="55"/>
      <c r="I600" s="55"/>
    </row>
    <row r="601" spans="7:9" ht="15.75" customHeight="1">
      <c r="G601" s="55"/>
      <c r="H601" s="55"/>
      <c r="I601" s="55"/>
    </row>
    <row r="602" spans="7:9" ht="15.75" customHeight="1">
      <c r="G602" s="55"/>
      <c r="H602" s="55"/>
      <c r="I602" s="55"/>
    </row>
    <row r="603" spans="7:9" ht="15.75" customHeight="1">
      <c r="G603" s="55"/>
      <c r="H603" s="55"/>
      <c r="I603" s="55"/>
    </row>
    <row r="604" spans="7:9" ht="15.75" customHeight="1">
      <c r="G604" s="55"/>
      <c r="H604" s="55"/>
      <c r="I604" s="55"/>
    </row>
    <row r="605" spans="7:9" ht="15.75" customHeight="1">
      <c r="G605" s="55"/>
      <c r="H605" s="55"/>
      <c r="I605" s="55"/>
    </row>
    <row r="606" spans="7:9" ht="15.75" customHeight="1">
      <c r="G606" s="55"/>
      <c r="H606" s="55"/>
      <c r="I606" s="55"/>
    </row>
    <row r="607" spans="7:9" ht="15.75" customHeight="1">
      <c r="G607" s="55"/>
      <c r="H607" s="55"/>
      <c r="I607" s="55"/>
    </row>
    <row r="608" spans="7:9" ht="15.75" customHeight="1">
      <c r="G608" s="55"/>
      <c r="H608" s="55"/>
      <c r="I608" s="55"/>
    </row>
    <row r="609" spans="7:9" ht="15.75" customHeight="1">
      <c r="G609" s="55"/>
      <c r="H609" s="55"/>
      <c r="I609" s="55"/>
    </row>
    <row r="610" spans="7:9" ht="15.75" customHeight="1">
      <c r="G610" s="55"/>
      <c r="H610" s="55"/>
      <c r="I610" s="55"/>
    </row>
    <row r="611" spans="7:9" ht="15.75" customHeight="1">
      <c r="G611" s="55"/>
      <c r="H611" s="55"/>
      <c r="I611" s="55"/>
    </row>
    <row r="612" spans="7:9" ht="15.75" customHeight="1">
      <c r="G612" s="55"/>
      <c r="H612" s="55"/>
      <c r="I612" s="55"/>
    </row>
    <row r="613" spans="7:9" ht="15.75" customHeight="1">
      <c r="G613" s="55"/>
      <c r="H613" s="55"/>
      <c r="I613" s="55"/>
    </row>
    <row r="614" spans="7:9" ht="15.75" customHeight="1">
      <c r="G614" s="55"/>
      <c r="H614" s="55"/>
      <c r="I614" s="55"/>
    </row>
    <row r="615" spans="7:9" ht="15.75" customHeight="1">
      <c r="G615" s="55"/>
      <c r="H615" s="55"/>
      <c r="I615" s="55"/>
    </row>
    <row r="616" spans="7:9" ht="15.75" customHeight="1">
      <c r="G616" s="55"/>
      <c r="H616" s="55"/>
      <c r="I616" s="55"/>
    </row>
    <row r="617" spans="7:9" ht="15.75" customHeight="1">
      <c r="G617" s="55"/>
      <c r="H617" s="55"/>
      <c r="I617" s="55"/>
    </row>
    <row r="618" spans="7:9" ht="15.75" customHeight="1">
      <c r="G618" s="55"/>
      <c r="H618" s="55"/>
      <c r="I618" s="55"/>
    </row>
    <row r="619" spans="7:9" ht="15.75" customHeight="1">
      <c r="G619" s="55"/>
      <c r="H619" s="55"/>
      <c r="I619" s="55"/>
    </row>
    <row r="620" spans="7:9" ht="15.75" customHeight="1">
      <c r="G620" s="55"/>
      <c r="H620" s="55"/>
      <c r="I620" s="55"/>
    </row>
    <row r="621" spans="7:9" ht="15.75" customHeight="1">
      <c r="G621" s="55"/>
      <c r="H621" s="55"/>
      <c r="I621" s="55"/>
    </row>
    <row r="622" spans="7:9" ht="15.75" customHeight="1">
      <c r="G622" s="55"/>
      <c r="H622" s="55"/>
      <c r="I622" s="55"/>
    </row>
    <row r="623" spans="7:9" ht="15.75" customHeight="1">
      <c r="G623" s="55"/>
      <c r="H623" s="55"/>
      <c r="I623" s="55"/>
    </row>
    <row r="624" spans="7:9" ht="15.75" customHeight="1">
      <c r="G624" s="55"/>
      <c r="H624" s="55"/>
      <c r="I624" s="55"/>
    </row>
    <row r="625" spans="7:9" ht="15.75" customHeight="1">
      <c r="G625" s="55"/>
      <c r="H625" s="55"/>
      <c r="I625" s="55"/>
    </row>
    <row r="626" spans="7:9" ht="15.75" customHeight="1">
      <c r="G626" s="55"/>
      <c r="H626" s="55"/>
      <c r="I626" s="55"/>
    </row>
    <row r="627" spans="7:9" ht="15.75" customHeight="1">
      <c r="G627" s="55"/>
      <c r="H627" s="55"/>
      <c r="I627" s="55"/>
    </row>
    <row r="628" spans="7:9" ht="15.75" customHeight="1">
      <c r="G628" s="55"/>
      <c r="H628" s="55"/>
      <c r="I628" s="55"/>
    </row>
    <row r="629" spans="7:9" ht="15.75" customHeight="1">
      <c r="G629" s="55"/>
      <c r="H629" s="55"/>
      <c r="I629" s="55"/>
    </row>
    <row r="630" spans="7:9" ht="15.75" customHeight="1">
      <c r="G630" s="55"/>
      <c r="H630" s="55"/>
      <c r="I630" s="55"/>
    </row>
    <row r="631" spans="7:9" ht="15.75" customHeight="1">
      <c r="G631" s="55"/>
      <c r="H631" s="55"/>
      <c r="I631" s="55"/>
    </row>
    <row r="632" spans="7:9" ht="15.75" customHeight="1">
      <c r="G632" s="55"/>
      <c r="H632" s="55"/>
      <c r="I632" s="55"/>
    </row>
    <row r="633" spans="7:9" ht="15.75" customHeight="1">
      <c r="G633" s="55"/>
      <c r="H633" s="55"/>
      <c r="I633" s="55"/>
    </row>
    <row r="634" spans="7:9" ht="15.75" customHeight="1">
      <c r="G634" s="55"/>
      <c r="H634" s="55"/>
      <c r="I634" s="55"/>
    </row>
    <row r="635" spans="7:9" ht="15.75" customHeight="1">
      <c r="G635" s="55"/>
      <c r="H635" s="55"/>
      <c r="I635" s="55"/>
    </row>
    <row r="636" spans="7:9" ht="15.75" customHeight="1">
      <c r="G636" s="55"/>
      <c r="H636" s="55"/>
      <c r="I636" s="55"/>
    </row>
    <row r="637" spans="7:9" ht="15.75" customHeight="1">
      <c r="G637" s="55"/>
      <c r="H637" s="55"/>
      <c r="I637" s="55"/>
    </row>
    <row r="638" spans="7:9" ht="15.75" customHeight="1">
      <c r="G638" s="55"/>
      <c r="H638" s="55"/>
      <c r="I638" s="55"/>
    </row>
    <row r="639" spans="7:9" ht="15.75" customHeight="1">
      <c r="G639" s="55"/>
      <c r="H639" s="55"/>
      <c r="I639" s="55"/>
    </row>
    <row r="640" spans="7:9" ht="15.75" customHeight="1">
      <c r="G640" s="55"/>
      <c r="H640" s="55"/>
      <c r="I640" s="55"/>
    </row>
    <row r="641" spans="7:9" ht="15.75" customHeight="1">
      <c r="G641" s="55"/>
      <c r="H641" s="55"/>
      <c r="I641" s="55"/>
    </row>
    <row r="642" spans="7:9" ht="15.75" customHeight="1">
      <c r="G642" s="55"/>
      <c r="H642" s="55"/>
      <c r="I642" s="55"/>
    </row>
    <row r="643" spans="7:9" ht="15.75" customHeight="1">
      <c r="G643" s="55"/>
      <c r="H643" s="55"/>
      <c r="I643" s="55"/>
    </row>
    <row r="644" spans="7:9" ht="15.75" customHeight="1">
      <c r="G644" s="55"/>
      <c r="H644" s="55"/>
      <c r="I644" s="55"/>
    </row>
    <row r="645" spans="7:9" ht="15.75" customHeight="1">
      <c r="G645" s="55"/>
      <c r="H645" s="55"/>
      <c r="I645" s="55"/>
    </row>
    <row r="646" spans="7:9" ht="15.75" customHeight="1">
      <c r="G646" s="55"/>
      <c r="H646" s="55"/>
      <c r="I646" s="55"/>
    </row>
    <row r="647" spans="7:9" ht="15.75" customHeight="1">
      <c r="G647" s="55"/>
      <c r="H647" s="55"/>
      <c r="I647" s="55"/>
    </row>
    <row r="648" spans="7:9" ht="15.75" customHeight="1">
      <c r="G648" s="55"/>
      <c r="H648" s="55"/>
      <c r="I648" s="55"/>
    </row>
    <row r="649" spans="7:9" ht="15.75" customHeight="1">
      <c r="G649" s="55"/>
      <c r="H649" s="55"/>
      <c r="I649" s="55"/>
    </row>
    <row r="650" spans="7:9" ht="15.75" customHeight="1">
      <c r="G650" s="55"/>
      <c r="H650" s="55"/>
      <c r="I650" s="55"/>
    </row>
    <row r="651" spans="7:9" ht="15.75" customHeight="1">
      <c r="G651" s="55"/>
      <c r="H651" s="55"/>
      <c r="I651" s="55"/>
    </row>
    <row r="652" spans="7:9" ht="15.75" customHeight="1">
      <c r="G652" s="55"/>
      <c r="H652" s="55"/>
      <c r="I652" s="55"/>
    </row>
    <row r="653" spans="7:9" ht="15.75" customHeight="1">
      <c r="G653" s="55"/>
      <c r="H653" s="55"/>
      <c r="I653" s="55"/>
    </row>
    <row r="654" spans="7:9" ht="15.75" customHeight="1">
      <c r="G654" s="55"/>
      <c r="H654" s="55"/>
      <c r="I654" s="55"/>
    </row>
    <row r="655" spans="7:9" ht="15.75" customHeight="1">
      <c r="G655" s="55"/>
      <c r="H655" s="55"/>
      <c r="I655" s="55"/>
    </row>
    <row r="656" spans="7:9" ht="15.75" customHeight="1">
      <c r="G656" s="55"/>
      <c r="H656" s="55"/>
      <c r="I656" s="55"/>
    </row>
    <row r="657" spans="7:9" ht="15.75" customHeight="1">
      <c r="G657" s="55"/>
      <c r="H657" s="55"/>
      <c r="I657" s="55"/>
    </row>
    <row r="658" spans="7:9" ht="15.75" customHeight="1">
      <c r="G658" s="55"/>
      <c r="H658" s="55"/>
      <c r="I658" s="55"/>
    </row>
    <row r="659" spans="7:9" ht="15.75" customHeight="1">
      <c r="G659" s="55"/>
      <c r="H659" s="55"/>
      <c r="I659" s="55"/>
    </row>
    <row r="660" spans="7:9" ht="15.75" customHeight="1">
      <c r="G660" s="55"/>
      <c r="H660" s="55"/>
      <c r="I660" s="55"/>
    </row>
    <row r="661" spans="7:9" ht="15.75" customHeight="1">
      <c r="G661" s="55"/>
      <c r="H661" s="55"/>
      <c r="I661" s="55"/>
    </row>
    <row r="662" spans="7:9" ht="15.75" customHeight="1">
      <c r="G662" s="55"/>
      <c r="H662" s="55"/>
      <c r="I662" s="55"/>
    </row>
    <row r="663" spans="7:9" ht="15.75" customHeight="1">
      <c r="G663" s="55"/>
      <c r="H663" s="55"/>
      <c r="I663" s="55"/>
    </row>
    <row r="664" spans="7:9" ht="15.75" customHeight="1">
      <c r="G664" s="55"/>
      <c r="H664" s="55"/>
      <c r="I664" s="55"/>
    </row>
    <row r="665" spans="7:9" ht="15.75" customHeight="1">
      <c r="G665" s="55"/>
      <c r="H665" s="55"/>
      <c r="I665" s="55"/>
    </row>
    <row r="666" spans="7:9" ht="15.75" customHeight="1">
      <c r="G666" s="55"/>
      <c r="H666" s="55"/>
      <c r="I666" s="55"/>
    </row>
    <row r="667" spans="7:9" ht="15.75" customHeight="1">
      <c r="G667" s="55"/>
      <c r="H667" s="55"/>
      <c r="I667" s="55"/>
    </row>
    <row r="668" spans="7:9" ht="15.75" customHeight="1">
      <c r="G668" s="55"/>
      <c r="H668" s="55"/>
      <c r="I668" s="55"/>
    </row>
    <row r="669" spans="7:9" ht="15.75" customHeight="1">
      <c r="G669" s="55"/>
      <c r="H669" s="55"/>
      <c r="I669" s="55"/>
    </row>
    <row r="670" spans="7:9" ht="15.75" customHeight="1">
      <c r="G670" s="55"/>
      <c r="H670" s="55"/>
      <c r="I670" s="55"/>
    </row>
    <row r="671" spans="7:9" ht="15.75" customHeight="1">
      <c r="G671" s="55"/>
      <c r="H671" s="55"/>
      <c r="I671" s="55"/>
    </row>
    <row r="672" spans="7:9" ht="15.75" customHeight="1">
      <c r="G672" s="55"/>
      <c r="H672" s="55"/>
      <c r="I672" s="55"/>
    </row>
    <row r="673" spans="7:9" ht="15.75" customHeight="1">
      <c r="G673" s="55"/>
      <c r="H673" s="55"/>
      <c r="I673" s="55"/>
    </row>
    <row r="674" spans="7:9" ht="15.75" customHeight="1">
      <c r="G674" s="55"/>
      <c r="H674" s="55"/>
      <c r="I674" s="55"/>
    </row>
    <row r="675" spans="7:9" ht="15.75" customHeight="1">
      <c r="G675" s="55"/>
      <c r="H675" s="55"/>
      <c r="I675" s="55"/>
    </row>
    <row r="676" spans="7:9" ht="15.75" customHeight="1">
      <c r="G676" s="55"/>
      <c r="H676" s="55"/>
      <c r="I676" s="55"/>
    </row>
    <row r="677" spans="7:9" ht="15.75" customHeight="1">
      <c r="G677" s="55"/>
      <c r="H677" s="55"/>
      <c r="I677" s="55"/>
    </row>
    <row r="678" spans="7:9" ht="15.75" customHeight="1">
      <c r="G678" s="55"/>
      <c r="H678" s="55"/>
      <c r="I678" s="55"/>
    </row>
    <row r="679" spans="7:9" ht="15.75" customHeight="1">
      <c r="G679" s="55"/>
      <c r="H679" s="55"/>
      <c r="I679" s="55"/>
    </row>
    <row r="680" spans="7:9" ht="15.75" customHeight="1">
      <c r="G680" s="55"/>
      <c r="H680" s="55"/>
      <c r="I680" s="55"/>
    </row>
    <row r="681" spans="7:9" ht="15.75" customHeight="1">
      <c r="G681" s="55"/>
      <c r="H681" s="55"/>
      <c r="I681" s="55"/>
    </row>
    <row r="682" spans="7:9" ht="15.75" customHeight="1">
      <c r="G682" s="55"/>
      <c r="H682" s="55"/>
      <c r="I682" s="55"/>
    </row>
    <row r="683" spans="7:9" ht="15.75" customHeight="1">
      <c r="G683" s="55"/>
      <c r="H683" s="55"/>
      <c r="I683" s="55"/>
    </row>
    <row r="684" spans="7:9" ht="15.75" customHeight="1">
      <c r="G684" s="55"/>
      <c r="H684" s="55"/>
      <c r="I684" s="55"/>
    </row>
    <row r="685" spans="7:9" ht="15.75" customHeight="1">
      <c r="G685" s="55"/>
      <c r="H685" s="55"/>
      <c r="I685" s="55"/>
    </row>
    <row r="686" spans="7:9" ht="15.75" customHeight="1">
      <c r="G686" s="55"/>
      <c r="H686" s="55"/>
      <c r="I686" s="55"/>
    </row>
    <row r="687" spans="7:9" ht="15.75" customHeight="1">
      <c r="G687" s="55"/>
      <c r="H687" s="55"/>
      <c r="I687" s="55"/>
    </row>
    <row r="688" spans="7:9" ht="15.75" customHeight="1">
      <c r="G688" s="55"/>
      <c r="H688" s="55"/>
      <c r="I688" s="55"/>
    </row>
    <row r="689" spans="7:9" ht="15.75" customHeight="1">
      <c r="G689" s="55"/>
      <c r="H689" s="55"/>
      <c r="I689" s="55"/>
    </row>
    <row r="690" spans="7:9" ht="15.75" customHeight="1">
      <c r="G690" s="55"/>
      <c r="H690" s="55"/>
      <c r="I690" s="55"/>
    </row>
    <row r="691" spans="7:9" ht="15.75" customHeight="1">
      <c r="G691" s="55"/>
      <c r="H691" s="55"/>
      <c r="I691" s="55"/>
    </row>
    <row r="692" spans="7:9" ht="15.75" customHeight="1">
      <c r="G692" s="55"/>
      <c r="H692" s="55"/>
      <c r="I692" s="55"/>
    </row>
    <row r="693" spans="7:9" ht="15.75" customHeight="1">
      <c r="G693" s="55"/>
      <c r="H693" s="55"/>
      <c r="I693" s="55"/>
    </row>
    <row r="694" spans="7:9" ht="15.75" customHeight="1">
      <c r="G694" s="55"/>
      <c r="H694" s="55"/>
      <c r="I694" s="55"/>
    </row>
    <row r="695" spans="7:9" ht="15.75" customHeight="1">
      <c r="G695" s="55"/>
      <c r="H695" s="55"/>
      <c r="I695" s="55"/>
    </row>
    <row r="696" spans="7:9" ht="15.75" customHeight="1">
      <c r="G696" s="55"/>
      <c r="H696" s="55"/>
      <c r="I696" s="55"/>
    </row>
    <row r="697" spans="7:9" ht="15.75" customHeight="1">
      <c r="G697" s="55"/>
      <c r="H697" s="55"/>
      <c r="I697" s="55"/>
    </row>
    <row r="698" spans="7:9" ht="15.75" customHeight="1">
      <c r="G698" s="55"/>
      <c r="H698" s="55"/>
      <c r="I698" s="55"/>
    </row>
    <row r="699" spans="7:9" ht="15.75" customHeight="1">
      <c r="G699" s="55"/>
      <c r="H699" s="55"/>
      <c r="I699" s="55"/>
    </row>
    <row r="700" spans="7:9" ht="15.75" customHeight="1">
      <c r="G700" s="55"/>
      <c r="H700" s="55"/>
      <c r="I700" s="55"/>
    </row>
    <row r="701" spans="7:9" ht="15.75" customHeight="1">
      <c r="G701" s="55"/>
      <c r="H701" s="55"/>
      <c r="I701" s="55"/>
    </row>
    <row r="702" spans="7:9" ht="15.75" customHeight="1">
      <c r="G702" s="55"/>
      <c r="H702" s="55"/>
      <c r="I702" s="55"/>
    </row>
    <row r="703" spans="7:9" ht="15.75" customHeight="1">
      <c r="G703" s="55"/>
      <c r="H703" s="55"/>
      <c r="I703" s="55"/>
    </row>
    <row r="704" spans="7:9" ht="15.75" customHeight="1">
      <c r="G704" s="55"/>
      <c r="H704" s="55"/>
      <c r="I704" s="55"/>
    </row>
    <row r="705" spans="7:9" ht="15.75" customHeight="1">
      <c r="G705" s="55"/>
      <c r="H705" s="55"/>
      <c r="I705" s="55"/>
    </row>
    <row r="706" spans="7:9" ht="15.75" customHeight="1">
      <c r="G706" s="55"/>
      <c r="H706" s="55"/>
      <c r="I706" s="55"/>
    </row>
    <row r="707" spans="7:9" ht="15.75" customHeight="1">
      <c r="G707" s="55"/>
      <c r="H707" s="55"/>
      <c r="I707" s="55"/>
    </row>
    <row r="708" spans="7:9" ht="15.75" customHeight="1">
      <c r="G708" s="55"/>
      <c r="H708" s="55"/>
      <c r="I708" s="55"/>
    </row>
    <row r="709" spans="7:9" ht="15.75" customHeight="1">
      <c r="G709" s="55"/>
      <c r="H709" s="55"/>
      <c r="I709" s="55"/>
    </row>
    <row r="710" spans="7:9" ht="15.75" customHeight="1">
      <c r="G710" s="55"/>
      <c r="H710" s="55"/>
      <c r="I710" s="55"/>
    </row>
    <row r="711" spans="7:9" ht="15.75" customHeight="1">
      <c r="G711" s="55"/>
      <c r="H711" s="55"/>
      <c r="I711" s="55"/>
    </row>
    <row r="712" spans="7:9" ht="15.75" customHeight="1">
      <c r="G712" s="55"/>
      <c r="H712" s="55"/>
      <c r="I712" s="55"/>
    </row>
    <row r="713" spans="7:9" ht="15.75" customHeight="1">
      <c r="G713" s="55"/>
      <c r="H713" s="55"/>
      <c r="I713" s="55"/>
    </row>
    <row r="714" spans="7:9" ht="15.75" customHeight="1">
      <c r="G714" s="55"/>
      <c r="H714" s="55"/>
      <c r="I714" s="55"/>
    </row>
    <row r="715" spans="7:9" ht="15.75" customHeight="1">
      <c r="G715" s="55"/>
      <c r="H715" s="55"/>
      <c r="I715" s="55"/>
    </row>
    <row r="716" spans="7:9" ht="15.75" customHeight="1">
      <c r="G716" s="55"/>
      <c r="H716" s="55"/>
      <c r="I716" s="55"/>
    </row>
    <row r="717" spans="7:9" ht="15.75" customHeight="1">
      <c r="G717" s="55"/>
      <c r="H717" s="55"/>
      <c r="I717" s="55"/>
    </row>
    <row r="718" spans="7:9" ht="15.75" customHeight="1">
      <c r="G718" s="55"/>
      <c r="H718" s="55"/>
      <c r="I718" s="55"/>
    </row>
    <row r="719" spans="7:9" ht="15.75" customHeight="1">
      <c r="G719" s="55"/>
      <c r="H719" s="55"/>
      <c r="I719" s="55"/>
    </row>
    <row r="720" spans="7:9" ht="15.75" customHeight="1">
      <c r="G720" s="55"/>
      <c r="H720" s="55"/>
      <c r="I720" s="55"/>
    </row>
    <row r="721" spans="7:9" ht="15.75" customHeight="1">
      <c r="G721" s="55"/>
      <c r="H721" s="55"/>
      <c r="I721" s="55"/>
    </row>
    <row r="722" spans="7:9" ht="15.75" customHeight="1">
      <c r="G722" s="55"/>
      <c r="H722" s="55"/>
      <c r="I722" s="55"/>
    </row>
    <row r="723" spans="7:9" ht="15.75" customHeight="1">
      <c r="G723" s="55"/>
      <c r="H723" s="55"/>
      <c r="I723" s="55"/>
    </row>
    <row r="724" spans="7:9" ht="15.75" customHeight="1">
      <c r="G724" s="55"/>
      <c r="H724" s="55"/>
      <c r="I724" s="55"/>
    </row>
    <row r="725" spans="7:9" ht="15.75" customHeight="1">
      <c r="G725" s="55"/>
      <c r="H725" s="55"/>
      <c r="I725" s="55"/>
    </row>
    <row r="726" spans="7:9" ht="15.75" customHeight="1">
      <c r="G726" s="55"/>
      <c r="H726" s="55"/>
      <c r="I726" s="55"/>
    </row>
    <row r="727" spans="7:9" ht="15.75" customHeight="1">
      <c r="G727" s="55"/>
      <c r="H727" s="55"/>
      <c r="I727" s="55"/>
    </row>
    <row r="728" spans="7:9" ht="15.75" customHeight="1">
      <c r="G728" s="55"/>
      <c r="H728" s="55"/>
      <c r="I728" s="55"/>
    </row>
    <row r="729" spans="7:9" ht="15.75" customHeight="1">
      <c r="G729" s="55"/>
      <c r="H729" s="55"/>
      <c r="I729" s="55"/>
    </row>
    <row r="730" spans="7:9" ht="15.75" customHeight="1">
      <c r="G730" s="55"/>
      <c r="H730" s="55"/>
      <c r="I730" s="55"/>
    </row>
    <row r="731" spans="7:9" ht="15.75" customHeight="1">
      <c r="G731" s="55"/>
      <c r="H731" s="55"/>
      <c r="I731" s="55"/>
    </row>
    <row r="732" spans="7:9" ht="15.75" customHeight="1">
      <c r="G732" s="55"/>
      <c r="H732" s="55"/>
      <c r="I732" s="55"/>
    </row>
    <row r="733" spans="7:9" ht="15.75" customHeight="1">
      <c r="G733" s="55"/>
      <c r="H733" s="55"/>
      <c r="I733" s="55"/>
    </row>
    <row r="734" spans="7:9" ht="15.75" customHeight="1">
      <c r="G734" s="55"/>
      <c r="H734" s="55"/>
      <c r="I734" s="55"/>
    </row>
    <row r="735" spans="7:9" ht="15.75" customHeight="1">
      <c r="G735" s="55"/>
      <c r="H735" s="55"/>
      <c r="I735" s="55"/>
    </row>
    <row r="736" spans="7:9" ht="15.75" customHeight="1">
      <c r="G736" s="55"/>
      <c r="H736" s="55"/>
      <c r="I736" s="55"/>
    </row>
    <row r="737" spans="7:9" ht="15.75" customHeight="1">
      <c r="G737" s="55"/>
      <c r="H737" s="55"/>
      <c r="I737" s="55"/>
    </row>
    <row r="738" spans="7:9" ht="15.75" customHeight="1">
      <c r="G738" s="55"/>
      <c r="H738" s="55"/>
      <c r="I738" s="55"/>
    </row>
    <row r="739" spans="7:9" ht="15.75" customHeight="1">
      <c r="G739" s="55"/>
      <c r="H739" s="55"/>
      <c r="I739" s="55"/>
    </row>
    <row r="740" spans="7:9" ht="15.75" customHeight="1">
      <c r="G740" s="55"/>
      <c r="H740" s="55"/>
      <c r="I740" s="55"/>
    </row>
    <row r="741" spans="7:9" ht="15.75" customHeight="1">
      <c r="G741" s="55"/>
      <c r="H741" s="55"/>
      <c r="I741" s="55"/>
    </row>
    <row r="742" spans="7:9" ht="15.75" customHeight="1">
      <c r="G742" s="55"/>
      <c r="H742" s="55"/>
      <c r="I742" s="55"/>
    </row>
    <row r="743" spans="7:9" ht="15.75" customHeight="1">
      <c r="G743" s="55"/>
      <c r="H743" s="55"/>
      <c r="I743" s="55"/>
    </row>
    <row r="744" spans="7:9" ht="15.75" customHeight="1">
      <c r="G744" s="55"/>
      <c r="H744" s="55"/>
      <c r="I744" s="55"/>
    </row>
    <row r="745" spans="7:9" ht="15.75" customHeight="1">
      <c r="G745" s="55"/>
      <c r="H745" s="55"/>
      <c r="I745" s="55"/>
    </row>
    <row r="746" spans="7:9" ht="15.75" customHeight="1">
      <c r="G746" s="55"/>
      <c r="H746" s="55"/>
      <c r="I746" s="55"/>
    </row>
    <row r="747" spans="7:9" ht="15.75" customHeight="1">
      <c r="G747" s="55"/>
      <c r="H747" s="55"/>
      <c r="I747" s="55"/>
    </row>
    <row r="748" spans="7:9" ht="15.75" customHeight="1">
      <c r="G748" s="55"/>
      <c r="H748" s="55"/>
      <c r="I748" s="55"/>
    </row>
    <row r="749" spans="7:9" ht="15.75" customHeight="1">
      <c r="G749" s="55"/>
      <c r="H749" s="55"/>
      <c r="I749" s="55"/>
    </row>
    <row r="750" spans="7:9" ht="15.75" customHeight="1">
      <c r="G750" s="55"/>
      <c r="H750" s="55"/>
      <c r="I750" s="55"/>
    </row>
    <row r="751" spans="7:9" ht="15.75" customHeight="1">
      <c r="G751" s="55"/>
      <c r="H751" s="55"/>
      <c r="I751" s="55"/>
    </row>
    <row r="752" spans="7:9" ht="15.75" customHeight="1">
      <c r="G752" s="55"/>
      <c r="H752" s="55"/>
      <c r="I752" s="55"/>
    </row>
    <row r="753" spans="7:9" ht="15.75" customHeight="1">
      <c r="G753" s="55"/>
      <c r="H753" s="55"/>
      <c r="I753" s="55"/>
    </row>
    <row r="754" spans="7:9" ht="15.75" customHeight="1">
      <c r="G754" s="55"/>
      <c r="H754" s="55"/>
      <c r="I754" s="55"/>
    </row>
    <row r="755" spans="7:9" ht="15.75" customHeight="1">
      <c r="G755" s="55"/>
      <c r="H755" s="55"/>
      <c r="I755" s="55"/>
    </row>
    <row r="756" spans="7:9" ht="15.75" customHeight="1">
      <c r="G756" s="55"/>
      <c r="H756" s="55"/>
      <c r="I756" s="55"/>
    </row>
    <row r="757" spans="7:9" ht="15.75" customHeight="1">
      <c r="G757" s="55"/>
      <c r="H757" s="55"/>
      <c r="I757" s="55"/>
    </row>
    <row r="758" spans="7:9" ht="15.75" customHeight="1">
      <c r="G758" s="55"/>
      <c r="H758" s="55"/>
      <c r="I758" s="55"/>
    </row>
    <row r="759" spans="7:9" ht="15.75" customHeight="1">
      <c r="G759" s="55"/>
      <c r="H759" s="55"/>
      <c r="I759" s="55"/>
    </row>
    <row r="760" spans="7:9" ht="15.75" customHeight="1">
      <c r="G760" s="55"/>
      <c r="H760" s="55"/>
      <c r="I760" s="55"/>
    </row>
    <row r="761" spans="7:9" ht="15.75" customHeight="1">
      <c r="G761" s="55"/>
      <c r="H761" s="55"/>
      <c r="I761" s="55"/>
    </row>
    <row r="762" spans="7:9" ht="15.75" customHeight="1">
      <c r="G762" s="55"/>
      <c r="H762" s="55"/>
      <c r="I762" s="55"/>
    </row>
    <row r="763" spans="7:9" ht="15.75" customHeight="1">
      <c r="G763" s="55"/>
      <c r="H763" s="55"/>
      <c r="I763" s="55"/>
    </row>
    <row r="764" spans="7:9" ht="15.75" customHeight="1">
      <c r="G764" s="55"/>
      <c r="H764" s="55"/>
      <c r="I764" s="55"/>
    </row>
    <row r="765" spans="7:9" ht="15.75" customHeight="1">
      <c r="G765" s="55"/>
      <c r="H765" s="55"/>
      <c r="I765" s="55"/>
    </row>
    <row r="766" spans="7:9" ht="15.75" customHeight="1">
      <c r="G766" s="55"/>
      <c r="H766" s="55"/>
      <c r="I766" s="55"/>
    </row>
    <row r="767" spans="7:9" ht="15.75" customHeight="1">
      <c r="G767" s="55"/>
      <c r="H767" s="55"/>
      <c r="I767" s="55"/>
    </row>
    <row r="768" spans="7:9" ht="15.75" customHeight="1">
      <c r="G768" s="55"/>
      <c r="H768" s="55"/>
      <c r="I768" s="55"/>
    </row>
    <row r="769" spans="7:9" ht="15.75" customHeight="1">
      <c r="G769" s="55"/>
      <c r="H769" s="55"/>
      <c r="I769" s="55"/>
    </row>
    <row r="770" spans="7:9" ht="15.75" customHeight="1">
      <c r="G770" s="55"/>
      <c r="H770" s="55"/>
      <c r="I770" s="55"/>
    </row>
    <row r="771" spans="7:9" ht="15.75" customHeight="1">
      <c r="G771" s="55"/>
      <c r="H771" s="55"/>
      <c r="I771" s="55"/>
    </row>
    <row r="772" spans="7:9" ht="15.75" customHeight="1">
      <c r="G772" s="55"/>
      <c r="H772" s="55"/>
      <c r="I772" s="55"/>
    </row>
    <row r="773" spans="7:9" ht="15.75" customHeight="1">
      <c r="G773" s="55"/>
      <c r="H773" s="55"/>
      <c r="I773" s="55"/>
    </row>
    <row r="774" spans="7:9" ht="15.75" customHeight="1">
      <c r="G774" s="55"/>
      <c r="H774" s="55"/>
      <c r="I774" s="55"/>
    </row>
    <row r="775" spans="7:9" ht="15.75" customHeight="1">
      <c r="G775" s="55"/>
      <c r="H775" s="55"/>
      <c r="I775" s="55"/>
    </row>
    <row r="776" spans="7:9" ht="15.75" customHeight="1">
      <c r="G776" s="55"/>
      <c r="H776" s="55"/>
      <c r="I776" s="55"/>
    </row>
    <row r="777" spans="7:9" ht="15.75" customHeight="1">
      <c r="G777" s="55"/>
      <c r="H777" s="55"/>
      <c r="I777" s="55"/>
    </row>
    <row r="778" spans="7:9" ht="15.75" customHeight="1">
      <c r="G778" s="55"/>
      <c r="H778" s="55"/>
      <c r="I778" s="55"/>
    </row>
    <row r="779" spans="7:9" ht="15.75" customHeight="1">
      <c r="G779" s="55"/>
      <c r="H779" s="55"/>
      <c r="I779" s="55"/>
    </row>
    <row r="780" spans="7:9" ht="15.75" customHeight="1">
      <c r="G780" s="55"/>
      <c r="H780" s="55"/>
      <c r="I780" s="55"/>
    </row>
    <row r="781" spans="7:9" ht="15.75" customHeight="1">
      <c r="G781" s="55"/>
      <c r="H781" s="55"/>
      <c r="I781" s="55"/>
    </row>
    <row r="782" spans="7:9" ht="15.75" customHeight="1">
      <c r="G782" s="55"/>
      <c r="H782" s="55"/>
      <c r="I782" s="55"/>
    </row>
    <row r="783" spans="7:9" ht="15.75" customHeight="1">
      <c r="G783" s="55"/>
      <c r="H783" s="55"/>
      <c r="I783" s="55"/>
    </row>
    <row r="784" spans="7:9" ht="15.75" customHeight="1">
      <c r="G784" s="55"/>
      <c r="H784" s="55"/>
      <c r="I784" s="55"/>
    </row>
    <row r="785" spans="7:9" ht="15.75" customHeight="1">
      <c r="G785" s="55"/>
      <c r="H785" s="55"/>
      <c r="I785" s="55"/>
    </row>
    <row r="786" spans="7:9" ht="15.75" customHeight="1">
      <c r="G786" s="55"/>
      <c r="H786" s="55"/>
      <c r="I786" s="55"/>
    </row>
    <row r="787" spans="7:9" ht="15.75" customHeight="1">
      <c r="G787" s="55"/>
      <c r="H787" s="55"/>
      <c r="I787" s="55"/>
    </row>
    <row r="788" spans="7:9" ht="15.75" customHeight="1">
      <c r="G788" s="55"/>
      <c r="H788" s="55"/>
      <c r="I788" s="55"/>
    </row>
    <row r="789" spans="7:9" ht="15.75" customHeight="1">
      <c r="G789" s="55"/>
      <c r="H789" s="55"/>
      <c r="I789" s="55"/>
    </row>
    <row r="790" spans="7:9" ht="15.75" customHeight="1">
      <c r="G790" s="55"/>
      <c r="H790" s="55"/>
      <c r="I790" s="55"/>
    </row>
    <row r="791" spans="7:9" ht="15.75" customHeight="1">
      <c r="G791" s="55"/>
      <c r="H791" s="55"/>
      <c r="I791" s="55"/>
    </row>
    <row r="792" spans="7:9" ht="15.75" customHeight="1">
      <c r="G792" s="55"/>
      <c r="H792" s="55"/>
      <c r="I792" s="55"/>
    </row>
    <row r="793" spans="7:9" ht="15.75" customHeight="1">
      <c r="G793" s="55"/>
      <c r="H793" s="55"/>
      <c r="I793" s="55"/>
    </row>
    <row r="794" spans="7:9" ht="15.75" customHeight="1">
      <c r="G794" s="55"/>
      <c r="H794" s="55"/>
      <c r="I794" s="55"/>
    </row>
    <row r="795" spans="7:9" ht="15.75" customHeight="1">
      <c r="G795" s="55"/>
      <c r="H795" s="55"/>
      <c r="I795" s="55"/>
    </row>
    <row r="796" spans="7:9" ht="15.75" customHeight="1">
      <c r="G796" s="55"/>
      <c r="H796" s="55"/>
      <c r="I796" s="55"/>
    </row>
    <row r="797" spans="7:9" ht="15.75" customHeight="1">
      <c r="G797" s="55"/>
      <c r="H797" s="55"/>
      <c r="I797" s="55"/>
    </row>
    <row r="798" spans="7:9" ht="15.75" customHeight="1">
      <c r="G798" s="55"/>
      <c r="H798" s="55"/>
      <c r="I798" s="55"/>
    </row>
    <row r="799" spans="7:9" ht="15.75" customHeight="1">
      <c r="G799" s="55"/>
      <c r="H799" s="55"/>
      <c r="I799" s="55"/>
    </row>
    <row r="800" spans="7:9" ht="15.75" customHeight="1">
      <c r="G800" s="55"/>
      <c r="H800" s="55"/>
      <c r="I800" s="55"/>
    </row>
    <row r="801" spans="7:9" ht="15.75" customHeight="1">
      <c r="G801" s="55"/>
      <c r="H801" s="55"/>
      <c r="I801" s="55"/>
    </row>
    <row r="802" spans="7:9" ht="15.75" customHeight="1">
      <c r="G802" s="55"/>
      <c r="H802" s="55"/>
      <c r="I802" s="55"/>
    </row>
    <row r="803" spans="7:9" ht="15.75" customHeight="1">
      <c r="G803" s="55"/>
      <c r="H803" s="55"/>
      <c r="I803" s="55"/>
    </row>
    <row r="804" spans="7:9" ht="15.75" customHeight="1">
      <c r="G804" s="55"/>
      <c r="H804" s="55"/>
      <c r="I804" s="55"/>
    </row>
    <row r="805" spans="7:9" ht="15.75" customHeight="1">
      <c r="G805" s="55"/>
      <c r="H805" s="55"/>
      <c r="I805" s="55"/>
    </row>
    <row r="806" spans="7:9" ht="15.75" customHeight="1">
      <c r="G806" s="55"/>
      <c r="H806" s="55"/>
      <c r="I806" s="55"/>
    </row>
    <row r="807" spans="7:9" ht="15.75" customHeight="1">
      <c r="G807" s="55"/>
      <c r="H807" s="55"/>
      <c r="I807" s="55"/>
    </row>
    <row r="808" spans="7:9" ht="15.75" customHeight="1">
      <c r="G808" s="55"/>
      <c r="H808" s="55"/>
      <c r="I808" s="55"/>
    </row>
    <row r="809" spans="7:9" ht="15.75" customHeight="1">
      <c r="G809" s="55"/>
      <c r="H809" s="55"/>
      <c r="I809" s="55"/>
    </row>
    <row r="810" spans="7:9" ht="15.75" customHeight="1">
      <c r="G810" s="55"/>
      <c r="H810" s="55"/>
      <c r="I810" s="55"/>
    </row>
    <row r="811" spans="7:9" ht="15.75" customHeight="1">
      <c r="G811" s="55"/>
      <c r="H811" s="55"/>
      <c r="I811" s="55"/>
    </row>
    <row r="812" spans="7:9" ht="15.75" customHeight="1">
      <c r="G812" s="55"/>
      <c r="H812" s="55"/>
      <c r="I812" s="55"/>
    </row>
    <row r="813" spans="7:9" ht="15.75" customHeight="1">
      <c r="G813" s="55"/>
      <c r="H813" s="55"/>
      <c r="I813" s="55"/>
    </row>
    <row r="814" spans="7:9" ht="15.75" customHeight="1">
      <c r="G814" s="55"/>
      <c r="H814" s="55"/>
      <c r="I814" s="55"/>
    </row>
    <row r="815" spans="7:9" ht="15.75" customHeight="1">
      <c r="G815" s="55"/>
      <c r="H815" s="55"/>
      <c r="I815" s="55"/>
    </row>
    <row r="816" spans="7:9" ht="15.75" customHeight="1">
      <c r="G816" s="55"/>
      <c r="H816" s="55"/>
      <c r="I816" s="55"/>
    </row>
    <row r="817" spans="7:9" ht="15.75" customHeight="1">
      <c r="G817" s="55"/>
      <c r="H817" s="55"/>
      <c r="I817" s="55"/>
    </row>
    <row r="818" spans="7:9" ht="15.75" customHeight="1">
      <c r="G818" s="55"/>
      <c r="H818" s="55"/>
      <c r="I818" s="55"/>
    </row>
    <row r="819" spans="7:9" ht="15.75" customHeight="1">
      <c r="G819" s="55"/>
      <c r="H819" s="55"/>
      <c r="I819" s="55"/>
    </row>
    <row r="820" spans="7:9" ht="15.75" customHeight="1">
      <c r="G820" s="55"/>
      <c r="H820" s="55"/>
      <c r="I820" s="55"/>
    </row>
    <row r="821" spans="7:9" ht="15.75" customHeight="1">
      <c r="G821" s="55"/>
      <c r="H821" s="55"/>
      <c r="I821" s="55"/>
    </row>
    <row r="822" spans="7:9" ht="15.75" customHeight="1">
      <c r="G822" s="55"/>
      <c r="H822" s="55"/>
      <c r="I822" s="55"/>
    </row>
    <row r="823" spans="7:9" ht="15.75" customHeight="1">
      <c r="G823" s="55"/>
      <c r="H823" s="55"/>
      <c r="I823" s="55"/>
    </row>
    <row r="824" spans="7:9" ht="15.75" customHeight="1">
      <c r="G824" s="55"/>
      <c r="H824" s="55"/>
      <c r="I824" s="55"/>
    </row>
    <row r="825" spans="7:9" ht="15.75" customHeight="1">
      <c r="G825" s="55"/>
      <c r="H825" s="55"/>
      <c r="I825" s="55"/>
    </row>
    <row r="826" spans="7:9" ht="15.75" customHeight="1">
      <c r="G826" s="55"/>
      <c r="H826" s="55"/>
      <c r="I826" s="55"/>
    </row>
    <row r="827" spans="7:9" ht="15.75" customHeight="1">
      <c r="G827" s="55"/>
      <c r="H827" s="55"/>
      <c r="I827" s="55"/>
    </row>
    <row r="828" spans="7:9" ht="15.75" customHeight="1">
      <c r="G828" s="55"/>
      <c r="H828" s="55"/>
      <c r="I828" s="55"/>
    </row>
    <row r="829" spans="7:9" ht="15.75" customHeight="1">
      <c r="G829" s="55"/>
      <c r="H829" s="55"/>
      <c r="I829" s="55"/>
    </row>
    <row r="830" spans="7:9" ht="15.75" customHeight="1">
      <c r="G830" s="55"/>
      <c r="H830" s="55"/>
      <c r="I830" s="55"/>
    </row>
    <row r="831" spans="7:9" ht="15.75" customHeight="1">
      <c r="G831" s="55"/>
      <c r="H831" s="55"/>
      <c r="I831" s="55"/>
    </row>
    <row r="832" spans="7:9" ht="15.75" customHeight="1">
      <c r="G832" s="55"/>
      <c r="H832" s="55"/>
      <c r="I832" s="55"/>
    </row>
    <row r="833" spans="7:9" ht="15.75" customHeight="1">
      <c r="G833" s="55"/>
      <c r="H833" s="55"/>
      <c r="I833" s="55"/>
    </row>
    <row r="834" spans="7:9" ht="15.75" customHeight="1">
      <c r="G834" s="55"/>
      <c r="H834" s="55"/>
      <c r="I834" s="55"/>
    </row>
    <row r="835" spans="7:9" ht="15.75" customHeight="1">
      <c r="G835" s="55"/>
      <c r="H835" s="55"/>
      <c r="I835" s="55"/>
    </row>
    <row r="836" spans="7:9" ht="15.75" customHeight="1">
      <c r="G836" s="55"/>
      <c r="H836" s="55"/>
      <c r="I836" s="55"/>
    </row>
    <row r="837" spans="7:9" ht="15.75" customHeight="1">
      <c r="G837" s="55"/>
      <c r="H837" s="55"/>
      <c r="I837" s="55"/>
    </row>
    <row r="838" spans="7:9" ht="15.75" customHeight="1">
      <c r="G838" s="55"/>
      <c r="H838" s="55"/>
      <c r="I838" s="55"/>
    </row>
    <row r="839" spans="7:9" ht="15.75" customHeight="1">
      <c r="G839" s="55"/>
      <c r="H839" s="55"/>
      <c r="I839" s="55"/>
    </row>
    <row r="840" spans="7:9" ht="15.75" customHeight="1">
      <c r="G840" s="55"/>
      <c r="H840" s="55"/>
      <c r="I840" s="55"/>
    </row>
    <row r="841" spans="7:9" ht="15.75" customHeight="1">
      <c r="G841" s="55"/>
      <c r="H841" s="55"/>
      <c r="I841" s="55"/>
    </row>
    <row r="842" spans="7:9" ht="15.75" customHeight="1">
      <c r="G842" s="55"/>
      <c r="H842" s="55"/>
      <c r="I842" s="55"/>
    </row>
    <row r="843" spans="7:9" ht="15.75" customHeight="1">
      <c r="G843" s="55"/>
      <c r="H843" s="55"/>
      <c r="I843" s="55"/>
    </row>
    <row r="844" spans="7:9" ht="15.75" customHeight="1">
      <c r="G844" s="55"/>
      <c r="H844" s="55"/>
      <c r="I844" s="55"/>
    </row>
    <row r="845" spans="7:9" ht="15.75" customHeight="1">
      <c r="G845" s="55"/>
      <c r="H845" s="55"/>
      <c r="I845" s="55"/>
    </row>
    <row r="846" spans="7:9" ht="15.75" customHeight="1">
      <c r="G846" s="55"/>
      <c r="H846" s="55"/>
      <c r="I846" s="55"/>
    </row>
    <row r="847" spans="7:9" ht="15.75" customHeight="1">
      <c r="G847" s="55"/>
      <c r="H847" s="55"/>
      <c r="I847" s="55"/>
    </row>
    <row r="848" spans="7:9" ht="15.75" customHeight="1">
      <c r="G848" s="55"/>
      <c r="H848" s="55"/>
      <c r="I848" s="55"/>
    </row>
    <row r="849" spans="7:9" ht="15.75" customHeight="1">
      <c r="G849" s="55"/>
      <c r="H849" s="55"/>
      <c r="I849" s="55"/>
    </row>
    <row r="850" spans="7:9" ht="15.75" customHeight="1">
      <c r="G850" s="55"/>
      <c r="H850" s="55"/>
      <c r="I850" s="55"/>
    </row>
    <row r="851" spans="7:9" ht="15.75" customHeight="1">
      <c r="G851" s="55"/>
      <c r="H851" s="55"/>
      <c r="I851" s="55"/>
    </row>
    <row r="852" spans="7:9" ht="15.75" customHeight="1">
      <c r="G852" s="55"/>
      <c r="H852" s="55"/>
      <c r="I852" s="55"/>
    </row>
    <row r="853" spans="7:9" ht="15.75" customHeight="1">
      <c r="G853" s="55"/>
      <c r="H853" s="55"/>
      <c r="I853" s="55"/>
    </row>
    <row r="854" spans="7:9" ht="15.75" customHeight="1">
      <c r="G854" s="55"/>
      <c r="H854" s="55"/>
      <c r="I854" s="55"/>
    </row>
    <row r="855" spans="7:9" ht="15.75" customHeight="1">
      <c r="G855" s="55"/>
      <c r="H855" s="55"/>
      <c r="I855" s="55"/>
    </row>
    <row r="856" spans="7:9" ht="15.75" customHeight="1">
      <c r="G856" s="55"/>
      <c r="H856" s="55"/>
      <c r="I856" s="55"/>
    </row>
    <row r="857" spans="7:9" ht="15.75" customHeight="1">
      <c r="G857" s="55"/>
      <c r="H857" s="55"/>
      <c r="I857" s="55"/>
    </row>
    <row r="858" spans="7:9" ht="15.75" customHeight="1">
      <c r="G858" s="55"/>
      <c r="H858" s="55"/>
      <c r="I858" s="55"/>
    </row>
    <row r="859" spans="7:9" ht="15.75" customHeight="1">
      <c r="G859" s="55"/>
      <c r="H859" s="55"/>
      <c r="I859" s="55"/>
    </row>
    <row r="860" spans="7:9" ht="15.75" customHeight="1">
      <c r="G860" s="55"/>
      <c r="H860" s="55"/>
      <c r="I860" s="55"/>
    </row>
    <row r="861" spans="7:9" ht="15.75" customHeight="1">
      <c r="G861" s="55"/>
      <c r="H861" s="55"/>
      <c r="I861" s="55"/>
    </row>
    <row r="862" spans="7:9" ht="15.75" customHeight="1">
      <c r="G862" s="55"/>
      <c r="H862" s="55"/>
      <c r="I862" s="55"/>
    </row>
    <row r="863" spans="7:9" ht="15.75" customHeight="1">
      <c r="G863" s="55"/>
      <c r="H863" s="55"/>
      <c r="I863" s="55"/>
    </row>
    <row r="864" spans="7:9" ht="15.75" customHeight="1">
      <c r="G864" s="55"/>
      <c r="H864" s="55"/>
      <c r="I864" s="55"/>
    </row>
    <row r="865" spans="7:9" ht="15.75" customHeight="1">
      <c r="G865" s="55"/>
      <c r="H865" s="55"/>
      <c r="I865" s="55"/>
    </row>
    <row r="866" spans="7:9" ht="15.75" customHeight="1">
      <c r="G866" s="55"/>
      <c r="H866" s="55"/>
      <c r="I866" s="55"/>
    </row>
    <row r="867" spans="7:9" ht="15.75" customHeight="1">
      <c r="G867" s="55"/>
      <c r="H867" s="55"/>
      <c r="I867" s="55"/>
    </row>
    <row r="868" spans="7:9" ht="15.75" customHeight="1">
      <c r="G868" s="55"/>
      <c r="H868" s="55"/>
      <c r="I868" s="55"/>
    </row>
    <row r="869" spans="7:9" ht="15.75" customHeight="1">
      <c r="G869" s="55"/>
      <c r="H869" s="55"/>
      <c r="I869" s="55"/>
    </row>
    <row r="870" spans="7:9" ht="15.75" customHeight="1">
      <c r="G870" s="55"/>
      <c r="H870" s="55"/>
      <c r="I870" s="55"/>
    </row>
    <row r="871" spans="7:9" ht="15.75" customHeight="1">
      <c r="G871" s="55"/>
      <c r="H871" s="55"/>
      <c r="I871" s="55"/>
    </row>
    <row r="872" spans="7:9" ht="15.75" customHeight="1">
      <c r="G872" s="55"/>
      <c r="H872" s="55"/>
      <c r="I872" s="55"/>
    </row>
    <row r="873" spans="7:9" ht="15.75" customHeight="1">
      <c r="G873" s="55"/>
      <c r="H873" s="55"/>
      <c r="I873" s="55"/>
    </row>
    <row r="874" spans="7:9" ht="15.75" customHeight="1">
      <c r="G874" s="55"/>
      <c r="H874" s="55"/>
      <c r="I874" s="55"/>
    </row>
    <row r="875" spans="7:9" ht="15.75" customHeight="1">
      <c r="G875" s="55"/>
      <c r="H875" s="55"/>
      <c r="I875" s="55"/>
    </row>
    <row r="876" spans="7:9" ht="15.75" customHeight="1">
      <c r="G876" s="55"/>
      <c r="H876" s="55"/>
      <c r="I876" s="55"/>
    </row>
    <row r="877" spans="7:9" ht="15.75" customHeight="1">
      <c r="G877" s="55"/>
      <c r="H877" s="55"/>
      <c r="I877" s="55"/>
    </row>
    <row r="878" spans="7:9" ht="15.75" customHeight="1">
      <c r="G878" s="55"/>
      <c r="H878" s="55"/>
      <c r="I878" s="55"/>
    </row>
    <row r="879" spans="7:9" ht="15.75" customHeight="1">
      <c r="G879" s="55"/>
      <c r="H879" s="55"/>
      <c r="I879" s="55"/>
    </row>
    <row r="880" spans="7:9" ht="15.75" customHeight="1">
      <c r="G880" s="55"/>
      <c r="H880" s="55"/>
      <c r="I880" s="55"/>
    </row>
    <row r="881" spans="7:9" ht="15.75" customHeight="1">
      <c r="G881" s="55"/>
      <c r="H881" s="55"/>
      <c r="I881" s="55"/>
    </row>
    <row r="882" spans="7:9" ht="15.75" customHeight="1">
      <c r="G882" s="55"/>
      <c r="H882" s="55"/>
      <c r="I882" s="55"/>
    </row>
    <row r="883" spans="7:9" ht="15.75" customHeight="1">
      <c r="G883" s="55"/>
      <c r="H883" s="55"/>
      <c r="I883" s="55"/>
    </row>
    <row r="884" spans="7:9" ht="15.75" customHeight="1">
      <c r="G884" s="55"/>
      <c r="H884" s="55"/>
      <c r="I884" s="55"/>
    </row>
    <row r="885" spans="7:9" ht="15.75" customHeight="1">
      <c r="G885" s="55"/>
      <c r="H885" s="55"/>
      <c r="I885" s="55"/>
    </row>
    <row r="886" spans="7:9" ht="15.75" customHeight="1">
      <c r="G886" s="55"/>
      <c r="H886" s="55"/>
      <c r="I886" s="55"/>
    </row>
    <row r="887" spans="7:9" ht="15.75" customHeight="1">
      <c r="G887" s="55"/>
      <c r="H887" s="55"/>
      <c r="I887" s="55"/>
    </row>
    <row r="888" spans="7:9" ht="15.75" customHeight="1">
      <c r="G888" s="55"/>
      <c r="H888" s="55"/>
      <c r="I888" s="55"/>
    </row>
    <row r="889" spans="7:9" ht="15.75" customHeight="1">
      <c r="G889" s="55"/>
      <c r="H889" s="55"/>
      <c r="I889" s="55"/>
    </row>
    <row r="890" spans="7:9" ht="15.75" customHeight="1">
      <c r="G890" s="55"/>
      <c r="H890" s="55"/>
      <c r="I890" s="55"/>
    </row>
    <row r="891" spans="7:9" ht="15.75" customHeight="1">
      <c r="G891" s="55"/>
      <c r="H891" s="55"/>
      <c r="I891" s="55"/>
    </row>
    <row r="892" spans="7:9" ht="15.75" customHeight="1">
      <c r="G892" s="55"/>
      <c r="H892" s="55"/>
      <c r="I892" s="55"/>
    </row>
    <row r="893" spans="7:9" ht="15.75" customHeight="1">
      <c r="G893" s="55"/>
      <c r="H893" s="55"/>
      <c r="I893" s="55"/>
    </row>
    <row r="894" spans="7:9" ht="15.75" customHeight="1">
      <c r="G894" s="55"/>
      <c r="H894" s="55"/>
      <c r="I894" s="55"/>
    </row>
    <row r="895" spans="7:9" ht="15.75" customHeight="1">
      <c r="G895" s="55"/>
      <c r="H895" s="55"/>
      <c r="I895" s="55"/>
    </row>
    <row r="896" spans="7:9" ht="15.75" customHeight="1">
      <c r="G896" s="55"/>
      <c r="H896" s="55"/>
      <c r="I896" s="55"/>
    </row>
    <row r="897" spans="7:9" ht="15.75" customHeight="1">
      <c r="G897" s="55"/>
      <c r="H897" s="55"/>
      <c r="I897" s="55"/>
    </row>
    <row r="898" spans="7:9" ht="15.75" customHeight="1">
      <c r="G898" s="55"/>
      <c r="H898" s="55"/>
      <c r="I898" s="55"/>
    </row>
    <row r="899" spans="7:9" ht="15.75" customHeight="1">
      <c r="G899" s="55"/>
      <c r="H899" s="55"/>
      <c r="I899" s="55"/>
    </row>
    <row r="900" spans="7:9" ht="15.75" customHeight="1">
      <c r="G900" s="55"/>
      <c r="H900" s="55"/>
      <c r="I900" s="55"/>
    </row>
    <row r="901" spans="7:9" ht="15.75" customHeight="1">
      <c r="G901" s="55"/>
      <c r="H901" s="55"/>
      <c r="I901" s="55"/>
    </row>
    <row r="902" spans="7:9" ht="15.75" customHeight="1">
      <c r="G902" s="55"/>
      <c r="H902" s="55"/>
      <c r="I902" s="55"/>
    </row>
    <row r="903" spans="7:9" ht="15.75" customHeight="1">
      <c r="G903" s="55"/>
      <c r="H903" s="55"/>
      <c r="I903" s="55"/>
    </row>
    <row r="904" spans="7:9" ht="15.75" customHeight="1">
      <c r="G904" s="55"/>
      <c r="H904" s="55"/>
      <c r="I904" s="55"/>
    </row>
    <row r="905" spans="7:9" ht="15.75" customHeight="1">
      <c r="G905" s="55"/>
      <c r="H905" s="55"/>
      <c r="I905" s="55"/>
    </row>
    <row r="906" spans="7:9" ht="15.75" customHeight="1">
      <c r="G906" s="55"/>
      <c r="H906" s="55"/>
      <c r="I906" s="55"/>
    </row>
    <row r="907" spans="7:9" ht="15.75" customHeight="1">
      <c r="G907" s="55"/>
      <c r="H907" s="55"/>
      <c r="I907" s="55"/>
    </row>
    <row r="908" spans="7:9" ht="15.75" customHeight="1">
      <c r="G908" s="55"/>
      <c r="H908" s="55"/>
      <c r="I908" s="55"/>
    </row>
    <row r="909" spans="7:9" ht="15.75" customHeight="1">
      <c r="G909" s="55"/>
      <c r="H909" s="55"/>
      <c r="I909" s="55"/>
    </row>
    <row r="910" spans="7:9" ht="15.75" customHeight="1">
      <c r="G910" s="55"/>
      <c r="H910" s="55"/>
      <c r="I910" s="55"/>
    </row>
    <row r="911" spans="7:9" ht="15.75" customHeight="1">
      <c r="G911" s="55"/>
      <c r="H911" s="55"/>
      <c r="I911" s="55"/>
    </row>
    <row r="912" spans="7:9" ht="15.75" customHeight="1">
      <c r="G912" s="55"/>
      <c r="H912" s="55"/>
      <c r="I912" s="55"/>
    </row>
    <row r="913" spans="7:9" ht="15.75" customHeight="1">
      <c r="G913" s="55"/>
      <c r="H913" s="55"/>
      <c r="I913" s="55"/>
    </row>
    <row r="914" spans="7:9" ht="15.75" customHeight="1">
      <c r="G914" s="55"/>
      <c r="H914" s="55"/>
      <c r="I914" s="55"/>
    </row>
    <row r="915" spans="7:9" ht="15.75" customHeight="1">
      <c r="G915" s="55"/>
      <c r="H915" s="55"/>
      <c r="I915" s="55"/>
    </row>
    <row r="916" spans="7:9" ht="15.75" customHeight="1">
      <c r="G916" s="55"/>
      <c r="H916" s="55"/>
      <c r="I916" s="55"/>
    </row>
    <row r="917" spans="7:9" ht="15.75" customHeight="1">
      <c r="G917" s="55"/>
      <c r="H917" s="55"/>
      <c r="I917" s="55"/>
    </row>
    <row r="918" spans="7:9" ht="15.75" customHeight="1">
      <c r="G918" s="55"/>
      <c r="H918" s="55"/>
      <c r="I918" s="55"/>
    </row>
    <row r="919" spans="7:9" ht="15.75" customHeight="1">
      <c r="G919" s="55"/>
      <c r="H919" s="55"/>
      <c r="I919" s="55"/>
    </row>
    <row r="920" spans="7:9" ht="15.75" customHeight="1">
      <c r="G920" s="55"/>
      <c r="H920" s="55"/>
      <c r="I920" s="55"/>
    </row>
    <row r="921" spans="7:9" ht="15.75" customHeight="1">
      <c r="G921" s="55"/>
      <c r="H921" s="55"/>
      <c r="I921" s="55"/>
    </row>
    <row r="922" spans="7:9" ht="15.75" customHeight="1">
      <c r="G922" s="55"/>
      <c r="H922" s="55"/>
      <c r="I922" s="55"/>
    </row>
    <row r="923" spans="7:9" ht="15.75" customHeight="1">
      <c r="G923" s="55"/>
      <c r="H923" s="55"/>
      <c r="I923" s="55"/>
    </row>
    <row r="924" spans="7:9" ht="15.75" customHeight="1">
      <c r="G924" s="55"/>
      <c r="H924" s="55"/>
      <c r="I924" s="55"/>
    </row>
    <row r="925" spans="7:9" ht="15.75" customHeight="1">
      <c r="G925" s="55"/>
      <c r="H925" s="55"/>
      <c r="I925" s="55"/>
    </row>
    <row r="926" spans="7:9" ht="15.75" customHeight="1">
      <c r="G926" s="55"/>
      <c r="H926" s="55"/>
      <c r="I926" s="55"/>
    </row>
    <row r="927" spans="7:9" ht="15.75" customHeight="1">
      <c r="G927" s="55"/>
      <c r="H927" s="55"/>
      <c r="I927" s="55"/>
    </row>
    <row r="928" spans="7:9" ht="15.75" customHeight="1">
      <c r="G928" s="55"/>
      <c r="H928" s="55"/>
      <c r="I928" s="55"/>
    </row>
    <row r="929" spans="7:9" ht="15.75" customHeight="1">
      <c r="G929" s="55"/>
      <c r="H929" s="55"/>
      <c r="I929" s="55"/>
    </row>
    <row r="930" spans="7:9" ht="15.75" customHeight="1">
      <c r="G930" s="55"/>
      <c r="H930" s="55"/>
      <c r="I930" s="55"/>
    </row>
    <row r="931" spans="7:9" ht="15.75" customHeight="1">
      <c r="G931" s="55"/>
      <c r="H931" s="55"/>
      <c r="I931" s="55"/>
    </row>
    <row r="932" spans="7:9" ht="15.75" customHeight="1">
      <c r="G932" s="55"/>
      <c r="H932" s="55"/>
      <c r="I932" s="55"/>
    </row>
    <row r="933" spans="7:9" ht="15.75" customHeight="1">
      <c r="G933" s="55"/>
      <c r="H933" s="55"/>
      <c r="I933" s="55"/>
    </row>
    <row r="934" spans="7:9" ht="15.75" customHeight="1">
      <c r="G934" s="55"/>
      <c r="H934" s="55"/>
      <c r="I934" s="55"/>
    </row>
    <row r="935" spans="7:9" ht="15.75" customHeight="1">
      <c r="G935" s="55"/>
      <c r="H935" s="55"/>
      <c r="I935" s="55"/>
    </row>
    <row r="936" spans="7:9" ht="15.75" customHeight="1">
      <c r="G936" s="55"/>
      <c r="H936" s="55"/>
      <c r="I936" s="55"/>
    </row>
    <row r="937" spans="7:9" ht="15.75" customHeight="1">
      <c r="G937" s="55"/>
      <c r="H937" s="55"/>
      <c r="I937" s="55"/>
    </row>
    <row r="938" spans="7:9" ht="15.75" customHeight="1">
      <c r="G938" s="55"/>
      <c r="H938" s="55"/>
      <c r="I938" s="55"/>
    </row>
    <row r="939" spans="7:9" ht="15.75" customHeight="1">
      <c r="G939" s="55"/>
      <c r="H939" s="55"/>
      <c r="I939" s="55"/>
    </row>
    <row r="940" spans="7:9" ht="15.75" customHeight="1">
      <c r="G940" s="55"/>
      <c r="H940" s="55"/>
      <c r="I940" s="55"/>
    </row>
    <row r="941" spans="7:9" ht="15.75" customHeight="1">
      <c r="G941" s="55"/>
      <c r="H941" s="55"/>
      <c r="I941" s="55"/>
    </row>
    <row r="942" spans="7:9" ht="15.75" customHeight="1">
      <c r="G942" s="55"/>
      <c r="H942" s="55"/>
      <c r="I942" s="55"/>
    </row>
    <row r="943" spans="7:9" ht="15.75" customHeight="1">
      <c r="G943" s="55"/>
      <c r="H943" s="55"/>
      <c r="I943" s="55"/>
    </row>
    <row r="944" spans="7:9" ht="15.75" customHeight="1">
      <c r="G944" s="55"/>
      <c r="H944" s="55"/>
      <c r="I944" s="55"/>
    </row>
    <row r="945" spans="7:9" ht="15.75" customHeight="1">
      <c r="G945" s="55"/>
      <c r="H945" s="55"/>
      <c r="I945" s="55"/>
    </row>
    <row r="946" spans="7:9" ht="15.75" customHeight="1">
      <c r="G946" s="55"/>
      <c r="H946" s="55"/>
      <c r="I946" s="55"/>
    </row>
    <row r="947" spans="7:9" ht="15.75" customHeight="1">
      <c r="G947" s="55"/>
      <c r="H947" s="55"/>
      <c r="I947" s="55"/>
    </row>
    <row r="948" spans="7:9" ht="15.75" customHeight="1">
      <c r="G948" s="55"/>
      <c r="H948" s="55"/>
      <c r="I948" s="55"/>
    </row>
    <row r="949" spans="7:9" ht="15.75" customHeight="1">
      <c r="G949" s="55"/>
      <c r="H949" s="55"/>
      <c r="I949" s="55"/>
    </row>
    <row r="950" spans="7:9" ht="15.75" customHeight="1">
      <c r="G950" s="55"/>
      <c r="H950" s="55"/>
      <c r="I950" s="55"/>
    </row>
    <row r="951" spans="7:9" ht="15.75" customHeight="1">
      <c r="G951" s="55"/>
      <c r="H951" s="55"/>
      <c r="I951" s="55"/>
    </row>
    <row r="952" spans="7:9" ht="15.75" customHeight="1">
      <c r="G952" s="55"/>
      <c r="H952" s="55"/>
      <c r="I952" s="55"/>
    </row>
    <row r="953" spans="7:9" ht="15.75" customHeight="1">
      <c r="G953" s="55"/>
      <c r="H953" s="55"/>
      <c r="I953" s="55"/>
    </row>
    <row r="954" spans="7:9" ht="15.75" customHeight="1">
      <c r="G954" s="55"/>
      <c r="H954" s="55"/>
      <c r="I954" s="55"/>
    </row>
    <row r="955" spans="7:9" ht="15.75" customHeight="1">
      <c r="G955" s="55"/>
      <c r="H955" s="55"/>
      <c r="I955" s="55"/>
    </row>
    <row r="956" spans="7:9" ht="15.75" customHeight="1">
      <c r="G956" s="55"/>
      <c r="H956" s="55"/>
      <c r="I956" s="55"/>
    </row>
    <row r="957" spans="7:9" ht="15.75" customHeight="1">
      <c r="G957" s="55"/>
      <c r="H957" s="55"/>
      <c r="I957" s="55"/>
    </row>
    <row r="958" spans="7:9" ht="15.75" customHeight="1">
      <c r="G958" s="55"/>
      <c r="H958" s="55"/>
      <c r="I958" s="55"/>
    </row>
    <row r="959" spans="7:9" ht="15.75" customHeight="1">
      <c r="G959" s="55"/>
      <c r="H959" s="55"/>
      <c r="I959" s="55"/>
    </row>
    <row r="960" spans="7:9" ht="15.75" customHeight="1">
      <c r="G960" s="55"/>
      <c r="H960" s="55"/>
      <c r="I960" s="55"/>
    </row>
    <row r="961" spans="7:9" ht="15.75" customHeight="1">
      <c r="G961" s="55"/>
      <c r="H961" s="55"/>
      <c r="I961" s="55"/>
    </row>
    <row r="962" spans="7:9" ht="15.75" customHeight="1">
      <c r="G962" s="55"/>
      <c r="H962" s="55"/>
      <c r="I962" s="55"/>
    </row>
    <row r="963" spans="7:9" ht="15.75" customHeight="1">
      <c r="G963" s="55"/>
      <c r="H963" s="55"/>
      <c r="I963" s="55"/>
    </row>
    <row r="964" spans="7:9" ht="15.75" customHeight="1">
      <c r="G964" s="55"/>
      <c r="H964" s="55"/>
      <c r="I964" s="55"/>
    </row>
    <row r="965" spans="7:9" ht="15.75" customHeight="1">
      <c r="G965" s="55"/>
      <c r="H965" s="55"/>
      <c r="I965" s="55"/>
    </row>
    <row r="966" spans="7:9" ht="15.75" customHeight="1">
      <c r="G966" s="55"/>
      <c r="H966" s="55"/>
      <c r="I966" s="55"/>
    </row>
    <row r="967" spans="7:9" ht="15.75" customHeight="1">
      <c r="G967" s="55"/>
      <c r="H967" s="55"/>
      <c r="I967" s="55"/>
    </row>
    <row r="968" spans="7:9" ht="15.75" customHeight="1">
      <c r="G968" s="55"/>
      <c r="H968" s="55"/>
      <c r="I968" s="55"/>
    </row>
    <row r="969" spans="7:9" ht="15.75" customHeight="1">
      <c r="G969" s="55"/>
      <c r="H969" s="55"/>
      <c r="I969" s="55"/>
    </row>
    <row r="970" spans="7:9" ht="15.75" customHeight="1">
      <c r="G970" s="55"/>
      <c r="H970" s="55"/>
      <c r="I970" s="55"/>
    </row>
    <row r="971" spans="7:9" ht="15.75" customHeight="1">
      <c r="G971" s="55"/>
      <c r="H971" s="55"/>
      <c r="I971" s="55"/>
    </row>
    <row r="972" spans="7:9" ht="15.75" customHeight="1">
      <c r="G972" s="55"/>
      <c r="H972" s="55"/>
      <c r="I972" s="55"/>
    </row>
    <row r="973" spans="7:9" ht="15.75" customHeight="1">
      <c r="G973" s="55"/>
      <c r="H973" s="55"/>
      <c r="I973" s="55"/>
    </row>
    <row r="974" spans="7:9" ht="15.75" customHeight="1">
      <c r="G974" s="55"/>
      <c r="H974" s="55"/>
      <c r="I974" s="55"/>
    </row>
    <row r="975" spans="7:9" ht="15.75" customHeight="1">
      <c r="G975" s="55"/>
      <c r="H975" s="55"/>
      <c r="I975" s="55"/>
    </row>
    <row r="976" spans="7:9" ht="15.75" customHeight="1">
      <c r="G976" s="55"/>
      <c r="H976" s="55"/>
      <c r="I976" s="55"/>
    </row>
    <row r="977" spans="7:9" ht="15.75" customHeight="1">
      <c r="G977" s="55"/>
      <c r="H977" s="55"/>
      <c r="I977" s="55"/>
    </row>
    <row r="978" spans="7:9" ht="15.75" customHeight="1">
      <c r="G978" s="55"/>
      <c r="H978" s="55"/>
      <c r="I978" s="55"/>
    </row>
    <row r="979" spans="7:9" ht="15.75" customHeight="1">
      <c r="G979" s="55"/>
      <c r="H979" s="55"/>
      <c r="I979" s="55"/>
    </row>
    <row r="980" spans="7:9" ht="15.75" customHeight="1">
      <c r="G980" s="55"/>
      <c r="H980" s="55"/>
      <c r="I980" s="55"/>
    </row>
    <row r="981" spans="7:9" ht="15.75" customHeight="1">
      <c r="G981" s="55"/>
      <c r="H981" s="55"/>
      <c r="I981" s="55"/>
    </row>
    <row r="982" spans="7:9" ht="15.75" customHeight="1">
      <c r="G982" s="55"/>
      <c r="H982" s="55"/>
      <c r="I982" s="55"/>
    </row>
    <row r="983" spans="7:9" ht="15.75" customHeight="1">
      <c r="G983" s="55"/>
      <c r="H983" s="55"/>
      <c r="I983" s="55"/>
    </row>
    <row r="984" spans="7:9" ht="15.75" customHeight="1">
      <c r="G984" s="55"/>
      <c r="H984" s="55"/>
      <c r="I984" s="55"/>
    </row>
    <row r="985" spans="7:9" ht="15.75" customHeight="1">
      <c r="G985" s="55"/>
      <c r="H985" s="55"/>
      <c r="I985" s="55"/>
    </row>
    <row r="986" spans="7:9" ht="15.75" customHeight="1">
      <c r="G986" s="55"/>
      <c r="H986" s="55"/>
      <c r="I986" s="55"/>
    </row>
    <row r="987" spans="7:9" ht="15.75" customHeight="1">
      <c r="G987" s="55"/>
      <c r="H987" s="55"/>
      <c r="I987" s="55"/>
    </row>
    <row r="988" spans="7:9" ht="15.75" customHeight="1">
      <c r="G988" s="55"/>
      <c r="H988" s="55"/>
      <c r="I988" s="55"/>
    </row>
    <row r="989" spans="7:9" ht="15.75" customHeight="1">
      <c r="G989" s="55"/>
      <c r="H989" s="55"/>
      <c r="I989" s="55"/>
    </row>
    <row r="990" spans="7:9" ht="15.75" customHeight="1">
      <c r="G990" s="55"/>
      <c r="H990" s="55"/>
      <c r="I990" s="55"/>
    </row>
    <row r="991" spans="7:9" ht="15.75" customHeight="1">
      <c r="G991" s="55"/>
      <c r="H991" s="55"/>
      <c r="I991" s="55"/>
    </row>
    <row r="992" spans="7:9" ht="15.75" customHeight="1">
      <c r="G992" s="55"/>
      <c r="H992" s="55"/>
      <c r="I992" s="55"/>
    </row>
    <row r="993" spans="7:9" ht="15.75" customHeight="1">
      <c r="G993" s="55"/>
      <c r="H993" s="55"/>
      <c r="I993" s="55"/>
    </row>
    <row r="994" spans="7:9" ht="15.75" customHeight="1">
      <c r="G994" s="55"/>
      <c r="H994" s="55"/>
      <c r="I994" s="55"/>
    </row>
    <row r="995" spans="7:9" ht="15.75" customHeight="1">
      <c r="G995" s="55"/>
      <c r="H995" s="55"/>
      <c r="I995" s="55"/>
    </row>
    <row r="996" spans="7:9" ht="15.75" customHeight="1">
      <c r="G996" s="55"/>
      <c r="H996" s="55"/>
      <c r="I996" s="55"/>
    </row>
    <row r="997" spans="7:9" ht="15.75" customHeight="1">
      <c r="G997" s="55"/>
      <c r="H997" s="55"/>
      <c r="I997" s="55"/>
    </row>
    <row r="998" spans="7:9" ht="15.75" customHeight="1">
      <c r="G998" s="55"/>
      <c r="H998" s="55"/>
      <c r="I998" s="55"/>
    </row>
    <row r="999" spans="7:9" ht="15.75" customHeight="1">
      <c r="G999" s="55"/>
      <c r="H999" s="55"/>
      <c r="I999" s="55"/>
    </row>
    <row r="1000" spans="7:9" ht="15.75" customHeight="1">
      <c r="G1000" s="55"/>
      <c r="H1000" s="55"/>
      <c r="I1000" s="55"/>
    </row>
    <row r="1001" spans="7:9" ht="15.75" customHeight="1">
      <c r="G1001" s="55"/>
      <c r="H1001" s="55"/>
      <c r="I1001" s="55"/>
    </row>
  </sheetData>
  <autoFilter ref="A2:J502"/>
  <mergeCells count="1">
    <mergeCell ref="A1:D1"/>
  </mergeCells>
  <conditionalFormatting sqref="J3">
    <cfRule type="expression" dxfId="9" priority="2">
      <formula>IF(OR(E3=6391,E3=6392,E3=6393,E3=6394),1,0)</formula>
    </cfRule>
  </conditionalFormatting>
  <conditionalFormatting sqref="J4:J21 J23:J500">
    <cfRule type="expression" dxfId="8" priority="3">
      <formula>IF(OR(E4=6391,E4=6392,E4=6393,E4=6394),1,0)</formula>
    </cfRule>
  </conditionalFormatting>
  <conditionalFormatting sqref="J22">
    <cfRule type="expression" dxfId="7" priority="1">
      <formula>IF(OR(E22=6391,E22=6392,E22=6393,E22=6394),1,0)</formula>
    </cfRule>
  </conditionalFormatting>
  <dataValidations count="2">
    <dataValidation type="decimal" allowBlank="1" showInputMessage="1" showErrorMessage="1" prompt="GREŠKA - U ovo polje je dozvoljen unos samo brojčanih vrijednosti (bez decimala!)" sqref="G3:I502">
      <formula1>0</formula1>
      <formula2>10000000000</formula2>
    </dataValidation>
    <dataValidation type="list" allowBlank="1" showInputMessage="1" showErrorMessage="1" prompt="Molimo odaberite vrijednost iz padajućeg izbornika!" sqref="E3:E502">
      <formula1>$R$6:$R$109</formula1>
    </dataValidation>
  </dataValidations>
  <pageMargins left="0.70866141732283472" right="0.70866141732283472" top="0.74803149606299213" bottom="0.74803149606299213" header="0" footer="0"/>
  <pageSetup paperSize="9" scale="6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IF(OR(E3=6391,E3=6392,E3=6393,E3=6394),'KORISNICI DP'!$D$4:$D$614,$L$1)</xm:f>
          </x14:formula1>
          <xm:sqref>J3:J502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05"/>
  <sheetViews>
    <sheetView showGridLines="0" zoomScaleNormal="100" workbookViewId="0">
      <pane ySplit="2" topLeftCell="A3" activePane="bottomLeft" state="frozen"/>
      <selection pane="bottomLeft" activeCell="L183" sqref="A1:L183"/>
    </sheetView>
  </sheetViews>
  <sheetFormatPr defaultColWidth="14.42578125" defaultRowHeight="15" customHeight="1"/>
  <cols>
    <col min="1" max="1" width="8.28515625" customWidth="1"/>
    <col min="2" max="2" width="13" customWidth="1"/>
    <col min="3" max="3" width="9.5703125" customWidth="1"/>
    <col min="4" max="4" width="19.42578125" customWidth="1"/>
    <col min="5" max="5" width="9.7109375" customWidth="1"/>
    <col min="6" max="6" width="21.85546875" customWidth="1"/>
    <col min="7" max="7" width="12.5703125" customWidth="1"/>
    <col min="8" max="8" width="47.140625" customWidth="1"/>
    <col min="9" max="9" width="8.5703125" customWidth="1"/>
    <col min="10" max="10" width="16.42578125" customWidth="1"/>
    <col min="11" max="11" width="15.7109375" customWidth="1"/>
    <col min="12" max="12" width="15.140625" customWidth="1"/>
    <col min="13" max="13" width="46.42578125" customWidth="1"/>
    <col min="14" max="14" width="13.7109375" customWidth="1"/>
    <col min="15" max="19" width="9.140625" hidden="1" customWidth="1"/>
    <col min="20" max="20" width="46.5703125" hidden="1" customWidth="1"/>
    <col min="21" max="22" width="9.140625" hidden="1" customWidth="1"/>
    <col min="23" max="23" width="58.85546875" hidden="1" customWidth="1"/>
    <col min="24" max="33" width="8.7109375" hidden="1" customWidth="1"/>
  </cols>
  <sheetData>
    <row r="1" spans="1:33" ht="35.25" customHeight="1">
      <c r="A1" s="309" t="s">
        <v>618</v>
      </c>
      <c r="B1" s="310"/>
      <c r="C1" s="310"/>
      <c r="D1" s="310"/>
      <c r="E1" s="54" t="str">
        <f>IF(OR('OPĆI DIO'!C3="odaberite -",'OPĆI DIO'!C3=""),"Molimo odaberite proračunskog korisnika na radnom listu Opći podaci!","")</f>
        <v/>
      </c>
      <c r="F1" s="51"/>
      <c r="G1" s="51"/>
      <c r="H1" s="51"/>
      <c r="I1" s="51"/>
      <c r="J1" s="55"/>
      <c r="K1" s="55"/>
      <c r="L1" s="81" t="s">
        <v>56</v>
      </c>
      <c r="M1" s="258">
        <v>7.5345000000000004</v>
      </c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82"/>
      <c r="Z1" s="51"/>
      <c r="AA1" s="51"/>
      <c r="AB1" s="51"/>
      <c r="AC1" s="51"/>
      <c r="AD1" s="51"/>
      <c r="AE1" s="51"/>
      <c r="AF1" s="51"/>
      <c r="AG1" s="51"/>
    </row>
    <row r="2" spans="1:33" ht="36" customHeight="1">
      <c r="A2" s="56" t="s">
        <v>469</v>
      </c>
      <c r="B2" s="56" t="s">
        <v>470</v>
      </c>
      <c r="C2" s="57" t="s">
        <v>619</v>
      </c>
      <c r="D2" s="56" t="s">
        <v>472</v>
      </c>
      <c r="E2" s="57" t="s">
        <v>473</v>
      </c>
      <c r="F2" s="56" t="s">
        <v>474</v>
      </c>
      <c r="G2" s="57" t="s">
        <v>620</v>
      </c>
      <c r="H2" s="56" t="s">
        <v>621</v>
      </c>
      <c r="I2" s="56" t="s">
        <v>622</v>
      </c>
      <c r="J2" s="58" t="s">
        <v>475</v>
      </c>
      <c r="K2" s="58" t="s">
        <v>61</v>
      </c>
      <c r="L2" s="58" t="s">
        <v>62</v>
      </c>
      <c r="M2" s="59" t="s">
        <v>623</v>
      </c>
      <c r="N2" s="51"/>
      <c r="O2" s="60" t="s">
        <v>477</v>
      </c>
      <c r="P2" s="60" t="s">
        <v>478</v>
      </c>
      <c r="Q2" s="83" t="s">
        <v>624</v>
      </c>
      <c r="R2" s="83"/>
      <c r="S2" s="51"/>
      <c r="T2" s="51"/>
      <c r="U2" s="51"/>
      <c r="V2" s="51"/>
      <c r="W2" s="51"/>
      <c r="X2" s="51"/>
      <c r="Y2" s="82"/>
      <c r="Z2" s="51"/>
      <c r="AA2" s="51"/>
      <c r="AB2" s="51"/>
      <c r="AC2" s="51"/>
      <c r="AD2" s="51"/>
      <c r="AE2" s="51"/>
      <c r="AF2" s="51"/>
      <c r="AG2" s="51"/>
    </row>
    <row r="3" spans="1:33">
      <c r="A3" s="62" t="str">
        <f>IF(C3="","",VLOOKUP('OPĆI DIO'!$C$3,'OPĆI DIO'!$L$6:$U$120,10,FALSE))</f>
        <v>08008</v>
      </c>
      <c r="B3" s="62" t="str">
        <f>IF(C3="","",VLOOKUP('OPĆI DIO'!$C$3,'OPĆI DIO'!$L$6:$U$120,9,FALSE))</f>
        <v>Javni instituti</v>
      </c>
      <c r="C3" s="84">
        <v>11</v>
      </c>
      <c r="D3" s="79" t="str">
        <f t="shared" ref="D3:D506" si="0">IFERROR(VLOOKUP(C3,$S$6:$T$24,2,FALSE),"")</f>
        <v>Opći prihodi i primici</v>
      </c>
      <c r="E3" s="84">
        <v>3111</v>
      </c>
      <c r="F3" s="79" t="str">
        <f t="shared" ref="F3:F506" si="1">IFERROR(VLOOKUP(E3,$V$5:$X$129,2,FALSE),"")</f>
        <v>Plaće za redovan rad</v>
      </c>
      <c r="G3" s="84" t="s">
        <v>625</v>
      </c>
      <c r="H3" s="79" t="str">
        <f t="shared" ref="H3:H34" si="2">IFERROR(VLOOKUP(G3,$AB$6:$AC$332,2,FALSE),"")</f>
        <v>REDOVNA DJELATNOST JAVNIH INSTITUTA</v>
      </c>
      <c r="I3" s="79" t="str">
        <f t="shared" ref="I3:I34" si="3">IFERROR(VLOOKUP(G3,$AB$6:$AF$332,3,FALSE),"")</f>
        <v>0150</v>
      </c>
      <c r="J3" s="279">
        <v>19720939.778066929</v>
      </c>
      <c r="K3" s="279">
        <v>19979670</v>
      </c>
      <c r="L3" s="279">
        <v>20239613</v>
      </c>
      <c r="M3" s="68"/>
      <c r="N3" s="51"/>
      <c r="O3" s="51" t="str">
        <f t="shared" ref="O3:O506" si="4">LEFT(E3,3)</f>
        <v>311</v>
      </c>
      <c r="P3" s="51" t="str">
        <f t="shared" ref="P3:P506" si="5">LEFT(E3,2)</f>
        <v>31</v>
      </c>
      <c r="Q3" s="51" t="str">
        <f t="shared" ref="Q3:Q506" si="6">LEFT(C3,3)</f>
        <v>11</v>
      </c>
      <c r="R3" s="51" t="str">
        <f t="shared" ref="R3:R506" si="7">MID(I3,2,2)</f>
        <v>15</v>
      </c>
      <c r="S3" s="51"/>
      <c r="T3" s="51"/>
      <c r="U3" s="51"/>
      <c r="V3" s="51"/>
      <c r="W3" s="51"/>
      <c r="X3" s="51"/>
      <c r="Y3" s="82"/>
      <c r="Z3" s="51"/>
      <c r="AA3" s="51"/>
      <c r="AB3" s="51"/>
      <c r="AC3" s="51"/>
      <c r="AD3" s="51"/>
      <c r="AE3" s="51"/>
      <c r="AF3" s="51"/>
      <c r="AG3" s="51"/>
    </row>
    <row r="4" spans="1:33">
      <c r="A4" s="62" t="str">
        <f>IF(C4="","",VLOOKUP('OPĆI DIO'!$C$3,'OPĆI DIO'!$L$6:$U$120,10,FALSE))</f>
        <v>08008</v>
      </c>
      <c r="B4" s="62" t="str">
        <f>IF(C4="","",VLOOKUP('OPĆI DIO'!$C$3,'OPĆI DIO'!$L$6:$U$120,9,FALSE))</f>
        <v>Javni instituti</v>
      </c>
      <c r="C4" s="84">
        <v>11</v>
      </c>
      <c r="D4" s="79" t="str">
        <f t="shared" si="0"/>
        <v>Opći prihodi i primici</v>
      </c>
      <c r="E4" s="84">
        <v>3121</v>
      </c>
      <c r="F4" s="79" t="str">
        <f t="shared" si="1"/>
        <v>Ostali rashodi za zaposlene</v>
      </c>
      <c r="G4" s="84" t="s">
        <v>625</v>
      </c>
      <c r="H4" s="79" t="str">
        <f t="shared" si="2"/>
        <v>REDOVNA DJELATNOST JAVNIH INSTITUTA</v>
      </c>
      <c r="I4" s="79" t="str">
        <f t="shared" si="3"/>
        <v>0150</v>
      </c>
      <c r="J4" s="279">
        <v>582327.44676695357</v>
      </c>
      <c r="K4" s="279">
        <v>589967</v>
      </c>
      <c r="L4" s="279">
        <v>597643</v>
      </c>
      <c r="M4" s="68"/>
      <c r="N4" s="51"/>
      <c r="O4" s="51" t="str">
        <f t="shared" si="4"/>
        <v>312</v>
      </c>
      <c r="P4" s="51" t="str">
        <f t="shared" si="5"/>
        <v>31</v>
      </c>
      <c r="Q4" s="51" t="str">
        <f t="shared" si="6"/>
        <v>11</v>
      </c>
      <c r="R4" s="51" t="str">
        <f t="shared" si="7"/>
        <v>15</v>
      </c>
      <c r="S4" s="51"/>
      <c r="T4" s="51"/>
      <c r="U4" s="51"/>
      <c r="V4" s="85"/>
      <c r="W4" s="85"/>
      <c r="X4" s="51"/>
      <c r="Y4" s="82"/>
      <c r="Z4" s="51"/>
      <c r="AA4" s="51"/>
      <c r="AB4" s="51"/>
      <c r="AC4" s="51"/>
      <c r="AD4" s="51"/>
      <c r="AE4" s="51"/>
      <c r="AF4" s="51"/>
      <c r="AG4" s="51"/>
    </row>
    <row r="5" spans="1:33">
      <c r="A5" s="62" t="str">
        <f>IF(C5="","",VLOOKUP('OPĆI DIO'!$C$3,'OPĆI DIO'!$L$6:$U$120,10,FALSE))</f>
        <v>08008</v>
      </c>
      <c r="B5" s="62" t="str">
        <f>IF(C5="","",VLOOKUP('OPĆI DIO'!$C$3,'OPĆI DIO'!$L$6:$U$120,9,FALSE))</f>
        <v>Javni instituti</v>
      </c>
      <c r="C5" s="84">
        <v>11</v>
      </c>
      <c r="D5" s="79" t="str">
        <f t="shared" si="0"/>
        <v>Opći prihodi i primici</v>
      </c>
      <c r="E5" s="84">
        <v>3132</v>
      </c>
      <c r="F5" s="79" t="str">
        <f t="shared" si="1"/>
        <v>Doprinosi za obvezno zdravstveno osiguranje</v>
      </c>
      <c r="G5" s="84" t="s">
        <v>625</v>
      </c>
      <c r="H5" s="79" t="str">
        <f t="shared" si="2"/>
        <v>REDOVNA DJELATNOST JAVNIH INSTITUTA</v>
      </c>
      <c r="I5" s="79" t="str">
        <f t="shared" si="3"/>
        <v>0150</v>
      </c>
      <c r="J5" s="279">
        <v>3191318.793429093</v>
      </c>
      <c r="K5" s="279">
        <v>3233187.4900950314</v>
      </c>
      <c r="L5" s="279">
        <v>3275252.5159889148</v>
      </c>
      <c r="M5" s="68"/>
      <c r="N5" s="51"/>
      <c r="O5" s="51" t="str">
        <f t="shared" si="4"/>
        <v>313</v>
      </c>
      <c r="P5" s="51" t="str">
        <f t="shared" si="5"/>
        <v>31</v>
      </c>
      <c r="Q5" s="51" t="str">
        <f t="shared" si="6"/>
        <v>11</v>
      </c>
      <c r="R5" s="51" t="str">
        <f t="shared" si="7"/>
        <v>15</v>
      </c>
      <c r="S5" s="51" t="s">
        <v>471</v>
      </c>
      <c r="T5" s="51" t="s">
        <v>472</v>
      </c>
      <c r="U5" s="51"/>
      <c r="V5" s="51">
        <v>3111</v>
      </c>
      <c r="W5" s="51" t="s">
        <v>626</v>
      </c>
      <c r="X5" s="51"/>
      <c r="Y5" s="82" t="str">
        <f t="shared" ref="Y5:Y129" si="8">LEFT(V5,2)</f>
        <v>31</v>
      </c>
      <c r="Z5" s="51" t="str">
        <f t="shared" ref="Z5:Z129" si="9">LEFT(V5,3)</f>
        <v>311</v>
      </c>
      <c r="AA5" s="51"/>
      <c r="AB5" s="51" t="s">
        <v>627</v>
      </c>
      <c r="AC5" s="51" t="s">
        <v>621</v>
      </c>
      <c r="AD5" s="51"/>
      <c r="AE5" s="51"/>
      <c r="AF5" s="51"/>
      <c r="AG5" s="51"/>
    </row>
    <row r="6" spans="1:33">
      <c r="A6" s="62" t="str">
        <f>IF(C6="","",VLOOKUP('OPĆI DIO'!$C$3,'OPĆI DIO'!$L$6:$U$120,10,FALSE))</f>
        <v>08008</v>
      </c>
      <c r="B6" s="62" t="str">
        <f>IF(C6="","",VLOOKUP('OPĆI DIO'!$C$3,'OPĆI DIO'!$L$6:$U$120,9,FALSE))</f>
        <v>Javni instituti</v>
      </c>
      <c r="C6" s="84">
        <v>11</v>
      </c>
      <c r="D6" s="79" t="str">
        <f t="shared" si="0"/>
        <v>Opći prihodi i primici</v>
      </c>
      <c r="E6" s="84">
        <v>3212</v>
      </c>
      <c r="F6" s="79" t="str">
        <f t="shared" si="1"/>
        <v>Naknade za prijevoz, za rad na terenu i odvojeni život</v>
      </c>
      <c r="G6" s="84" t="s">
        <v>625</v>
      </c>
      <c r="H6" s="79" t="str">
        <f t="shared" si="2"/>
        <v>REDOVNA DJELATNOST JAVNIH INSTITUTA</v>
      </c>
      <c r="I6" s="79" t="str">
        <f t="shared" si="3"/>
        <v>0150</v>
      </c>
      <c r="J6" s="279">
        <v>601957.73365498276</v>
      </c>
      <c r="K6" s="279">
        <v>601957.73365498276</v>
      </c>
      <c r="L6" s="279">
        <v>601957.73365498276</v>
      </c>
      <c r="M6" s="68"/>
      <c r="N6" s="51"/>
      <c r="O6" s="51" t="str">
        <f t="shared" si="4"/>
        <v>321</v>
      </c>
      <c r="P6" s="51" t="str">
        <f t="shared" si="5"/>
        <v>32</v>
      </c>
      <c r="Q6" s="51" t="str">
        <f t="shared" si="6"/>
        <v>11</v>
      </c>
      <c r="R6" s="51" t="str">
        <f t="shared" si="7"/>
        <v>15</v>
      </c>
      <c r="S6" s="51">
        <v>11</v>
      </c>
      <c r="T6" s="51" t="s">
        <v>487</v>
      </c>
      <c r="U6" s="51"/>
      <c r="V6" s="51">
        <v>3112</v>
      </c>
      <c r="W6" s="51" t="s">
        <v>628</v>
      </c>
      <c r="X6" s="51"/>
      <c r="Y6" s="82" t="str">
        <f t="shared" si="8"/>
        <v>31</v>
      </c>
      <c r="Z6" s="51" t="str">
        <f t="shared" si="9"/>
        <v>311</v>
      </c>
      <c r="AA6" s="51"/>
      <c r="AB6" s="51" t="s">
        <v>629</v>
      </c>
      <c r="AC6" s="51" t="s">
        <v>629</v>
      </c>
      <c r="AD6" s="51" t="s">
        <v>629</v>
      </c>
      <c r="AE6" s="51" t="s">
        <v>629</v>
      </c>
      <c r="AF6" s="51" t="s">
        <v>629</v>
      </c>
      <c r="AG6" s="51" t="s">
        <v>629</v>
      </c>
    </row>
    <row r="7" spans="1:33">
      <c r="A7" s="62" t="str">
        <f>IF(C7="","",VLOOKUP('OPĆI DIO'!$C$3,'OPĆI DIO'!$L$6:$U$120,10,FALSE))</f>
        <v>08008</v>
      </c>
      <c r="B7" s="62" t="str">
        <f>IF(C7="","",VLOOKUP('OPĆI DIO'!$C$3,'OPĆI DIO'!$L$6:$U$120,9,FALSE))</f>
        <v>Javni instituti</v>
      </c>
      <c r="C7" s="84">
        <v>11</v>
      </c>
      <c r="D7" s="79" t="str">
        <f t="shared" si="0"/>
        <v>Opći prihodi i primici</v>
      </c>
      <c r="E7" s="84">
        <v>3111</v>
      </c>
      <c r="F7" s="79" t="str">
        <f t="shared" si="1"/>
        <v>Plaće za redovan rad</v>
      </c>
      <c r="G7" s="84" t="s">
        <v>630</v>
      </c>
      <c r="H7" s="79" t="str">
        <f t="shared" si="2"/>
        <v>PROGRAM USAVRŠAVANJA ZNANSTVENIH NOVAKA</v>
      </c>
      <c r="I7" s="79" t="str">
        <f t="shared" si="3"/>
        <v>0150</v>
      </c>
      <c r="J7" s="279">
        <v>68260</v>
      </c>
      <c r="K7" s="279">
        <v>68260</v>
      </c>
      <c r="L7" s="279">
        <v>68260</v>
      </c>
      <c r="M7" s="68"/>
      <c r="N7" s="51"/>
      <c r="O7" s="51" t="str">
        <f t="shared" si="4"/>
        <v>311</v>
      </c>
      <c r="P7" s="51" t="str">
        <f t="shared" si="5"/>
        <v>31</v>
      </c>
      <c r="Q7" s="51" t="str">
        <f t="shared" si="6"/>
        <v>11</v>
      </c>
      <c r="R7" s="51" t="str">
        <f t="shared" si="7"/>
        <v>15</v>
      </c>
      <c r="S7" s="51">
        <v>12</v>
      </c>
      <c r="T7" s="51" t="s">
        <v>489</v>
      </c>
      <c r="U7" s="51"/>
      <c r="V7" s="51">
        <v>3113</v>
      </c>
      <c r="W7" s="51" t="s">
        <v>631</v>
      </c>
      <c r="X7" s="51"/>
      <c r="Y7" s="82" t="str">
        <f t="shared" si="8"/>
        <v>31</v>
      </c>
      <c r="Z7" s="51" t="str">
        <f t="shared" si="9"/>
        <v>311</v>
      </c>
      <c r="AA7" s="51"/>
      <c r="AB7" s="69" t="s">
        <v>632</v>
      </c>
      <c r="AC7" s="69" t="s">
        <v>633</v>
      </c>
      <c r="AD7" s="51" t="s">
        <v>634</v>
      </c>
      <c r="AE7" s="51" t="s">
        <v>635</v>
      </c>
      <c r="AF7" s="51" t="s">
        <v>636</v>
      </c>
      <c r="AG7" s="51" t="s">
        <v>637</v>
      </c>
    </row>
    <row r="8" spans="1:33">
      <c r="A8" s="62" t="str">
        <f>IF(C8="","",VLOOKUP('OPĆI DIO'!$C$3,'OPĆI DIO'!$L$6:$U$120,10,FALSE))</f>
        <v>08008</v>
      </c>
      <c r="B8" s="62" t="str">
        <f>IF(C8="","",VLOOKUP('OPĆI DIO'!$C$3,'OPĆI DIO'!$L$6:$U$120,9,FALSE))</f>
        <v>Javni instituti</v>
      </c>
      <c r="C8" s="84">
        <v>11</v>
      </c>
      <c r="D8" s="79" t="str">
        <f t="shared" si="0"/>
        <v>Opći prihodi i primici</v>
      </c>
      <c r="E8" s="84">
        <v>3121</v>
      </c>
      <c r="F8" s="79" t="str">
        <f t="shared" si="1"/>
        <v>Ostali rashodi za zaposlene</v>
      </c>
      <c r="G8" s="84" t="s">
        <v>630</v>
      </c>
      <c r="H8" s="79" t="str">
        <f t="shared" si="2"/>
        <v>PROGRAM USAVRŠAVANJA ZNANSTVENIH NOVAKA</v>
      </c>
      <c r="I8" s="79" t="str">
        <f t="shared" si="3"/>
        <v>0150</v>
      </c>
      <c r="J8" s="279">
        <v>2016</v>
      </c>
      <c r="K8" s="279">
        <v>2016</v>
      </c>
      <c r="L8" s="279">
        <v>2016</v>
      </c>
      <c r="M8" s="68"/>
      <c r="N8" s="51"/>
      <c r="O8" s="51" t="str">
        <f t="shared" si="4"/>
        <v>312</v>
      </c>
      <c r="P8" s="51" t="str">
        <f t="shared" si="5"/>
        <v>31</v>
      </c>
      <c r="Q8" s="51" t="str">
        <f t="shared" si="6"/>
        <v>11</v>
      </c>
      <c r="R8" s="51" t="str">
        <f t="shared" si="7"/>
        <v>15</v>
      </c>
      <c r="S8" s="51">
        <v>31</v>
      </c>
      <c r="T8" s="51" t="s">
        <v>490</v>
      </c>
      <c r="U8" s="51"/>
      <c r="V8" s="51">
        <v>3114</v>
      </c>
      <c r="W8" s="51" t="s">
        <v>638</v>
      </c>
      <c r="X8" s="51"/>
      <c r="Y8" s="82" t="str">
        <f t="shared" si="8"/>
        <v>31</v>
      </c>
      <c r="Z8" s="51" t="str">
        <f t="shared" si="9"/>
        <v>311</v>
      </c>
      <c r="AA8" s="51"/>
      <c r="AB8" s="69" t="s">
        <v>639</v>
      </c>
      <c r="AC8" s="69" t="s">
        <v>640</v>
      </c>
      <c r="AD8" s="51" t="s">
        <v>641</v>
      </c>
      <c r="AE8" s="51" t="s">
        <v>642</v>
      </c>
      <c r="AF8" s="51" t="s">
        <v>643</v>
      </c>
      <c r="AG8" s="51" t="s">
        <v>644</v>
      </c>
    </row>
    <row r="9" spans="1:33">
      <c r="A9" s="62" t="str">
        <f>IF(C9="","",VLOOKUP('OPĆI DIO'!$C$3,'OPĆI DIO'!$L$6:$U$120,10,FALSE))</f>
        <v>08008</v>
      </c>
      <c r="B9" s="62" t="str">
        <f>IF(C9="","",VLOOKUP('OPĆI DIO'!$C$3,'OPĆI DIO'!$L$6:$U$120,9,FALSE))</f>
        <v>Javni instituti</v>
      </c>
      <c r="C9" s="84">
        <v>11</v>
      </c>
      <c r="D9" s="79" t="str">
        <f t="shared" si="0"/>
        <v>Opći prihodi i primici</v>
      </c>
      <c r="E9" s="84">
        <v>3132</v>
      </c>
      <c r="F9" s="79" t="str">
        <f t="shared" si="1"/>
        <v>Doprinosi za obvezno zdravstveno osiguranje</v>
      </c>
      <c r="G9" s="84" t="s">
        <v>630</v>
      </c>
      <c r="H9" s="79" t="str">
        <f t="shared" si="2"/>
        <v>PROGRAM USAVRŠAVANJA ZNANSTVENIH NOVAKA</v>
      </c>
      <c r="I9" s="79" t="str">
        <f t="shared" si="3"/>
        <v>0150</v>
      </c>
      <c r="J9" s="279">
        <v>11046</v>
      </c>
      <c r="K9" s="279">
        <v>11046</v>
      </c>
      <c r="L9" s="279">
        <v>11046</v>
      </c>
      <c r="M9" s="68"/>
      <c r="N9" s="51"/>
      <c r="O9" s="51" t="str">
        <f t="shared" si="4"/>
        <v>313</v>
      </c>
      <c r="P9" s="51" t="str">
        <f t="shared" si="5"/>
        <v>31</v>
      </c>
      <c r="Q9" s="51" t="str">
        <f t="shared" si="6"/>
        <v>11</v>
      </c>
      <c r="R9" s="51" t="str">
        <f t="shared" si="7"/>
        <v>15</v>
      </c>
      <c r="S9" s="69">
        <v>41</v>
      </c>
      <c r="T9" s="69" t="s">
        <v>492</v>
      </c>
      <c r="U9" s="51"/>
      <c r="V9" s="51">
        <v>3121</v>
      </c>
      <c r="W9" s="51" t="s">
        <v>645</v>
      </c>
      <c r="X9" s="51"/>
      <c r="Y9" s="82" t="str">
        <f t="shared" si="8"/>
        <v>31</v>
      </c>
      <c r="Z9" s="51" t="str">
        <f t="shared" si="9"/>
        <v>312</v>
      </c>
      <c r="AA9" s="51"/>
      <c r="AB9" s="69" t="s">
        <v>646</v>
      </c>
      <c r="AC9" s="69" t="s">
        <v>647</v>
      </c>
      <c r="AD9" s="51" t="s">
        <v>648</v>
      </c>
      <c r="AE9" s="51" t="s">
        <v>649</v>
      </c>
      <c r="AF9" s="51" t="s">
        <v>636</v>
      </c>
      <c r="AG9" s="51" t="s">
        <v>650</v>
      </c>
    </row>
    <row r="10" spans="1:33">
      <c r="A10" s="62" t="str">
        <f>IF(C10="","",VLOOKUP('OPĆI DIO'!$C$3,'OPĆI DIO'!$L$6:$U$120,10,FALSE))</f>
        <v>08008</v>
      </c>
      <c r="B10" s="62" t="str">
        <f>IF(C10="","",VLOOKUP('OPĆI DIO'!$C$3,'OPĆI DIO'!$L$6:$U$120,9,FALSE))</f>
        <v>Javni instituti</v>
      </c>
      <c r="C10" s="84">
        <v>11</v>
      </c>
      <c r="D10" s="79" t="str">
        <f t="shared" si="0"/>
        <v>Opći prihodi i primici</v>
      </c>
      <c r="E10" s="84">
        <v>3212</v>
      </c>
      <c r="F10" s="79" t="str">
        <f t="shared" si="1"/>
        <v>Naknade za prijevoz, za rad na terenu i odvojeni život</v>
      </c>
      <c r="G10" s="84" t="s">
        <v>630</v>
      </c>
      <c r="H10" s="79" t="str">
        <f t="shared" si="2"/>
        <v>PROGRAM USAVRŠAVANJA ZNANSTVENIH NOVAKA</v>
      </c>
      <c r="I10" s="79" t="str">
        <f t="shared" si="3"/>
        <v>0150</v>
      </c>
      <c r="J10" s="279">
        <v>627</v>
      </c>
      <c r="K10" s="279">
        <v>627</v>
      </c>
      <c r="L10" s="279">
        <v>627</v>
      </c>
      <c r="M10" s="68"/>
      <c r="N10" s="51"/>
      <c r="O10" s="51" t="str">
        <f t="shared" si="4"/>
        <v>321</v>
      </c>
      <c r="P10" s="51" t="str">
        <f t="shared" si="5"/>
        <v>32</v>
      </c>
      <c r="Q10" s="51" t="str">
        <f t="shared" si="6"/>
        <v>11</v>
      </c>
      <c r="R10" s="51" t="str">
        <f t="shared" si="7"/>
        <v>15</v>
      </c>
      <c r="S10" s="51">
        <v>43</v>
      </c>
      <c r="T10" s="51" t="s">
        <v>495</v>
      </c>
      <c r="U10" s="51"/>
      <c r="V10" s="51">
        <v>3132</v>
      </c>
      <c r="W10" s="51" t="s">
        <v>651</v>
      </c>
      <c r="X10" s="51"/>
      <c r="Y10" s="82" t="str">
        <f t="shared" si="8"/>
        <v>31</v>
      </c>
      <c r="Z10" s="51" t="str">
        <f t="shared" si="9"/>
        <v>313</v>
      </c>
      <c r="AA10" s="51"/>
      <c r="AB10" s="69" t="s">
        <v>652</v>
      </c>
      <c r="AC10" s="69" t="s">
        <v>653</v>
      </c>
      <c r="AD10" s="51" t="s">
        <v>648</v>
      </c>
      <c r="AE10" s="51" t="s">
        <v>649</v>
      </c>
      <c r="AF10" s="51" t="s">
        <v>636</v>
      </c>
      <c r="AG10" s="51" t="s">
        <v>650</v>
      </c>
    </row>
    <row r="11" spans="1:33">
      <c r="A11" s="62" t="str">
        <f>IF(C11="","",VLOOKUP('OPĆI DIO'!$C$3,'OPĆI DIO'!$L$6:$U$120,10,FALSE))</f>
        <v>08008</v>
      </c>
      <c r="B11" s="62" t="str">
        <f>IF(C11="","",VLOOKUP('OPĆI DIO'!$C$3,'OPĆI DIO'!$L$6:$U$120,9,FALSE))</f>
        <v>Javni instituti</v>
      </c>
      <c r="C11" s="84">
        <v>11</v>
      </c>
      <c r="D11" s="79" t="str">
        <f t="shared" si="0"/>
        <v>Opći prihodi i primici</v>
      </c>
      <c r="E11" s="84">
        <v>3211</v>
      </c>
      <c r="F11" s="79" t="str">
        <f t="shared" si="1"/>
        <v>Službena putovanja</v>
      </c>
      <c r="G11" s="84" t="s">
        <v>654</v>
      </c>
      <c r="H11" s="79" t="str">
        <f t="shared" si="2"/>
        <v>PROGRAMSKO FINANCIRANJE JAVNIH ZNANSTVENIH INSTITUTA</v>
      </c>
      <c r="I11" s="79" t="str">
        <f t="shared" si="3"/>
        <v>0150</v>
      </c>
      <c r="J11" s="279">
        <v>36585</v>
      </c>
      <c r="K11" s="279">
        <v>38263</v>
      </c>
      <c r="L11" s="279">
        <v>45968</v>
      </c>
      <c r="M11" s="68"/>
      <c r="N11" s="51"/>
      <c r="O11" s="51" t="str">
        <f t="shared" si="4"/>
        <v>321</v>
      </c>
      <c r="P11" s="51" t="str">
        <f t="shared" si="5"/>
        <v>32</v>
      </c>
      <c r="Q11" s="51" t="str">
        <f t="shared" si="6"/>
        <v>11</v>
      </c>
      <c r="R11" s="51" t="str">
        <f t="shared" si="7"/>
        <v>15</v>
      </c>
      <c r="S11" s="51">
        <v>51</v>
      </c>
      <c r="T11" s="51" t="s">
        <v>497</v>
      </c>
      <c r="U11" s="51"/>
      <c r="V11" s="51">
        <v>3211</v>
      </c>
      <c r="W11" s="51" t="s">
        <v>655</v>
      </c>
      <c r="X11" s="51"/>
      <c r="Y11" s="82" t="str">
        <f t="shared" si="8"/>
        <v>32</v>
      </c>
      <c r="Z11" s="51" t="str">
        <f t="shared" si="9"/>
        <v>321</v>
      </c>
      <c r="AA11" s="51"/>
      <c r="AB11" s="69" t="s">
        <v>652</v>
      </c>
      <c r="AC11" s="69" t="s">
        <v>653</v>
      </c>
      <c r="AD11" s="51" t="s">
        <v>656</v>
      </c>
      <c r="AE11" s="51" t="s">
        <v>657</v>
      </c>
      <c r="AF11" s="51" t="s">
        <v>636</v>
      </c>
      <c r="AG11" s="51" t="s">
        <v>658</v>
      </c>
    </row>
    <row r="12" spans="1:33">
      <c r="A12" s="62" t="str">
        <f>IF(C12="","",VLOOKUP('OPĆI DIO'!$C$3,'OPĆI DIO'!$L$6:$U$120,10,FALSE))</f>
        <v>08008</v>
      </c>
      <c r="B12" s="62" t="str">
        <f>IF(C12="","",VLOOKUP('OPĆI DIO'!$C$3,'OPĆI DIO'!$L$6:$U$120,9,FALSE))</f>
        <v>Javni instituti</v>
      </c>
      <c r="C12" s="84">
        <v>11</v>
      </c>
      <c r="D12" s="79" t="str">
        <f t="shared" si="0"/>
        <v>Opći prihodi i primici</v>
      </c>
      <c r="E12" s="84">
        <v>3213</v>
      </c>
      <c r="F12" s="79" t="str">
        <f t="shared" si="1"/>
        <v>Stručno usavršavanje zaposlenika</v>
      </c>
      <c r="G12" s="84" t="s">
        <v>654</v>
      </c>
      <c r="H12" s="79" t="str">
        <f t="shared" si="2"/>
        <v>PROGRAMSKO FINANCIRANJE JAVNIH ZNANSTVENIH INSTITUTA</v>
      </c>
      <c r="I12" s="79" t="str">
        <f t="shared" si="3"/>
        <v>0150</v>
      </c>
      <c r="J12" s="279">
        <v>8979</v>
      </c>
      <c r="K12" s="279">
        <v>8369</v>
      </c>
      <c r="L12" s="279">
        <v>8630</v>
      </c>
      <c r="M12" s="68"/>
      <c r="N12" s="51"/>
      <c r="O12" s="51" t="str">
        <f t="shared" si="4"/>
        <v>321</v>
      </c>
      <c r="P12" s="51" t="str">
        <f t="shared" si="5"/>
        <v>32</v>
      </c>
      <c r="Q12" s="51" t="str">
        <f t="shared" si="6"/>
        <v>11</v>
      </c>
      <c r="R12" s="51" t="str">
        <f t="shared" si="7"/>
        <v>15</v>
      </c>
      <c r="S12" s="51">
        <v>52</v>
      </c>
      <c r="T12" s="51" t="s">
        <v>499</v>
      </c>
      <c r="U12" s="51"/>
      <c r="V12" s="51">
        <v>3212</v>
      </c>
      <c r="W12" s="51" t="s">
        <v>659</v>
      </c>
      <c r="X12" s="51"/>
      <c r="Y12" s="82" t="str">
        <f t="shared" si="8"/>
        <v>32</v>
      </c>
      <c r="Z12" s="51" t="str">
        <f t="shared" si="9"/>
        <v>321</v>
      </c>
      <c r="AA12" s="51"/>
      <c r="AB12" s="69" t="s">
        <v>660</v>
      </c>
      <c r="AC12" s="69" t="s">
        <v>661</v>
      </c>
      <c r="AD12" s="51" t="s">
        <v>648</v>
      </c>
      <c r="AE12" s="51" t="s">
        <v>649</v>
      </c>
      <c r="AF12" s="51" t="s">
        <v>636</v>
      </c>
      <c r="AG12" s="51" t="s">
        <v>650</v>
      </c>
    </row>
    <row r="13" spans="1:33">
      <c r="A13" s="62" t="str">
        <f>IF(C13="","",VLOOKUP('OPĆI DIO'!$C$3,'OPĆI DIO'!$L$6:$U$120,10,FALSE))</f>
        <v>08008</v>
      </c>
      <c r="B13" s="62" t="str">
        <f>IF(C13="","",VLOOKUP('OPĆI DIO'!$C$3,'OPĆI DIO'!$L$6:$U$120,9,FALSE))</f>
        <v>Javni instituti</v>
      </c>
      <c r="C13" s="84">
        <v>11</v>
      </c>
      <c r="D13" s="79" t="str">
        <f t="shared" si="0"/>
        <v>Opći prihodi i primici</v>
      </c>
      <c r="E13" s="84">
        <v>3214</v>
      </c>
      <c r="F13" s="79" t="str">
        <f t="shared" si="1"/>
        <v>Ostale naknade troškova zaposlenima</v>
      </c>
      <c r="G13" s="84" t="s">
        <v>654</v>
      </c>
      <c r="H13" s="79" t="str">
        <f t="shared" si="2"/>
        <v>PROGRAMSKO FINANCIRANJE JAVNIH ZNANSTVENIH INSTITUTA</v>
      </c>
      <c r="I13" s="79" t="str">
        <f t="shared" si="3"/>
        <v>0150</v>
      </c>
      <c r="J13" s="279">
        <v>2356</v>
      </c>
      <c r="K13" s="279">
        <v>2196</v>
      </c>
      <c r="L13" s="279">
        <v>2265</v>
      </c>
      <c r="M13" s="68"/>
      <c r="N13" s="51"/>
      <c r="O13" s="51" t="str">
        <f t="shared" si="4"/>
        <v>321</v>
      </c>
      <c r="P13" s="51" t="str">
        <f t="shared" si="5"/>
        <v>32</v>
      </c>
      <c r="Q13" s="51" t="str">
        <f t="shared" si="6"/>
        <v>11</v>
      </c>
      <c r="R13" s="51" t="str">
        <f t="shared" si="7"/>
        <v>15</v>
      </c>
      <c r="S13" s="69">
        <v>552</v>
      </c>
      <c r="T13" s="69" t="s">
        <v>503</v>
      </c>
      <c r="U13" s="51"/>
      <c r="V13" s="51">
        <v>3213</v>
      </c>
      <c r="W13" s="51" t="s">
        <v>662</v>
      </c>
      <c r="X13" s="51"/>
      <c r="Y13" s="82" t="str">
        <f t="shared" si="8"/>
        <v>32</v>
      </c>
      <c r="Z13" s="51" t="str">
        <f t="shared" si="9"/>
        <v>321</v>
      </c>
      <c r="AA13" s="51"/>
      <c r="AB13" s="69" t="s">
        <v>663</v>
      </c>
      <c r="AC13" s="69" t="s">
        <v>664</v>
      </c>
      <c r="AD13" s="51" t="s">
        <v>648</v>
      </c>
      <c r="AE13" s="51" t="s">
        <v>649</v>
      </c>
      <c r="AF13" s="51" t="s">
        <v>636</v>
      </c>
      <c r="AG13" s="51" t="s">
        <v>650</v>
      </c>
    </row>
    <row r="14" spans="1:33">
      <c r="A14" s="62" t="str">
        <f>IF(C14="","",VLOOKUP('OPĆI DIO'!$C$3,'OPĆI DIO'!$L$6:$U$120,10,FALSE))</f>
        <v>08008</v>
      </c>
      <c r="B14" s="62" t="str">
        <f>IF(C14="","",VLOOKUP('OPĆI DIO'!$C$3,'OPĆI DIO'!$L$6:$U$120,9,FALSE))</f>
        <v>Javni instituti</v>
      </c>
      <c r="C14" s="84">
        <v>11</v>
      </c>
      <c r="D14" s="79" t="str">
        <f t="shared" si="0"/>
        <v>Opći prihodi i primici</v>
      </c>
      <c r="E14" s="84">
        <v>3221</v>
      </c>
      <c r="F14" s="79" t="str">
        <f t="shared" si="1"/>
        <v>Uredski materijal i ostali materijalni rashodi</v>
      </c>
      <c r="G14" s="84" t="s">
        <v>654</v>
      </c>
      <c r="H14" s="79" t="str">
        <f t="shared" si="2"/>
        <v>PROGRAMSKO FINANCIRANJE JAVNIH ZNANSTVENIH INSTITUTA</v>
      </c>
      <c r="I14" s="79" t="str">
        <f t="shared" si="3"/>
        <v>0150</v>
      </c>
      <c r="J14" s="279">
        <v>136024</v>
      </c>
      <c r="K14" s="279">
        <v>95667</v>
      </c>
      <c r="L14" s="279">
        <v>97337</v>
      </c>
      <c r="M14" s="68"/>
      <c r="N14" s="51"/>
      <c r="O14" s="51" t="str">
        <f t="shared" si="4"/>
        <v>322</v>
      </c>
      <c r="P14" s="51" t="str">
        <f t="shared" si="5"/>
        <v>32</v>
      </c>
      <c r="Q14" s="51" t="str">
        <f t="shared" si="6"/>
        <v>11</v>
      </c>
      <c r="R14" s="51" t="str">
        <f t="shared" si="7"/>
        <v>15</v>
      </c>
      <c r="S14" s="69">
        <v>559</v>
      </c>
      <c r="T14" s="69" t="s">
        <v>506</v>
      </c>
      <c r="U14" s="51"/>
      <c r="V14" s="51">
        <v>3214</v>
      </c>
      <c r="W14" s="51" t="s">
        <v>665</v>
      </c>
      <c r="X14" s="51"/>
      <c r="Y14" s="82" t="str">
        <f t="shared" si="8"/>
        <v>32</v>
      </c>
      <c r="Z14" s="51" t="str">
        <f t="shared" si="9"/>
        <v>321</v>
      </c>
      <c r="AA14" s="51"/>
      <c r="AB14" s="69" t="s">
        <v>666</v>
      </c>
      <c r="AC14" s="69" t="s">
        <v>667</v>
      </c>
      <c r="AD14" s="51" t="s">
        <v>668</v>
      </c>
      <c r="AE14" s="51" t="s">
        <v>669</v>
      </c>
      <c r="AF14" s="51" t="s">
        <v>636</v>
      </c>
      <c r="AG14" s="51" t="s">
        <v>670</v>
      </c>
    </row>
    <row r="15" spans="1:33">
      <c r="A15" s="62" t="str">
        <f>IF(C15="","",VLOOKUP('OPĆI DIO'!$C$3,'OPĆI DIO'!$L$6:$U$120,10,FALSE))</f>
        <v>08008</v>
      </c>
      <c r="B15" s="62" t="str">
        <f>IF(C15="","",VLOOKUP('OPĆI DIO'!$C$3,'OPĆI DIO'!$L$6:$U$120,9,FALSE))</f>
        <v>Javni instituti</v>
      </c>
      <c r="C15" s="84">
        <v>11</v>
      </c>
      <c r="D15" s="79" t="str">
        <f t="shared" si="0"/>
        <v>Opći prihodi i primici</v>
      </c>
      <c r="E15" s="84">
        <v>3222</v>
      </c>
      <c r="F15" s="79" t="str">
        <f t="shared" si="1"/>
        <v>Materijal i sirovine</v>
      </c>
      <c r="G15" s="84" t="s">
        <v>654</v>
      </c>
      <c r="H15" s="79" t="str">
        <f t="shared" si="2"/>
        <v>PROGRAMSKO FINANCIRANJE JAVNIH ZNANSTVENIH INSTITUTA</v>
      </c>
      <c r="I15" s="79" t="str">
        <f t="shared" si="3"/>
        <v>0150</v>
      </c>
      <c r="J15" s="279">
        <v>45453</v>
      </c>
      <c r="K15" s="279">
        <v>42368</v>
      </c>
      <c r="L15" s="279">
        <v>43688</v>
      </c>
      <c r="M15" s="68"/>
      <c r="N15" s="51"/>
      <c r="O15" s="51" t="str">
        <f t="shared" si="4"/>
        <v>322</v>
      </c>
      <c r="P15" s="51" t="str">
        <f t="shared" si="5"/>
        <v>32</v>
      </c>
      <c r="Q15" s="51" t="str">
        <f t="shared" si="6"/>
        <v>11</v>
      </c>
      <c r="R15" s="51" t="str">
        <f t="shared" si="7"/>
        <v>15</v>
      </c>
      <c r="S15" s="51">
        <v>561</v>
      </c>
      <c r="T15" s="51" t="s">
        <v>509</v>
      </c>
      <c r="U15" s="51"/>
      <c r="V15" s="51">
        <v>3221</v>
      </c>
      <c r="W15" s="51" t="s">
        <v>671</v>
      </c>
      <c r="X15" s="51"/>
      <c r="Y15" s="82" t="str">
        <f t="shared" si="8"/>
        <v>32</v>
      </c>
      <c r="Z15" s="51" t="str">
        <f t="shared" si="9"/>
        <v>322</v>
      </c>
      <c r="AA15" s="51"/>
      <c r="AB15" s="69" t="s">
        <v>672</v>
      </c>
      <c r="AC15" s="69" t="s">
        <v>673</v>
      </c>
      <c r="AD15" s="51" t="s">
        <v>634</v>
      </c>
      <c r="AE15" s="51" t="s">
        <v>635</v>
      </c>
      <c r="AF15" s="51" t="s">
        <v>636</v>
      </c>
      <c r="AG15" s="51" t="s">
        <v>637</v>
      </c>
    </row>
    <row r="16" spans="1:33">
      <c r="A16" s="62" t="str">
        <f>IF(C16="","",VLOOKUP('OPĆI DIO'!$C$3,'OPĆI DIO'!$L$6:$U$120,10,FALSE))</f>
        <v>08008</v>
      </c>
      <c r="B16" s="62" t="str">
        <f>IF(C16="","",VLOOKUP('OPĆI DIO'!$C$3,'OPĆI DIO'!$L$6:$U$120,9,FALSE))</f>
        <v>Javni instituti</v>
      </c>
      <c r="C16" s="84">
        <v>11</v>
      </c>
      <c r="D16" s="79" t="str">
        <f t="shared" si="0"/>
        <v>Opći prihodi i primici</v>
      </c>
      <c r="E16" s="84">
        <v>3223</v>
      </c>
      <c r="F16" s="79" t="str">
        <f t="shared" si="1"/>
        <v>Energija</v>
      </c>
      <c r="G16" s="84" t="s">
        <v>654</v>
      </c>
      <c r="H16" s="79" t="str">
        <f t="shared" si="2"/>
        <v>PROGRAMSKO FINANCIRANJE JAVNIH ZNANSTVENIH INSTITUTA</v>
      </c>
      <c r="I16" s="79" t="str">
        <f t="shared" si="3"/>
        <v>0150</v>
      </c>
      <c r="J16" s="279">
        <v>1435719</v>
      </c>
      <c r="K16" s="279">
        <v>1435674</v>
      </c>
      <c r="L16" s="279">
        <v>1492453</v>
      </c>
      <c r="M16" s="68"/>
      <c r="N16" s="51"/>
      <c r="O16" s="51" t="str">
        <f t="shared" si="4"/>
        <v>322</v>
      </c>
      <c r="P16" s="51" t="str">
        <f t="shared" si="5"/>
        <v>32</v>
      </c>
      <c r="Q16" s="51" t="str">
        <f t="shared" si="6"/>
        <v>11</v>
      </c>
      <c r="R16" s="51" t="str">
        <f t="shared" si="7"/>
        <v>15</v>
      </c>
      <c r="S16" s="51">
        <v>563</v>
      </c>
      <c r="T16" s="51" t="s">
        <v>512</v>
      </c>
      <c r="U16" s="51"/>
      <c r="V16" s="51">
        <v>3222</v>
      </c>
      <c r="W16" s="51" t="s">
        <v>674</v>
      </c>
      <c r="X16" s="51"/>
      <c r="Y16" s="82" t="str">
        <f t="shared" si="8"/>
        <v>32</v>
      </c>
      <c r="Z16" s="51" t="str">
        <f t="shared" si="9"/>
        <v>322</v>
      </c>
      <c r="AA16" s="51"/>
      <c r="AB16" s="69" t="s">
        <v>675</v>
      </c>
      <c r="AC16" s="69" t="s">
        <v>676</v>
      </c>
      <c r="AD16" s="51" t="s">
        <v>677</v>
      </c>
      <c r="AE16" s="51" t="s">
        <v>678</v>
      </c>
      <c r="AF16" s="51" t="s">
        <v>679</v>
      </c>
      <c r="AG16" s="51" t="s">
        <v>680</v>
      </c>
    </row>
    <row r="17" spans="1:33">
      <c r="A17" s="62" t="str">
        <f>IF(C17="","",VLOOKUP('OPĆI DIO'!$C$3,'OPĆI DIO'!$L$6:$U$120,10,FALSE))</f>
        <v>08008</v>
      </c>
      <c r="B17" s="62" t="str">
        <f>IF(C17="","",VLOOKUP('OPĆI DIO'!$C$3,'OPĆI DIO'!$L$6:$U$120,9,FALSE))</f>
        <v>Javni instituti</v>
      </c>
      <c r="C17" s="84">
        <v>11</v>
      </c>
      <c r="D17" s="79" t="str">
        <f t="shared" si="0"/>
        <v>Opći prihodi i primici</v>
      </c>
      <c r="E17" s="84">
        <v>3224</v>
      </c>
      <c r="F17" s="79" t="str">
        <f t="shared" si="1"/>
        <v>Materijal i dijelovi za tekuće i investicijsko održavanje</v>
      </c>
      <c r="G17" s="84" t="s">
        <v>654</v>
      </c>
      <c r="H17" s="79" t="str">
        <f t="shared" si="2"/>
        <v>PROGRAMSKO FINANCIRANJE JAVNIH ZNANSTVENIH INSTITUTA</v>
      </c>
      <c r="I17" s="79" t="str">
        <f t="shared" si="3"/>
        <v>0150</v>
      </c>
      <c r="J17" s="279">
        <v>47240</v>
      </c>
      <c r="K17" s="279">
        <v>44033</v>
      </c>
      <c r="L17" s="279">
        <v>45406</v>
      </c>
      <c r="M17" s="68"/>
      <c r="N17" s="51"/>
      <c r="O17" s="51" t="str">
        <f t="shared" si="4"/>
        <v>322</v>
      </c>
      <c r="P17" s="51" t="str">
        <f t="shared" si="5"/>
        <v>32</v>
      </c>
      <c r="Q17" s="51" t="str">
        <f t="shared" si="6"/>
        <v>11</v>
      </c>
      <c r="R17" s="51" t="str">
        <f t="shared" si="7"/>
        <v>15</v>
      </c>
      <c r="S17" s="51">
        <v>573</v>
      </c>
      <c r="T17" s="69" t="s">
        <v>515</v>
      </c>
      <c r="U17" s="51"/>
      <c r="V17" s="51">
        <v>3223</v>
      </c>
      <c r="W17" s="51" t="s">
        <v>681</v>
      </c>
      <c r="X17" s="51"/>
      <c r="Y17" s="82" t="str">
        <f t="shared" si="8"/>
        <v>32</v>
      </c>
      <c r="Z17" s="51" t="str">
        <f t="shared" si="9"/>
        <v>322</v>
      </c>
      <c r="AA17" s="51"/>
      <c r="AB17" s="69" t="s">
        <v>682</v>
      </c>
      <c r="AC17" s="69" t="s">
        <v>683</v>
      </c>
      <c r="AD17" s="51" t="s">
        <v>648</v>
      </c>
      <c r="AE17" s="51" t="s">
        <v>649</v>
      </c>
      <c r="AF17" s="51" t="s">
        <v>636</v>
      </c>
      <c r="AG17" s="51" t="s">
        <v>650</v>
      </c>
    </row>
    <row r="18" spans="1:33">
      <c r="A18" s="62" t="str">
        <f>IF(C18="","",VLOOKUP('OPĆI DIO'!$C$3,'OPĆI DIO'!$L$6:$U$120,10,FALSE))</f>
        <v>08008</v>
      </c>
      <c r="B18" s="62" t="str">
        <f>IF(C18="","",VLOOKUP('OPĆI DIO'!$C$3,'OPĆI DIO'!$L$6:$U$120,9,FALSE))</f>
        <v>Javni instituti</v>
      </c>
      <c r="C18" s="84">
        <v>11</v>
      </c>
      <c r="D18" s="79" t="str">
        <f t="shared" si="0"/>
        <v>Opći prihodi i primici</v>
      </c>
      <c r="E18" s="84">
        <v>3225</v>
      </c>
      <c r="F18" s="79" t="str">
        <f t="shared" si="1"/>
        <v>Sitni inventar i auto gume</v>
      </c>
      <c r="G18" s="84" t="s">
        <v>654</v>
      </c>
      <c r="H18" s="79" t="str">
        <f t="shared" si="2"/>
        <v>PROGRAMSKO FINANCIRANJE JAVNIH ZNANSTVENIH INSTITUTA</v>
      </c>
      <c r="I18" s="79" t="str">
        <f t="shared" si="3"/>
        <v>0150</v>
      </c>
      <c r="J18" s="279">
        <v>5612</v>
      </c>
      <c r="K18" s="279">
        <v>5231</v>
      </c>
      <c r="L18" s="279">
        <v>5394</v>
      </c>
      <c r="M18" s="68"/>
      <c r="N18" s="51"/>
      <c r="O18" s="51" t="str">
        <f t="shared" si="4"/>
        <v>322</v>
      </c>
      <c r="P18" s="51" t="str">
        <f t="shared" si="5"/>
        <v>32</v>
      </c>
      <c r="Q18" s="51" t="str">
        <f t="shared" si="6"/>
        <v>11</v>
      </c>
      <c r="R18" s="51" t="str">
        <f t="shared" si="7"/>
        <v>15</v>
      </c>
      <c r="S18" s="69">
        <v>575</v>
      </c>
      <c r="T18" s="69" t="s">
        <v>518</v>
      </c>
      <c r="U18" s="51"/>
      <c r="V18" s="51">
        <v>3224</v>
      </c>
      <c r="W18" s="51" t="s">
        <v>684</v>
      </c>
      <c r="X18" s="51"/>
      <c r="Y18" s="82" t="str">
        <f t="shared" si="8"/>
        <v>32</v>
      </c>
      <c r="Z18" s="51" t="str">
        <f t="shared" si="9"/>
        <v>322</v>
      </c>
      <c r="AA18" s="51"/>
      <c r="AB18" s="69" t="s">
        <v>685</v>
      </c>
      <c r="AC18" s="69" t="s">
        <v>686</v>
      </c>
      <c r="AD18" s="51" t="s">
        <v>648</v>
      </c>
      <c r="AE18" s="51" t="s">
        <v>649</v>
      </c>
      <c r="AF18" s="51" t="s">
        <v>636</v>
      </c>
      <c r="AG18" s="51" t="s">
        <v>650</v>
      </c>
    </row>
    <row r="19" spans="1:33">
      <c r="A19" s="62" t="str">
        <f>IF(C19="","",VLOOKUP('OPĆI DIO'!$C$3,'OPĆI DIO'!$L$6:$U$120,10,FALSE))</f>
        <v>08008</v>
      </c>
      <c r="B19" s="62" t="str">
        <f>IF(C19="","",VLOOKUP('OPĆI DIO'!$C$3,'OPĆI DIO'!$L$6:$U$120,9,FALSE))</f>
        <v>Javni instituti</v>
      </c>
      <c r="C19" s="84">
        <v>11</v>
      </c>
      <c r="D19" s="79" t="str">
        <f t="shared" si="0"/>
        <v>Opći prihodi i primici</v>
      </c>
      <c r="E19" s="84">
        <v>3227</v>
      </c>
      <c r="F19" s="79" t="str">
        <f t="shared" si="1"/>
        <v>Službena, radna i zaštitna odjeća i obuća</v>
      </c>
      <c r="G19" s="84" t="s">
        <v>654</v>
      </c>
      <c r="H19" s="79" t="str">
        <f t="shared" si="2"/>
        <v>PROGRAMSKO FINANCIRANJE JAVNIH ZNANSTVENIH INSTITUTA</v>
      </c>
      <c r="I19" s="79" t="str">
        <f t="shared" si="3"/>
        <v>0150</v>
      </c>
      <c r="J19" s="279">
        <v>9119</v>
      </c>
      <c r="K19" s="279">
        <v>8500</v>
      </c>
      <c r="L19" s="279">
        <v>8765</v>
      </c>
      <c r="M19" s="68"/>
      <c r="N19" s="51"/>
      <c r="O19" s="51" t="str">
        <f t="shared" si="4"/>
        <v>322</v>
      </c>
      <c r="P19" s="51" t="str">
        <f t="shared" si="5"/>
        <v>32</v>
      </c>
      <c r="Q19" s="51" t="str">
        <f t="shared" si="6"/>
        <v>11</v>
      </c>
      <c r="R19" s="51" t="str">
        <f t="shared" si="7"/>
        <v>15</v>
      </c>
      <c r="S19" s="74">
        <v>5761</v>
      </c>
      <c r="T19" s="75" t="s">
        <v>520</v>
      </c>
      <c r="U19" s="51"/>
      <c r="V19" s="51">
        <v>3225</v>
      </c>
      <c r="W19" s="51" t="s">
        <v>687</v>
      </c>
      <c r="X19" s="51"/>
      <c r="Y19" s="82" t="str">
        <f t="shared" si="8"/>
        <v>32</v>
      </c>
      <c r="Z19" s="51" t="str">
        <f t="shared" si="9"/>
        <v>322</v>
      </c>
      <c r="AA19" s="51"/>
      <c r="AB19" s="69" t="s">
        <v>688</v>
      </c>
      <c r="AC19" s="69" t="s">
        <v>689</v>
      </c>
      <c r="AD19" s="51" t="s">
        <v>648</v>
      </c>
      <c r="AE19" s="51" t="s">
        <v>649</v>
      </c>
      <c r="AF19" s="51" t="s">
        <v>636</v>
      </c>
      <c r="AG19" s="51" t="s">
        <v>650</v>
      </c>
    </row>
    <row r="20" spans="1:33">
      <c r="A20" s="62" t="str">
        <f>IF(C20="","",VLOOKUP('OPĆI DIO'!$C$3,'OPĆI DIO'!$L$6:$U$120,10,FALSE))</f>
        <v>08008</v>
      </c>
      <c r="B20" s="62" t="str">
        <f>IF(C20="","",VLOOKUP('OPĆI DIO'!$C$3,'OPĆI DIO'!$L$6:$U$120,9,FALSE))</f>
        <v>Javni instituti</v>
      </c>
      <c r="C20" s="84">
        <v>11</v>
      </c>
      <c r="D20" s="79" t="str">
        <f t="shared" si="0"/>
        <v>Opći prihodi i primici</v>
      </c>
      <c r="E20" s="84">
        <v>3231</v>
      </c>
      <c r="F20" s="79" t="str">
        <f t="shared" si="1"/>
        <v>Usluge telefona, pošte i prijevoza</v>
      </c>
      <c r="G20" s="84" t="s">
        <v>654</v>
      </c>
      <c r="H20" s="79" t="str">
        <f t="shared" si="2"/>
        <v>PROGRAMSKO FINANCIRANJE JAVNIH ZNANSTVENIH INSTITUTA</v>
      </c>
      <c r="I20" s="79" t="str">
        <f t="shared" si="3"/>
        <v>0150</v>
      </c>
      <c r="J20" s="279">
        <v>12441</v>
      </c>
      <c r="K20" s="279">
        <v>11597</v>
      </c>
      <c r="L20" s="279">
        <v>11958</v>
      </c>
      <c r="M20" s="68"/>
      <c r="N20" s="51"/>
      <c r="O20" s="51" t="str">
        <f t="shared" si="4"/>
        <v>323</v>
      </c>
      <c r="P20" s="51" t="str">
        <f t="shared" si="5"/>
        <v>32</v>
      </c>
      <c r="Q20" s="51" t="str">
        <f t="shared" si="6"/>
        <v>11</v>
      </c>
      <c r="R20" s="51" t="str">
        <f t="shared" si="7"/>
        <v>15</v>
      </c>
      <c r="S20" s="74">
        <v>5762</v>
      </c>
      <c r="T20" s="75" t="s">
        <v>520</v>
      </c>
      <c r="U20" s="51"/>
      <c r="V20" s="51">
        <v>3226</v>
      </c>
      <c r="W20" s="51" t="s">
        <v>690</v>
      </c>
      <c r="X20" s="51"/>
      <c r="Y20" s="82" t="str">
        <f t="shared" si="8"/>
        <v>32</v>
      </c>
      <c r="Z20" s="51" t="str">
        <f t="shared" si="9"/>
        <v>322</v>
      </c>
      <c r="AA20" s="51"/>
      <c r="AB20" s="69" t="s">
        <v>691</v>
      </c>
      <c r="AC20" s="69" t="s">
        <v>692</v>
      </c>
      <c r="AD20" s="51" t="s">
        <v>648</v>
      </c>
      <c r="AE20" s="51" t="s">
        <v>649</v>
      </c>
      <c r="AF20" s="51" t="s">
        <v>636</v>
      </c>
      <c r="AG20" s="51" t="s">
        <v>650</v>
      </c>
    </row>
    <row r="21" spans="1:33" ht="15.75" customHeight="1">
      <c r="A21" s="62" t="str">
        <f>IF(C21="","",VLOOKUP('OPĆI DIO'!$C$3,'OPĆI DIO'!$L$6:$U$120,10,FALSE))</f>
        <v>08008</v>
      </c>
      <c r="B21" s="62" t="str">
        <f>IF(C21="","",VLOOKUP('OPĆI DIO'!$C$3,'OPĆI DIO'!$L$6:$U$120,9,FALSE))</f>
        <v>Javni instituti</v>
      </c>
      <c r="C21" s="84">
        <v>11</v>
      </c>
      <c r="D21" s="79" t="str">
        <f t="shared" si="0"/>
        <v>Opći prihodi i primici</v>
      </c>
      <c r="E21" s="84">
        <v>3232</v>
      </c>
      <c r="F21" s="79" t="str">
        <f t="shared" si="1"/>
        <v>Usluge tekućeg i investicijskog održavanja</v>
      </c>
      <c r="G21" s="84" t="s">
        <v>654</v>
      </c>
      <c r="H21" s="79" t="str">
        <f t="shared" si="2"/>
        <v>PROGRAMSKO FINANCIRANJE JAVNIH ZNANSTVENIH INSTITUTA</v>
      </c>
      <c r="I21" s="79" t="str">
        <f t="shared" si="3"/>
        <v>0150</v>
      </c>
      <c r="J21" s="279">
        <v>366496</v>
      </c>
      <c r="K21" s="279">
        <v>459246</v>
      </c>
      <c r="L21" s="279">
        <v>376446</v>
      </c>
      <c r="M21" s="68"/>
      <c r="N21" s="51"/>
      <c r="O21" s="51" t="str">
        <f t="shared" si="4"/>
        <v>323</v>
      </c>
      <c r="P21" s="51" t="str">
        <f t="shared" si="5"/>
        <v>32</v>
      </c>
      <c r="Q21" s="51" t="str">
        <f t="shared" si="6"/>
        <v>11</v>
      </c>
      <c r="R21" s="51" t="str">
        <f t="shared" si="7"/>
        <v>15</v>
      </c>
      <c r="S21" s="75">
        <v>581</v>
      </c>
      <c r="T21" s="86" t="s">
        <v>522</v>
      </c>
      <c r="U21" s="51"/>
      <c r="V21" s="51">
        <v>3227</v>
      </c>
      <c r="W21" s="51" t="s">
        <v>693</v>
      </c>
      <c r="X21" s="51"/>
      <c r="Y21" s="82" t="str">
        <f t="shared" si="8"/>
        <v>32</v>
      </c>
      <c r="Z21" s="51" t="str">
        <f t="shared" si="9"/>
        <v>322</v>
      </c>
      <c r="AA21" s="51"/>
      <c r="AB21" s="69" t="s">
        <v>694</v>
      </c>
      <c r="AC21" s="69" t="s">
        <v>695</v>
      </c>
      <c r="AD21" s="51" t="s">
        <v>634</v>
      </c>
      <c r="AE21" s="51" t="s">
        <v>635</v>
      </c>
      <c r="AF21" s="51" t="s">
        <v>636</v>
      </c>
      <c r="AG21" s="51" t="s">
        <v>637</v>
      </c>
    </row>
    <row r="22" spans="1:33" ht="15.75" customHeight="1">
      <c r="A22" s="62" t="str">
        <f>IF(C22="","",VLOOKUP('OPĆI DIO'!$C$3,'OPĆI DIO'!$L$6:$U$120,10,FALSE))</f>
        <v>08008</v>
      </c>
      <c r="B22" s="62" t="str">
        <f>IF(C22="","",VLOOKUP('OPĆI DIO'!$C$3,'OPĆI DIO'!$L$6:$U$120,9,FALSE))</f>
        <v>Javni instituti</v>
      </c>
      <c r="C22" s="84">
        <v>11</v>
      </c>
      <c r="D22" s="79" t="str">
        <f t="shared" si="0"/>
        <v>Opći prihodi i primici</v>
      </c>
      <c r="E22" s="84">
        <v>3233</v>
      </c>
      <c r="F22" s="79" t="str">
        <f t="shared" si="1"/>
        <v>Usluge promidžbe i informiranja</v>
      </c>
      <c r="G22" s="84" t="s">
        <v>654</v>
      </c>
      <c r="H22" s="79" t="str">
        <f t="shared" si="2"/>
        <v>PROGRAMSKO FINANCIRANJE JAVNIH ZNANSTVENIH INSTITUTA</v>
      </c>
      <c r="I22" s="79" t="str">
        <f t="shared" si="3"/>
        <v>0150</v>
      </c>
      <c r="J22" s="279">
        <v>31778</v>
      </c>
      <c r="K22" s="279">
        <v>26001</v>
      </c>
      <c r="L22" s="279">
        <v>26659</v>
      </c>
      <c r="M22" s="68"/>
      <c r="N22" s="51"/>
      <c r="O22" s="51" t="str">
        <f t="shared" si="4"/>
        <v>323</v>
      </c>
      <c r="P22" s="51" t="str">
        <f t="shared" si="5"/>
        <v>32</v>
      </c>
      <c r="Q22" s="51" t="str">
        <f t="shared" si="6"/>
        <v>11</v>
      </c>
      <c r="R22" s="51" t="str">
        <f t="shared" si="7"/>
        <v>15</v>
      </c>
      <c r="S22" s="51">
        <v>61</v>
      </c>
      <c r="T22" s="51" t="s">
        <v>524</v>
      </c>
      <c r="U22" s="51"/>
      <c r="V22" s="51">
        <v>3231</v>
      </c>
      <c r="W22" s="51" t="s">
        <v>696</v>
      </c>
      <c r="X22" s="51"/>
      <c r="Y22" s="82" t="str">
        <f t="shared" si="8"/>
        <v>32</v>
      </c>
      <c r="Z22" s="51" t="str">
        <f t="shared" si="9"/>
        <v>323</v>
      </c>
      <c r="AA22" s="51"/>
      <c r="AB22" s="69" t="s">
        <v>697</v>
      </c>
      <c r="AC22" s="69" t="s">
        <v>698</v>
      </c>
      <c r="AD22" s="51" t="s">
        <v>648</v>
      </c>
      <c r="AE22" s="51" t="s">
        <v>649</v>
      </c>
      <c r="AF22" s="51" t="s">
        <v>636</v>
      </c>
      <c r="AG22" s="51" t="s">
        <v>650</v>
      </c>
    </row>
    <row r="23" spans="1:33" ht="15.75" customHeight="1">
      <c r="A23" s="62" t="str">
        <f>IF(C23="","",VLOOKUP('OPĆI DIO'!$C$3,'OPĆI DIO'!$L$6:$U$120,10,FALSE))</f>
        <v>08008</v>
      </c>
      <c r="B23" s="62" t="str">
        <f>IF(C23="","",VLOOKUP('OPĆI DIO'!$C$3,'OPĆI DIO'!$L$6:$U$120,9,FALSE))</f>
        <v>Javni instituti</v>
      </c>
      <c r="C23" s="84">
        <v>11</v>
      </c>
      <c r="D23" s="79" t="str">
        <f t="shared" si="0"/>
        <v>Opći prihodi i primici</v>
      </c>
      <c r="E23" s="84">
        <v>3234</v>
      </c>
      <c r="F23" s="79" t="str">
        <f t="shared" si="1"/>
        <v>Komunalne usluge</v>
      </c>
      <c r="G23" s="84" t="s">
        <v>654</v>
      </c>
      <c r="H23" s="79" t="str">
        <f t="shared" si="2"/>
        <v>PROGRAMSKO FINANCIRANJE JAVNIH ZNANSTVENIH INSTITUTA</v>
      </c>
      <c r="I23" s="79" t="str">
        <f t="shared" si="3"/>
        <v>0150</v>
      </c>
      <c r="J23" s="279">
        <v>218505</v>
      </c>
      <c r="K23" s="279">
        <v>203671</v>
      </c>
      <c r="L23" s="279">
        <v>210019</v>
      </c>
      <c r="M23" s="68"/>
      <c r="N23" s="51"/>
      <c r="O23" s="51" t="str">
        <f t="shared" si="4"/>
        <v>323</v>
      </c>
      <c r="P23" s="51" t="str">
        <f t="shared" si="5"/>
        <v>32</v>
      </c>
      <c r="Q23" s="51" t="str">
        <f t="shared" si="6"/>
        <v>11</v>
      </c>
      <c r="R23" s="51" t="str">
        <f t="shared" si="7"/>
        <v>15</v>
      </c>
      <c r="S23" s="51">
        <v>71</v>
      </c>
      <c r="T23" s="51" t="s">
        <v>528</v>
      </c>
      <c r="U23" s="51"/>
      <c r="V23" s="51">
        <v>3232</v>
      </c>
      <c r="W23" s="51" t="s">
        <v>699</v>
      </c>
      <c r="X23" s="51"/>
      <c r="Y23" s="82" t="str">
        <f t="shared" si="8"/>
        <v>32</v>
      </c>
      <c r="Z23" s="51" t="str">
        <f t="shared" si="9"/>
        <v>323</v>
      </c>
      <c r="AA23" s="51"/>
      <c r="AB23" s="69" t="s">
        <v>700</v>
      </c>
      <c r="AC23" s="69" t="s">
        <v>701</v>
      </c>
      <c r="AD23" s="51" t="s">
        <v>656</v>
      </c>
      <c r="AE23" s="51" t="s">
        <v>657</v>
      </c>
      <c r="AF23" s="51" t="s">
        <v>636</v>
      </c>
      <c r="AG23" s="51" t="s">
        <v>658</v>
      </c>
    </row>
    <row r="24" spans="1:33" ht="15.75" customHeight="1">
      <c r="A24" s="62" t="str">
        <f>IF(C24="","",VLOOKUP('OPĆI DIO'!$C$3,'OPĆI DIO'!$L$6:$U$120,10,FALSE))</f>
        <v>08008</v>
      </c>
      <c r="B24" s="62" t="str">
        <f>IF(C24="","",VLOOKUP('OPĆI DIO'!$C$3,'OPĆI DIO'!$L$6:$U$120,9,FALSE))</f>
        <v>Javni instituti</v>
      </c>
      <c r="C24" s="84">
        <v>11</v>
      </c>
      <c r="D24" s="79" t="str">
        <f t="shared" si="0"/>
        <v>Opći prihodi i primici</v>
      </c>
      <c r="E24" s="84">
        <v>3235</v>
      </c>
      <c r="F24" s="79" t="str">
        <f t="shared" si="1"/>
        <v>Zakupnine i najamnine</v>
      </c>
      <c r="G24" s="84" t="s">
        <v>654</v>
      </c>
      <c r="H24" s="79" t="str">
        <f t="shared" si="2"/>
        <v>PROGRAMSKO FINANCIRANJE JAVNIH ZNANSTVENIH INSTITUTA</v>
      </c>
      <c r="I24" s="79" t="str">
        <f t="shared" si="3"/>
        <v>0150</v>
      </c>
      <c r="J24" s="279">
        <v>2244</v>
      </c>
      <c r="K24" s="279">
        <v>2092</v>
      </c>
      <c r="L24" s="279">
        <v>2157</v>
      </c>
      <c r="M24" s="68"/>
      <c r="N24" s="51"/>
      <c r="O24" s="51" t="str">
        <f t="shared" si="4"/>
        <v>323</v>
      </c>
      <c r="P24" s="51" t="str">
        <f t="shared" si="5"/>
        <v>32</v>
      </c>
      <c r="Q24" s="51" t="str">
        <f t="shared" si="6"/>
        <v>11</v>
      </c>
      <c r="R24" s="51" t="str">
        <f t="shared" si="7"/>
        <v>15</v>
      </c>
      <c r="S24" s="51">
        <v>81</v>
      </c>
      <c r="T24" s="51" t="s">
        <v>531</v>
      </c>
      <c r="U24" s="51"/>
      <c r="V24" s="51">
        <v>3233</v>
      </c>
      <c r="W24" s="51" t="s">
        <v>702</v>
      </c>
      <c r="X24" s="51"/>
      <c r="Y24" s="82" t="str">
        <f t="shared" si="8"/>
        <v>32</v>
      </c>
      <c r="Z24" s="51" t="str">
        <f t="shared" si="9"/>
        <v>323</v>
      </c>
      <c r="AA24" s="51"/>
      <c r="AB24" s="69" t="s">
        <v>703</v>
      </c>
      <c r="AC24" s="69" t="s">
        <v>704</v>
      </c>
      <c r="AD24" s="51" t="s">
        <v>705</v>
      </c>
      <c r="AE24" s="51" t="s">
        <v>706</v>
      </c>
      <c r="AF24" s="51" t="s">
        <v>636</v>
      </c>
      <c r="AG24" s="51" t="s">
        <v>637</v>
      </c>
    </row>
    <row r="25" spans="1:33" ht="15.75" customHeight="1">
      <c r="A25" s="62" t="str">
        <f>IF(C25="","",VLOOKUP('OPĆI DIO'!$C$3,'OPĆI DIO'!$L$6:$U$120,10,FALSE))</f>
        <v>08008</v>
      </c>
      <c r="B25" s="62" t="str">
        <f>IF(C25="","",VLOOKUP('OPĆI DIO'!$C$3,'OPĆI DIO'!$L$6:$U$120,9,FALSE))</f>
        <v>Javni instituti</v>
      </c>
      <c r="C25" s="84">
        <v>11</v>
      </c>
      <c r="D25" s="79" t="str">
        <f t="shared" si="0"/>
        <v>Opći prihodi i primici</v>
      </c>
      <c r="E25" s="84">
        <v>3236</v>
      </c>
      <c r="F25" s="79" t="str">
        <f t="shared" si="1"/>
        <v>Zdravstvene i veterinarske usluge</v>
      </c>
      <c r="G25" s="84" t="s">
        <v>654</v>
      </c>
      <c r="H25" s="79" t="str">
        <f t="shared" si="2"/>
        <v>PROGRAMSKO FINANCIRANJE JAVNIH ZNANSTVENIH INSTITUTA</v>
      </c>
      <c r="I25" s="79" t="str">
        <f t="shared" si="3"/>
        <v>0150</v>
      </c>
      <c r="J25" s="279">
        <v>25253</v>
      </c>
      <c r="K25" s="279">
        <v>23539</v>
      </c>
      <c r="L25" s="279">
        <v>24272</v>
      </c>
      <c r="M25" s="68"/>
      <c r="N25" s="51"/>
      <c r="O25" s="51" t="str">
        <f t="shared" si="4"/>
        <v>323</v>
      </c>
      <c r="P25" s="51" t="str">
        <f t="shared" si="5"/>
        <v>32</v>
      </c>
      <c r="Q25" s="51" t="str">
        <f t="shared" si="6"/>
        <v>11</v>
      </c>
      <c r="R25" s="51" t="str">
        <f t="shared" si="7"/>
        <v>15</v>
      </c>
      <c r="S25" s="51"/>
      <c r="T25" s="51"/>
      <c r="U25" s="51"/>
      <c r="V25" s="51">
        <v>3234</v>
      </c>
      <c r="W25" s="51" t="s">
        <v>707</v>
      </c>
      <c r="X25" s="51"/>
      <c r="Y25" s="82" t="str">
        <f t="shared" si="8"/>
        <v>32</v>
      </c>
      <c r="Z25" s="51" t="str">
        <f t="shared" si="9"/>
        <v>323</v>
      </c>
      <c r="AA25" s="51"/>
      <c r="AB25" s="69" t="s">
        <v>708</v>
      </c>
      <c r="AC25" s="69" t="s">
        <v>709</v>
      </c>
      <c r="AD25" s="51" t="s">
        <v>705</v>
      </c>
      <c r="AE25" s="51" t="s">
        <v>706</v>
      </c>
      <c r="AF25" s="51" t="s">
        <v>636</v>
      </c>
      <c r="AG25" s="51" t="s">
        <v>637</v>
      </c>
    </row>
    <row r="26" spans="1:33" ht="15.75" customHeight="1">
      <c r="A26" s="62" t="str">
        <f>IF(C26="","",VLOOKUP('OPĆI DIO'!$C$3,'OPĆI DIO'!$L$6:$U$120,10,FALSE))</f>
        <v>08008</v>
      </c>
      <c r="B26" s="62" t="str">
        <f>IF(C26="","",VLOOKUP('OPĆI DIO'!$C$3,'OPĆI DIO'!$L$6:$U$120,9,FALSE))</f>
        <v>Javni instituti</v>
      </c>
      <c r="C26" s="84">
        <v>11</v>
      </c>
      <c r="D26" s="79" t="str">
        <f t="shared" si="0"/>
        <v>Opći prihodi i primici</v>
      </c>
      <c r="E26" s="84">
        <v>3237</v>
      </c>
      <c r="F26" s="79" t="str">
        <f t="shared" si="1"/>
        <v>Intelektualne i osobne usluge</v>
      </c>
      <c r="G26" s="84" t="s">
        <v>654</v>
      </c>
      <c r="H26" s="79" t="str">
        <f t="shared" si="2"/>
        <v>PROGRAMSKO FINANCIRANJE JAVNIH ZNANSTVENIH INSTITUTA</v>
      </c>
      <c r="I26" s="79" t="str">
        <f t="shared" si="3"/>
        <v>0150</v>
      </c>
      <c r="J26" s="279">
        <v>40474</v>
      </c>
      <c r="K26" s="279">
        <v>37727</v>
      </c>
      <c r="L26" s="279">
        <v>38902</v>
      </c>
      <c r="M26" s="68"/>
      <c r="N26" s="51"/>
      <c r="O26" s="51" t="str">
        <f t="shared" si="4"/>
        <v>323</v>
      </c>
      <c r="P26" s="51" t="str">
        <f t="shared" si="5"/>
        <v>32</v>
      </c>
      <c r="Q26" s="51" t="str">
        <f t="shared" si="6"/>
        <v>11</v>
      </c>
      <c r="R26" s="51" t="str">
        <f t="shared" si="7"/>
        <v>15</v>
      </c>
      <c r="S26" s="51"/>
      <c r="T26" s="51"/>
      <c r="U26" s="51"/>
      <c r="V26" s="51">
        <v>3235</v>
      </c>
      <c r="W26" s="51" t="s">
        <v>710</v>
      </c>
      <c r="X26" s="51"/>
      <c r="Y26" s="82" t="str">
        <f t="shared" si="8"/>
        <v>32</v>
      </c>
      <c r="Z26" s="51" t="str">
        <f t="shared" si="9"/>
        <v>323</v>
      </c>
      <c r="AA26" s="51"/>
      <c r="AB26" s="69" t="s">
        <v>711</v>
      </c>
      <c r="AC26" s="69" t="s">
        <v>712</v>
      </c>
      <c r="AD26" s="51" t="s">
        <v>705</v>
      </c>
      <c r="AE26" s="51" t="s">
        <v>706</v>
      </c>
      <c r="AF26" s="51" t="s">
        <v>636</v>
      </c>
      <c r="AG26" s="51" t="s">
        <v>637</v>
      </c>
    </row>
    <row r="27" spans="1:33" ht="15.75" customHeight="1">
      <c r="A27" s="62" t="str">
        <f>IF(C27="","",VLOOKUP('OPĆI DIO'!$C$3,'OPĆI DIO'!$L$6:$U$120,10,FALSE))</f>
        <v>08008</v>
      </c>
      <c r="B27" s="62" t="str">
        <f>IF(C27="","",VLOOKUP('OPĆI DIO'!$C$3,'OPĆI DIO'!$L$6:$U$120,9,FALSE))</f>
        <v>Javni instituti</v>
      </c>
      <c r="C27" s="84">
        <v>11</v>
      </c>
      <c r="D27" s="79" t="str">
        <f t="shared" si="0"/>
        <v>Opći prihodi i primici</v>
      </c>
      <c r="E27" s="84">
        <v>3238</v>
      </c>
      <c r="F27" s="79" t="str">
        <f t="shared" si="1"/>
        <v>Računalne usluge</v>
      </c>
      <c r="G27" s="84" t="s">
        <v>654</v>
      </c>
      <c r="H27" s="79" t="str">
        <f t="shared" si="2"/>
        <v>PROGRAMSKO FINANCIRANJE JAVNIH ZNANSTVENIH INSTITUTA</v>
      </c>
      <c r="I27" s="79" t="str">
        <f t="shared" si="3"/>
        <v>0150</v>
      </c>
      <c r="J27" s="279">
        <v>101011</v>
      </c>
      <c r="K27" s="279">
        <v>94153</v>
      </c>
      <c r="L27" s="279">
        <v>97088</v>
      </c>
      <c r="M27" s="68"/>
      <c r="N27" s="51"/>
      <c r="O27" s="51" t="str">
        <f t="shared" si="4"/>
        <v>323</v>
      </c>
      <c r="P27" s="51" t="str">
        <f t="shared" si="5"/>
        <v>32</v>
      </c>
      <c r="Q27" s="51" t="str">
        <f t="shared" si="6"/>
        <v>11</v>
      </c>
      <c r="R27" s="51" t="str">
        <f t="shared" si="7"/>
        <v>15</v>
      </c>
      <c r="S27" s="51"/>
      <c r="T27" s="51"/>
      <c r="U27" s="51"/>
      <c r="V27" s="51">
        <v>3236</v>
      </c>
      <c r="W27" s="51" t="s">
        <v>713</v>
      </c>
      <c r="X27" s="51"/>
      <c r="Y27" s="82" t="str">
        <f t="shared" si="8"/>
        <v>32</v>
      </c>
      <c r="Z27" s="51" t="str">
        <f t="shared" si="9"/>
        <v>323</v>
      </c>
      <c r="AA27" s="51"/>
      <c r="AB27" s="69" t="s">
        <v>714</v>
      </c>
      <c r="AC27" s="69" t="s">
        <v>715</v>
      </c>
      <c r="AD27" s="51" t="s">
        <v>705</v>
      </c>
      <c r="AE27" s="51" t="s">
        <v>706</v>
      </c>
      <c r="AF27" s="51" t="s">
        <v>636</v>
      </c>
      <c r="AG27" s="51" t="s">
        <v>637</v>
      </c>
    </row>
    <row r="28" spans="1:33" ht="15.75" customHeight="1">
      <c r="A28" s="62" t="str">
        <f>IF(C28="","",VLOOKUP('OPĆI DIO'!$C$3,'OPĆI DIO'!$L$6:$U$120,10,FALSE))</f>
        <v>08008</v>
      </c>
      <c r="B28" s="62" t="str">
        <f>IF(C28="","",VLOOKUP('OPĆI DIO'!$C$3,'OPĆI DIO'!$L$6:$U$120,9,FALSE))</f>
        <v>Javni instituti</v>
      </c>
      <c r="C28" s="84">
        <v>11</v>
      </c>
      <c r="D28" s="79" t="str">
        <f t="shared" si="0"/>
        <v>Opći prihodi i primici</v>
      </c>
      <c r="E28" s="84">
        <v>3239</v>
      </c>
      <c r="F28" s="79" t="str">
        <f t="shared" si="1"/>
        <v>Ostale usluge</v>
      </c>
      <c r="G28" s="84" t="s">
        <v>654</v>
      </c>
      <c r="H28" s="79" t="str">
        <f t="shared" si="2"/>
        <v>PROGRAMSKO FINANCIRANJE JAVNIH ZNANSTVENIH INSTITUTA</v>
      </c>
      <c r="I28" s="79" t="str">
        <f t="shared" si="3"/>
        <v>0150</v>
      </c>
      <c r="J28" s="279">
        <v>12486</v>
      </c>
      <c r="K28" s="279">
        <v>11638</v>
      </c>
      <c r="L28" s="279">
        <v>12001</v>
      </c>
      <c r="M28" s="68"/>
      <c r="N28" s="51"/>
      <c r="O28" s="51" t="str">
        <f t="shared" si="4"/>
        <v>323</v>
      </c>
      <c r="P28" s="51" t="str">
        <f t="shared" si="5"/>
        <v>32</v>
      </c>
      <c r="Q28" s="51" t="str">
        <f t="shared" si="6"/>
        <v>11</v>
      </c>
      <c r="R28" s="51" t="str">
        <f t="shared" si="7"/>
        <v>15</v>
      </c>
      <c r="S28" s="51"/>
      <c r="T28" s="51"/>
      <c r="U28" s="51"/>
      <c r="V28" s="51">
        <v>3237</v>
      </c>
      <c r="W28" s="51" t="s">
        <v>716</v>
      </c>
      <c r="X28" s="51"/>
      <c r="Y28" s="82" t="str">
        <f t="shared" si="8"/>
        <v>32</v>
      </c>
      <c r="Z28" s="51" t="str">
        <f t="shared" si="9"/>
        <v>323</v>
      </c>
      <c r="AA28" s="51"/>
      <c r="AB28" s="69" t="s">
        <v>717</v>
      </c>
      <c r="AC28" s="69" t="s">
        <v>718</v>
      </c>
      <c r="AD28" s="51" t="s">
        <v>648</v>
      </c>
      <c r="AE28" s="51" t="s">
        <v>649</v>
      </c>
      <c r="AF28" s="51" t="s">
        <v>636</v>
      </c>
      <c r="AG28" s="51" t="s">
        <v>650</v>
      </c>
    </row>
    <row r="29" spans="1:33" ht="15.75" customHeight="1">
      <c r="A29" s="62" t="str">
        <f>IF(C29="","",VLOOKUP('OPĆI DIO'!$C$3,'OPĆI DIO'!$L$6:$U$120,10,FALSE))</f>
        <v>08008</v>
      </c>
      <c r="B29" s="62" t="str">
        <f>IF(C29="","",VLOOKUP('OPĆI DIO'!$C$3,'OPĆI DIO'!$L$6:$U$120,9,FALSE))</f>
        <v>Javni instituti</v>
      </c>
      <c r="C29" s="84">
        <v>11</v>
      </c>
      <c r="D29" s="79" t="str">
        <f t="shared" si="0"/>
        <v>Opći prihodi i primici</v>
      </c>
      <c r="E29" s="84">
        <v>3241</v>
      </c>
      <c r="F29" s="79" t="str">
        <f t="shared" si="1"/>
        <v>Naknade troškova osobama izvan radnog odnosa</v>
      </c>
      <c r="G29" s="84" t="s">
        <v>654</v>
      </c>
      <c r="H29" s="79" t="str">
        <f t="shared" si="2"/>
        <v>PROGRAMSKO FINANCIRANJE JAVNIH ZNANSTVENIH INSTITUTA</v>
      </c>
      <c r="I29" s="79" t="str">
        <f t="shared" si="3"/>
        <v>0150</v>
      </c>
      <c r="J29" s="279">
        <v>23969</v>
      </c>
      <c r="K29" s="279">
        <v>13045</v>
      </c>
      <c r="L29" s="279">
        <v>13060</v>
      </c>
      <c r="M29" s="68"/>
      <c r="N29" s="51"/>
      <c r="O29" s="51" t="str">
        <f t="shared" si="4"/>
        <v>324</v>
      </c>
      <c r="P29" s="51" t="str">
        <f t="shared" si="5"/>
        <v>32</v>
      </c>
      <c r="Q29" s="51" t="str">
        <f t="shared" si="6"/>
        <v>11</v>
      </c>
      <c r="R29" s="51" t="str">
        <f t="shared" si="7"/>
        <v>15</v>
      </c>
      <c r="S29" s="51"/>
      <c r="T29" s="51"/>
      <c r="U29" s="51"/>
      <c r="V29" s="51">
        <v>3238</v>
      </c>
      <c r="W29" s="51" t="s">
        <v>719</v>
      </c>
      <c r="X29" s="51"/>
      <c r="Y29" s="82" t="str">
        <f t="shared" si="8"/>
        <v>32</v>
      </c>
      <c r="Z29" s="51" t="str">
        <f t="shared" si="9"/>
        <v>323</v>
      </c>
      <c r="AA29" s="51"/>
      <c r="AB29" s="69" t="s">
        <v>720</v>
      </c>
      <c r="AC29" s="69" t="s">
        <v>721</v>
      </c>
      <c r="AD29" s="51" t="s">
        <v>656</v>
      </c>
      <c r="AE29" s="51" t="s">
        <v>657</v>
      </c>
      <c r="AF29" s="51" t="s">
        <v>636</v>
      </c>
      <c r="AG29" s="51" t="s">
        <v>658</v>
      </c>
    </row>
    <row r="30" spans="1:33" ht="15.75" customHeight="1">
      <c r="A30" s="62" t="str">
        <f>IF(C30="","",VLOOKUP('OPĆI DIO'!$C$3,'OPĆI DIO'!$L$6:$U$120,10,FALSE))</f>
        <v>08008</v>
      </c>
      <c r="B30" s="62" t="str">
        <f>IF(C30="","",VLOOKUP('OPĆI DIO'!$C$3,'OPĆI DIO'!$L$6:$U$120,9,FALSE))</f>
        <v>Javni instituti</v>
      </c>
      <c r="C30" s="84">
        <v>11</v>
      </c>
      <c r="D30" s="79" t="str">
        <f t="shared" si="0"/>
        <v>Opći prihodi i primici</v>
      </c>
      <c r="E30" s="84">
        <v>3291</v>
      </c>
      <c r="F30" s="79" t="str">
        <f t="shared" si="1"/>
        <v>Naknade za rad predstavničkih i izvršnih tijela, povjerensta</v>
      </c>
      <c r="G30" s="84" t="s">
        <v>654</v>
      </c>
      <c r="H30" s="79" t="str">
        <f t="shared" si="2"/>
        <v>PROGRAMSKO FINANCIRANJE JAVNIH ZNANSTVENIH INSTITUTA</v>
      </c>
      <c r="I30" s="79" t="str">
        <f t="shared" si="3"/>
        <v>0150</v>
      </c>
      <c r="J30" s="279">
        <v>4478</v>
      </c>
      <c r="K30" s="279">
        <v>4174</v>
      </c>
      <c r="L30" s="279">
        <v>4304</v>
      </c>
      <c r="M30" s="68"/>
      <c r="N30" s="51"/>
      <c r="O30" s="51" t="str">
        <f t="shared" si="4"/>
        <v>329</v>
      </c>
      <c r="P30" s="51" t="str">
        <f t="shared" si="5"/>
        <v>32</v>
      </c>
      <c r="Q30" s="51" t="str">
        <f t="shared" si="6"/>
        <v>11</v>
      </c>
      <c r="R30" s="51" t="str">
        <f t="shared" si="7"/>
        <v>15</v>
      </c>
      <c r="S30" s="51"/>
      <c r="T30" s="51"/>
      <c r="U30" s="51"/>
      <c r="V30" s="51">
        <v>3239</v>
      </c>
      <c r="W30" s="51" t="s">
        <v>722</v>
      </c>
      <c r="X30" s="51"/>
      <c r="Y30" s="82" t="str">
        <f t="shared" si="8"/>
        <v>32</v>
      </c>
      <c r="Z30" s="51" t="str">
        <f t="shared" si="9"/>
        <v>323</v>
      </c>
      <c r="AA30" s="51"/>
      <c r="AB30" s="69" t="s">
        <v>723</v>
      </c>
      <c r="AC30" s="69" t="s">
        <v>724</v>
      </c>
      <c r="AD30" s="51" t="s">
        <v>648</v>
      </c>
      <c r="AE30" s="51" t="s">
        <v>649</v>
      </c>
      <c r="AF30" s="51" t="s">
        <v>636</v>
      </c>
      <c r="AG30" s="51" t="s">
        <v>650</v>
      </c>
    </row>
    <row r="31" spans="1:33" ht="15.75" customHeight="1">
      <c r="A31" s="62" t="str">
        <f>IF(C31="","",VLOOKUP('OPĆI DIO'!$C$3,'OPĆI DIO'!$L$6:$U$120,10,FALSE))</f>
        <v>08008</v>
      </c>
      <c r="B31" s="62" t="str">
        <f>IF(C31="","",VLOOKUP('OPĆI DIO'!$C$3,'OPĆI DIO'!$L$6:$U$120,9,FALSE))</f>
        <v>Javni instituti</v>
      </c>
      <c r="C31" s="84">
        <v>11</v>
      </c>
      <c r="D31" s="79" t="str">
        <f t="shared" si="0"/>
        <v>Opći prihodi i primici</v>
      </c>
      <c r="E31" s="84">
        <v>3292</v>
      </c>
      <c r="F31" s="79" t="str">
        <f t="shared" si="1"/>
        <v>Premije osiguranja</v>
      </c>
      <c r="G31" s="84" t="s">
        <v>654</v>
      </c>
      <c r="H31" s="79" t="str">
        <f t="shared" si="2"/>
        <v>PROGRAMSKO FINANCIRANJE JAVNIH ZNANSTVENIH INSTITUTA</v>
      </c>
      <c r="I31" s="79" t="str">
        <f t="shared" si="3"/>
        <v>0150</v>
      </c>
      <c r="J31" s="279">
        <v>4989</v>
      </c>
      <c r="K31" s="279">
        <v>4650</v>
      </c>
      <c r="L31" s="279">
        <v>4795</v>
      </c>
      <c r="M31" s="68"/>
      <c r="N31" s="51"/>
      <c r="O31" s="51" t="str">
        <f t="shared" si="4"/>
        <v>329</v>
      </c>
      <c r="P31" s="51" t="str">
        <f t="shared" si="5"/>
        <v>32</v>
      </c>
      <c r="Q31" s="51" t="str">
        <f t="shared" si="6"/>
        <v>11</v>
      </c>
      <c r="R31" s="51" t="str">
        <f t="shared" si="7"/>
        <v>15</v>
      </c>
      <c r="S31" s="51"/>
      <c r="T31" s="51"/>
      <c r="U31" s="51"/>
      <c r="V31" s="51">
        <v>3241</v>
      </c>
      <c r="W31" s="51" t="s">
        <v>725</v>
      </c>
      <c r="X31" s="51"/>
      <c r="Y31" s="82" t="str">
        <f t="shared" si="8"/>
        <v>32</v>
      </c>
      <c r="Z31" s="51" t="str">
        <f t="shared" si="9"/>
        <v>324</v>
      </c>
      <c r="AA31" s="51"/>
      <c r="AB31" s="69" t="s">
        <v>726</v>
      </c>
      <c r="AC31" s="69" t="s">
        <v>727</v>
      </c>
      <c r="AD31" s="51" t="s">
        <v>641</v>
      </c>
      <c r="AE31" s="51" t="s">
        <v>642</v>
      </c>
      <c r="AF31" s="51" t="s">
        <v>643</v>
      </c>
      <c r="AG31" s="51" t="s">
        <v>644</v>
      </c>
    </row>
    <row r="32" spans="1:33" ht="15.75" customHeight="1">
      <c r="A32" s="62" t="str">
        <f>IF(C32="","",VLOOKUP('OPĆI DIO'!$C$3,'OPĆI DIO'!$L$6:$U$120,10,FALSE))</f>
        <v>08008</v>
      </c>
      <c r="B32" s="62" t="str">
        <f>IF(C32="","",VLOOKUP('OPĆI DIO'!$C$3,'OPĆI DIO'!$L$6:$U$120,9,FALSE))</f>
        <v>Javni instituti</v>
      </c>
      <c r="C32" s="84">
        <v>11</v>
      </c>
      <c r="D32" s="79" t="str">
        <f t="shared" si="0"/>
        <v>Opći prihodi i primici</v>
      </c>
      <c r="E32" s="84">
        <v>3293</v>
      </c>
      <c r="F32" s="79" t="str">
        <f t="shared" si="1"/>
        <v>Reprezentacija</v>
      </c>
      <c r="G32" s="84" t="s">
        <v>654</v>
      </c>
      <c r="H32" s="79" t="str">
        <f t="shared" si="2"/>
        <v>PROGRAMSKO FINANCIRANJE JAVNIH ZNANSTVENIH INSTITUTA</v>
      </c>
      <c r="I32" s="79" t="str">
        <f t="shared" si="3"/>
        <v>0150</v>
      </c>
      <c r="J32" s="279">
        <v>2124</v>
      </c>
      <c r="K32" s="279">
        <v>1980</v>
      </c>
      <c r="L32" s="279">
        <v>2042</v>
      </c>
      <c r="M32" s="68"/>
      <c r="N32" s="51"/>
      <c r="O32" s="51" t="str">
        <f t="shared" si="4"/>
        <v>329</v>
      </c>
      <c r="P32" s="51" t="str">
        <f t="shared" si="5"/>
        <v>32</v>
      </c>
      <c r="Q32" s="51" t="str">
        <f t="shared" si="6"/>
        <v>11</v>
      </c>
      <c r="R32" s="51" t="str">
        <f t="shared" si="7"/>
        <v>15</v>
      </c>
      <c r="S32" s="51"/>
      <c r="T32" s="51"/>
      <c r="U32" s="51"/>
      <c r="V32" s="51">
        <v>3291</v>
      </c>
      <c r="W32" s="51" t="s">
        <v>728</v>
      </c>
      <c r="X32" s="51"/>
      <c r="Y32" s="82" t="str">
        <f t="shared" si="8"/>
        <v>32</v>
      </c>
      <c r="Z32" s="51" t="str">
        <f t="shared" si="9"/>
        <v>329</v>
      </c>
      <c r="AA32" s="51"/>
      <c r="AB32" s="69" t="s">
        <v>729</v>
      </c>
      <c r="AC32" s="69" t="s">
        <v>730</v>
      </c>
      <c r="AD32" s="51" t="s">
        <v>641</v>
      </c>
      <c r="AE32" s="51" t="s">
        <v>642</v>
      </c>
      <c r="AF32" s="51" t="s">
        <v>643</v>
      </c>
      <c r="AG32" s="51" t="s">
        <v>644</v>
      </c>
    </row>
    <row r="33" spans="1:33" ht="15.75" customHeight="1">
      <c r="A33" s="62" t="str">
        <f>IF(C33="","",VLOOKUP('OPĆI DIO'!$C$3,'OPĆI DIO'!$L$6:$U$120,10,FALSE))</f>
        <v>08008</v>
      </c>
      <c r="B33" s="62" t="str">
        <f>IF(C33="","",VLOOKUP('OPĆI DIO'!$C$3,'OPĆI DIO'!$L$6:$U$120,9,FALSE))</f>
        <v>Javni instituti</v>
      </c>
      <c r="C33" s="84">
        <v>11</v>
      </c>
      <c r="D33" s="79" t="str">
        <f t="shared" si="0"/>
        <v>Opći prihodi i primici</v>
      </c>
      <c r="E33" s="84">
        <v>3294</v>
      </c>
      <c r="F33" s="79" t="str">
        <f t="shared" si="1"/>
        <v>Članarine i norme</v>
      </c>
      <c r="G33" s="84" t="s">
        <v>654</v>
      </c>
      <c r="H33" s="79" t="str">
        <f t="shared" si="2"/>
        <v>PROGRAMSKO FINANCIRANJE JAVNIH ZNANSTVENIH INSTITUTA</v>
      </c>
      <c r="I33" s="79" t="str">
        <f t="shared" si="3"/>
        <v>0150</v>
      </c>
      <c r="J33" s="279">
        <v>1445</v>
      </c>
      <c r="K33" s="279">
        <v>1348</v>
      </c>
      <c r="L33" s="279">
        <v>1390</v>
      </c>
      <c r="M33" s="68"/>
      <c r="N33" s="51"/>
      <c r="O33" s="51" t="str">
        <f t="shared" si="4"/>
        <v>329</v>
      </c>
      <c r="P33" s="51" t="str">
        <f t="shared" si="5"/>
        <v>32</v>
      </c>
      <c r="Q33" s="51" t="str">
        <f t="shared" si="6"/>
        <v>11</v>
      </c>
      <c r="R33" s="51" t="str">
        <f t="shared" si="7"/>
        <v>15</v>
      </c>
      <c r="S33" s="51"/>
      <c r="T33" s="51"/>
      <c r="U33" s="51"/>
      <c r="V33" s="51">
        <v>3292</v>
      </c>
      <c r="W33" s="51" t="s">
        <v>731</v>
      </c>
      <c r="X33" s="51"/>
      <c r="Y33" s="82" t="str">
        <f t="shared" si="8"/>
        <v>32</v>
      </c>
      <c r="Z33" s="51" t="str">
        <f t="shared" si="9"/>
        <v>329</v>
      </c>
      <c r="AA33" s="51"/>
      <c r="AB33" s="69" t="s">
        <v>732</v>
      </c>
      <c r="AC33" s="69" t="s">
        <v>733</v>
      </c>
      <c r="AD33" s="51" t="s">
        <v>648</v>
      </c>
      <c r="AE33" s="51" t="s">
        <v>649</v>
      </c>
      <c r="AF33" s="51" t="s">
        <v>636</v>
      </c>
      <c r="AG33" s="51" t="s">
        <v>650</v>
      </c>
    </row>
    <row r="34" spans="1:33" ht="15.75" customHeight="1">
      <c r="A34" s="62" t="str">
        <f>IF(C34="","",VLOOKUP('OPĆI DIO'!$C$3,'OPĆI DIO'!$L$6:$U$120,10,FALSE))</f>
        <v>08008</v>
      </c>
      <c r="B34" s="62" t="str">
        <f>IF(C34="","",VLOOKUP('OPĆI DIO'!$C$3,'OPĆI DIO'!$L$6:$U$120,9,FALSE))</f>
        <v>Javni instituti</v>
      </c>
      <c r="C34" s="84">
        <v>11</v>
      </c>
      <c r="D34" s="79" t="str">
        <f t="shared" si="0"/>
        <v>Opći prihodi i primici</v>
      </c>
      <c r="E34" s="84">
        <v>3299</v>
      </c>
      <c r="F34" s="79" t="str">
        <f t="shared" si="1"/>
        <v>Ostali nespomenuti rashodi poslovanja</v>
      </c>
      <c r="G34" s="84" t="s">
        <v>654</v>
      </c>
      <c r="H34" s="79" t="str">
        <f t="shared" si="2"/>
        <v>PROGRAMSKO FINANCIRANJE JAVNIH ZNANSTVENIH INSTITUTA</v>
      </c>
      <c r="I34" s="79" t="str">
        <f t="shared" si="3"/>
        <v>0150</v>
      </c>
      <c r="J34" s="279">
        <v>5612</v>
      </c>
      <c r="K34" s="279">
        <v>5230</v>
      </c>
      <c r="L34" s="279">
        <v>5393</v>
      </c>
      <c r="M34" s="68"/>
      <c r="N34" s="51"/>
      <c r="O34" s="51" t="str">
        <f t="shared" si="4"/>
        <v>329</v>
      </c>
      <c r="P34" s="51" t="str">
        <f t="shared" si="5"/>
        <v>32</v>
      </c>
      <c r="Q34" s="51" t="str">
        <f t="shared" si="6"/>
        <v>11</v>
      </c>
      <c r="R34" s="51" t="str">
        <f t="shared" si="7"/>
        <v>15</v>
      </c>
      <c r="S34" s="51"/>
      <c r="T34" s="51"/>
      <c r="U34" s="51"/>
      <c r="V34" s="51">
        <v>3293</v>
      </c>
      <c r="W34" s="51" t="s">
        <v>734</v>
      </c>
      <c r="X34" s="51"/>
      <c r="Y34" s="82" t="str">
        <f t="shared" si="8"/>
        <v>32</v>
      </c>
      <c r="Z34" s="51" t="str">
        <f t="shared" si="9"/>
        <v>329</v>
      </c>
      <c r="AA34" s="51"/>
      <c r="AB34" s="69" t="s">
        <v>735</v>
      </c>
      <c r="AC34" s="69" t="s">
        <v>736</v>
      </c>
      <c r="AD34" s="51" t="s">
        <v>641</v>
      </c>
      <c r="AE34" s="51" t="s">
        <v>642</v>
      </c>
      <c r="AF34" s="51" t="s">
        <v>643</v>
      </c>
      <c r="AG34" s="51" t="s">
        <v>644</v>
      </c>
    </row>
    <row r="35" spans="1:33" ht="15.75" customHeight="1">
      <c r="A35" s="62" t="str">
        <f>IF(C35="","",VLOOKUP('OPĆI DIO'!$C$3,'OPĆI DIO'!$L$6:$U$120,10,FALSE))</f>
        <v>08008</v>
      </c>
      <c r="B35" s="62" t="str">
        <f>IF(C35="","",VLOOKUP('OPĆI DIO'!$C$3,'OPĆI DIO'!$L$6:$U$120,9,FALSE))</f>
        <v>Javni instituti</v>
      </c>
      <c r="C35" s="84">
        <v>11</v>
      </c>
      <c r="D35" s="79" t="str">
        <f t="shared" si="0"/>
        <v>Opći prihodi i primici</v>
      </c>
      <c r="E35" s="84">
        <v>3721</v>
      </c>
      <c r="F35" s="79" t="str">
        <f t="shared" si="1"/>
        <v>Naknade građanima i kućanstvima u novcu</v>
      </c>
      <c r="G35" s="84" t="s">
        <v>654</v>
      </c>
      <c r="H35" s="79" t="str">
        <f t="shared" ref="H35:H48" si="10">IFERROR(VLOOKUP(G35,$AB$6:$AC$332,2,FALSE),"")</f>
        <v>PROGRAMSKO FINANCIRANJE JAVNIH ZNANSTVENIH INSTITUTA</v>
      </c>
      <c r="I35" s="79" t="str">
        <f t="shared" ref="I35:I48" si="11">IFERROR(VLOOKUP(G35,$AB$6:$AF$332,3,FALSE),"")</f>
        <v>0150</v>
      </c>
      <c r="J35" s="279">
        <v>6549</v>
      </c>
      <c r="K35" s="279">
        <v>6549</v>
      </c>
      <c r="L35" s="279">
        <v>6549</v>
      </c>
      <c r="M35" s="68"/>
      <c r="N35" s="51"/>
      <c r="O35" s="51" t="str">
        <f t="shared" si="4"/>
        <v>372</v>
      </c>
      <c r="P35" s="51" t="str">
        <f t="shared" si="5"/>
        <v>37</v>
      </c>
      <c r="Q35" s="51" t="str">
        <f t="shared" si="6"/>
        <v>11</v>
      </c>
      <c r="R35" s="51" t="str">
        <f t="shared" si="7"/>
        <v>15</v>
      </c>
      <c r="S35" s="51"/>
      <c r="T35" s="51"/>
      <c r="U35" s="51"/>
      <c r="V35" s="51">
        <v>3293</v>
      </c>
      <c r="W35" s="51" t="s">
        <v>737</v>
      </c>
      <c r="X35" s="51"/>
      <c r="Y35" s="82" t="str">
        <f t="shared" si="8"/>
        <v>32</v>
      </c>
      <c r="Z35" s="51" t="str">
        <f t="shared" si="9"/>
        <v>329</v>
      </c>
      <c r="AA35" s="51"/>
      <c r="AB35" s="69" t="s">
        <v>738</v>
      </c>
      <c r="AC35" s="69" t="s">
        <v>739</v>
      </c>
      <c r="AD35" s="51" t="s">
        <v>648</v>
      </c>
      <c r="AE35" s="51" t="s">
        <v>649</v>
      </c>
      <c r="AF35" s="51" t="s">
        <v>636</v>
      </c>
      <c r="AG35" s="51" t="s">
        <v>650</v>
      </c>
    </row>
    <row r="36" spans="1:33" ht="15.75" customHeight="1">
      <c r="A36" s="62" t="str">
        <f>IF(C36="","",VLOOKUP('OPĆI DIO'!$C$3,'OPĆI DIO'!$L$6:$U$120,10,FALSE))</f>
        <v>08008</v>
      </c>
      <c r="B36" s="62" t="str">
        <f>IF(C36="","",VLOOKUP('OPĆI DIO'!$C$3,'OPĆI DIO'!$L$6:$U$120,9,FALSE))</f>
        <v>Javni instituti</v>
      </c>
      <c r="C36" s="84">
        <v>11</v>
      </c>
      <c r="D36" s="79" t="str">
        <f t="shared" si="0"/>
        <v>Opći prihodi i primici</v>
      </c>
      <c r="E36" s="84">
        <v>4221</v>
      </c>
      <c r="F36" s="79" t="str">
        <f t="shared" si="1"/>
        <v>Uredska oprema i namještaj</v>
      </c>
      <c r="G36" s="84" t="s">
        <v>654</v>
      </c>
      <c r="H36" s="79" t="str">
        <f t="shared" si="10"/>
        <v>PROGRAMSKO FINANCIRANJE JAVNIH ZNANSTVENIH INSTITUTA</v>
      </c>
      <c r="I36" s="79" t="str">
        <f t="shared" si="11"/>
        <v>0150</v>
      </c>
      <c r="J36" s="279">
        <v>64977</v>
      </c>
      <c r="K36" s="279">
        <v>61075</v>
      </c>
      <c r="L36" s="279">
        <v>62392</v>
      </c>
      <c r="M36" s="68"/>
      <c r="N36" s="51"/>
      <c r="O36" s="51" t="str">
        <f t="shared" si="4"/>
        <v>422</v>
      </c>
      <c r="P36" s="51" t="str">
        <f t="shared" si="5"/>
        <v>42</v>
      </c>
      <c r="Q36" s="51" t="str">
        <f t="shared" si="6"/>
        <v>11</v>
      </c>
      <c r="R36" s="51" t="str">
        <f t="shared" si="7"/>
        <v>15</v>
      </c>
      <c r="S36" s="51"/>
      <c r="T36" s="51"/>
      <c r="U36" s="51"/>
      <c r="V36" s="51">
        <v>3294</v>
      </c>
      <c r="W36" s="51" t="s">
        <v>740</v>
      </c>
      <c r="X36" s="51"/>
      <c r="Y36" s="82" t="str">
        <f t="shared" si="8"/>
        <v>32</v>
      </c>
      <c r="Z36" s="51" t="str">
        <f t="shared" si="9"/>
        <v>329</v>
      </c>
      <c r="AA36" s="51"/>
      <c r="AB36" s="69" t="s">
        <v>741</v>
      </c>
      <c r="AC36" s="69" t="s">
        <v>742</v>
      </c>
      <c r="AD36" s="51" t="s">
        <v>648</v>
      </c>
      <c r="AE36" s="51" t="s">
        <v>649</v>
      </c>
      <c r="AF36" s="51" t="s">
        <v>636</v>
      </c>
      <c r="AG36" s="51" t="s">
        <v>650</v>
      </c>
    </row>
    <row r="37" spans="1:33" ht="15.75" customHeight="1">
      <c r="A37" s="62" t="str">
        <f>IF(C37="","",VLOOKUP('OPĆI DIO'!$C$3,'OPĆI DIO'!$L$6:$U$120,10,FALSE))</f>
        <v>08008</v>
      </c>
      <c r="B37" s="62" t="str">
        <f>IF(C37="","",VLOOKUP('OPĆI DIO'!$C$3,'OPĆI DIO'!$L$6:$U$120,9,FALSE))</f>
        <v>Javni instituti</v>
      </c>
      <c r="C37" s="84">
        <v>11</v>
      </c>
      <c r="D37" s="79" t="str">
        <f t="shared" si="0"/>
        <v>Opći prihodi i primici</v>
      </c>
      <c r="E37" s="84">
        <v>4222</v>
      </c>
      <c r="F37" s="79" t="str">
        <f t="shared" si="1"/>
        <v>Komunikacijska oprema</v>
      </c>
      <c r="G37" s="84" t="s">
        <v>654</v>
      </c>
      <c r="H37" s="79" t="str">
        <f t="shared" si="10"/>
        <v>PROGRAMSKO FINANCIRANJE JAVNIH ZNANSTVENIH INSTITUTA</v>
      </c>
      <c r="I37" s="79" t="str">
        <f t="shared" si="11"/>
        <v>0150</v>
      </c>
      <c r="J37" s="279">
        <v>9331</v>
      </c>
      <c r="K37" s="279">
        <v>5121</v>
      </c>
      <c r="L37" s="279">
        <v>5079</v>
      </c>
      <c r="M37" s="68"/>
      <c r="N37" s="51"/>
      <c r="O37" s="51" t="str">
        <f t="shared" si="4"/>
        <v>422</v>
      </c>
      <c r="P37" s="51" t="str">
        <f t="shared" si="5"/>
        <v>42</v>
      </c>
      <c r="Q37" s="51" t="str">
        <f t="shared" si="6"/>
        <v>11</v>
      </c>
      <c r="R37" s="51" t="str">
        <f t="shared" si="7"/>
        <v>15</v>
      </c>
      <c r="S37" s="51"/>
      <c r="T37" s="51"/>
      <c r="U37" s="51"/>
      <c r="V37" s="51">
        <v>3295</v>
      </c>
      <c r="W37" s="51" t="s">
        <v>743</v>
      </c>
      <c r="X37" s="51"/>
      <c r="Y37" s="82" t="str">
        <f t="shared" si="8"/>
        <v>32</v>
      </c>
      <c r="Z37" s="51" t="str">
        <f t="shared" si="9"/>
        <v>329</v>
      </c>
      <c r="AA37" s="51"/>
      <c r="AB37" s="69" t="s">
        <v>744</v>
      </c>
      <c r="AC37" s="69" t="s">
        <v>745</v>
      </c>
      <c r="AD37" s="51" t="s">
        <v>648</v>
      </c>
      <c r="AE37" s="51" t="s">
        <v>649</v>
      </c>
      <c r="AF37" s="51" t="s">
        <v>636</v>
      </c>
      <c r="AG37" s="51" t="s">
        <v>650</v>
      </c>
    </row>
    <row r="38" spans="1:33" ht="15.75" customHeight="1">
      <c r="A38" s="62" t="str">
        <f>IF(C38="","",VLOOKUP('OPĆI DIO'!$C$3,'OPĆI DIO'!$L$6:$U$120,10,FALSE))</f>
        <v>08008</v>
      </c>
      <c r="B38" s="62" t="str">
        <f>IF(C38="","",VLOOKUP('OPĆI DIO'!$C$3,'OPĆI DIO'!$L$6:$U$120,9,FALSE))</f>
        <v>Javni instituti</v>
      </c>
      <c r="C38" s="84">
        <v>11</v>
      </c>
      <c r="D38" s="79" t="str">
        <f t="shared" si="0"/>
        <v>Opći prihodi i primici</v>
      </c>
      <c r="E38" s="84">
        <v>4223</v>
      </c>
      <c r="F38" s="79" t="str">
        <f t="shared" si="1"/>
        <v>Oprema za održavanje i zaštitu</v>
      </c>
      <c r="G38" s="84" t="s">
        <v>654</v>
      </c>
      <c r="H38" s="79" t="str">
        <f t="shared" si="10"/>
        <v>PROGRAMSKO FINANCIRANJE JAVNIH ZNANSTVENIH INSTITUTA</v>
      </c>
      <c r="I38" s="79" t="str">
        <f t="shared" si="11"/>
        <v>0150</v>
      </c>
      <c r="J38" s="279">
        <v>1082</v>
      </c>
      <c r="K38" s="279">
        <v>594</v>
      </c>
      <c r="L38" s="279">
        <v>589</v>
      </c>
      <c r="M38" s="68"/>
      <c r="N38" s="51"/>
      <c r="O38" s="51" t="str">
        <f t="shared" si="4"/>
        <v>422</v>
      </c>
      <c r="P38" s="51" t="str">
        <f t="shared" si="5"/>
        <v>42</v>
      </c>
      <c r="Q38" s="51" t="str">
        <f t="shared" si="6"/>
        <v>11</v>
      </c>
      <c r="R38" s="51" t="str">
        <f t="shared" si="7"/>
        <v>15</v>
      </c>
      <c r="S38" s="51"/>
      <c r="T38" s="51"/>
      <c r="U38" s="51"/>
      <c r="V38" s="51">
        <v>3296</v>
      </c>
      <c r="W38" s="51" t="s">
        <v>746</v>
      </c>
      <c r="X38" s="51"/>
      <c r="Y38" s="82" t="str">
        <f t="shared" si="8"/>
        <v>32</v>
      </c>
      <c r="Z38" s="51" t="str">
        <f t="shared" si="9"/>
        <v>329</v>
      </c>
      <c r="AA38" s="51"/>
      <c r="AB38" s="69" t="s">
        <v>747</v>
      </c>
      <c r="AC38" s="69" t="s">
        <v>748</v>
      </c>
      <c r="AD38" s="51" t="s">
        <v>749</v>
      </c>
      <c r="AE38" s="51" t="s">
        <v>750</v>
      </c>
      <c r="AF38" s="51" t="s">
        <v>643</v>
      </c>
      <c r="AG38" s="51" t="s">
        <v>751</v>
      </c>
    </row>
    <row r="39" spans="1:33" ht="15.75" customHeight="1">
      <c r="A39" s="62" t="str">
        <f>IF(C39="","",VLOOKUP('OPĆI DIO'!$C$3,'OPĆI DIO'!$L$6:$U$120,10,FALSE))</f>
        <v>08008</v>
      </c>
      <c r="B39" s="62" t="str">
        <f>IF(C39="","",VLOOKUP('OPĆI DIO'!$C$3,'OPĆI DIO'!$L$6:$U$120,9,FALSE))</f>
        <v>Javni instituti</v>
      </c>
      <c r="C39" s="84">
        <v>11</v>
      </c>
      <c r="D39" s="79" t="str">
        <f t="shared" si="0"/>
        <v>Opći prihodi i primici</v>
      </c>
      <c r="E39" s="84">
        <v>4224</v>
      </c>
      <c r="F39" s="79" t="str">
        <f t="shared" si="1"/>
        <v>Medicinska i laboratorijska oprema</v>
      </c>
      <c r="G39" s="84" t="s">
        <v>654</v>
      </c>
      <c r="H39" s="79" t="str">
        <f t="shared" si="10"/>
        <v>PROGRAMSKO FINANCIRANJE JAVNIH ZNANSTVENIH INSTITUTA</v>
      </c>
      <c r="I39" s="79" t="str">
        <f t="shared" si="11"/>
        <v>0150</v>
      </c>
      <c r="J39" s="279">
        <v>95164</v>
      </c>
      <c r="K39" s="279">
        <v>99870</v>
      </c>
      <c r="L39" s="279">
        <v>99051</v>
      </c>
      <c r="M39" s="68"/>
      <c r="N39" s="51"/>
      <c r="O39" s="51" t="str">
        <f t="shared" si="4"/>
        <v>422</v>
      </c>
      <c r="P39" s="51" t="str">
        <f t="shared" si="5"/>
        <v>42</v>
      </c>
      <c r="Q39" s="51" t="str">
        <f t="shared" si="6"/>
        <v>11</v>
      </c>
      <c r="R39" s="51" t="str">
        <f t="shared" si="7"/>
        <v>15</v>
      </c>
      <c r="S39" s="51"/>
      <c r="T39" s="51"/>
      <c r="U39" s="51"/>
      <c r="V39" s="51">
        <v>3299</v>
      </c>
      <c r="W39" s="51" t="s">
        <v>752</v>
      </c>
      <c r="X39" s="51"/>
      <c r="Y39" s="82" t="str">
        <f t="shared" si="8"/>
        <v>32</v>
      </c>
      <c r="Z39" s="51" t="str">
        <f t="shared" si="9"/>
        <v>329</v>
      </c>
      <c r="AA39" s="51"/>
      <c r="AB39" s="69" t="s">
        <v>747</v>
      </c>
      <c r="AC39" s="69" t="s">
        <v>748</v>
      </c>
      <c r="AD39" s="51" t="s">
        <v>634</v>
      </c>
      <c r="AE39" s="51" t="s">
        <v>635</v>
      </c>
      <c r="AF39" s="51" t="s">
        <v>636</v>
      </c>
      <c r="AG39" s="51" t="s">
        <v>637</v>
      </c>
    </row>
    <row r="40" spans="1:33" ht="15.75" customHeight="1">
      <c r="A40" s="62" t="str">
        <f>IF(C40="","",VLOOKUP('OPĆI DIO'!$C$3,'OPĆI DIO'!$L$6:$U$120,10,FALSE))</f>
        <v>08008</v>
      </c>
      <c r="B40" s="62" t="str">
        <f>IF(C40="","",VLOOKUP('OPĆI DIO'!$C$3,'OPĆI DIO'!$L$6:$U$120,9,FALSE))</f>
        <v>Javni instituti</v>
      </c>
      <c r="C40" s="84">
        <v>11</v>
      </c>
      <c r="D40" s="79" t="str">
        <f t="shared" si="0"/>
        <v>Opći prihodi i primici</v>
      </c>
      <c r="E40" s="84">
        <v>4225</v>
      </c>
      <c r="F40" s="79" t="str">
        <f t="shared" si="1"/>
        <v>Instrumenti, uređaji i strojevi</v>
      </c>
      <c r="G40" s="84" t="s">
        <v>654</v>
      </c>
      <c r="H40" s="79" t="str">
        <f t="shared" si="10"/>
        <v>PROGRAMSKO FINANCIRANJE JAVNIH ZNANSTVENIH INSTITUTA</v>
      </c>
      <c r="I40" s="79" t="str">
        <f t="shared" si="11"/>
        <v>0150</v>
      </c>
      <c r="J40" s="279">
        <v>106502</v>
      </c>
      <c r="K40" s="279">
        <v>111769</v>
      </c>
      <c r="L40" s="279">
        <v>110853</v>
      </c>
      <c r="M40" s="68"/>
      <c r="N40" s="51"/>
      <c r="O40" s="51" t="str">
        <f t="shared" si="4"/>
        <v>422</v>
      </c>
      <c r="P40" s="51" t="str">
        <f t="shared" si="5"/>
        <v>42</v>
      </c>
      <c r="Q40" s="51" t="str">
        <f t="shared" si="6"/>
        <v>11</v>
      </c>
      <c r="R40" s="51" t="str">
        <f t="shared" si="7"/>
        <v>15</v>
      </c>
      <c r="S40" s="51"/>
      <c r="T40" s="51"/>
      <c r="U40" s="51"/>
      <c r="V40" s="51">
        <v>3411</v>
      </c>
      <c r="W40" s="51" t="s">
        <v>753</v>
      </c>
      <c r="X40" s="51"/>
      <c r="Y40" s="82" t="str">
        <f t="shared" si="8"/>
        <v>34</v>
      </c>
      <c r="Z40" s="51" t="str">
        <f t="shared" si="9"/>
        <v>341</v>
      </c>
      <c r="AA40" s="51"/>
      <c r="AB40" s="69" t="s">
        <v>754</v>
      </c>
      <c r="AC40" s="69" t="s">
        <v>755</v>
      </c>
      <c r="AD40" s="51" t="s">
        <v>634</v>
      </c>
      <c r="AE40" s="51" t="s">
        <v>635</v>
      </c>
      <c r="AF40" s="51" t="s">
        <v>636</v>
      </c>
      <c r="AG40" s="51" t="s">
        <v>637</v>
      </c>
    </row>
    <row r="41" spans="1:33" ht="15.75" customHeight="1">
      <c r="A41" s="62" t="str">
        <f>IF(C41="","",VLOOKUP('OPĆI DIO'!$C$3,'OPĆI DIO'!$L$6:$U$120,10,FALSE))</f>
        <v>08008</v>
      </c>
      <c r="B41" s="62" t="str">
        <f>IF(C41="","",VLOOKUP('OPĆI DIO'!$C$3,'OPĆI DIO'!$L$6:$U$120,9,FALSE))</f>
        <v>Javni instituti</v>
      </c>
      <c r="C41" s="84">
        <v>11</v>
      </c>
      <c r="D41" s="79" t="str">
        <f t="shared" si="0"/>
        <v>Opći prihodi i primici</v>
      </c>
      <c r="E41" s="84">
        <v>4241</v>
      </c>
      <c r="F41" s="79" t="str">
        <f t="shared" si="1"/>
        <v>Knjige</v>
      </c>
      <c r="G41" s="84" t="s">
        <v>654</v>
      </c>
      <c r="H41" s="79" t="str">
        <f t="shared" si="10"/>
        <v>PROGRAMSKO FINANCIRANJE JAVNIH ZNANSTVENIH INSTITUTA</v>
      </c>
      <c r="I41" s="79" t="str">
        <f t="shared" si="11"/>
        <v>0150</v>
      </c>
      <c r="J41" s="279">
        <v>11</v>
      </c>
      <c r="K41" s="279">
        <v>10</v>
      </c>
      <c r="L41" s="279">
        <v>12</v>
      </c>
      <c r="M41" s="68"/>
      <c r="N41" s="51"/>
      <c r="O41" s="51" t="str">
        <f t="shared" si="4"/>
        <v>424</v>
      </c>
      <c r="P41" s="51" t="str">
        <f t="shared" si="5"/>
        <v>42</v>
      </c>
      <c r="Q41" s="51" t="str">
        <f t="shared" si="6"/>
        <v>11</v>
      </c>
      <c r="R41" s="51" t="str">
        <f t="shared" si="7"/>
        <v>15</v>
      </c>
      <c r="S41" s="51"/>
      <c r="T41" s="51"/>
      <c r="U41" s="51"/>
      <c r="V41" s="51">
        <v>3422</v>
      </c>
      <c r="W41" s="51" t="s">
        <v>756</v>
      </c>
      <c r="X41" s="51"/>
      <c r="Y41" s="82" t="str">
        <f t="shared" si="8"/>
        <v>34</v>
      </c>
      <c r="Z41" s="51" t="str">
        <f t="shared" si="9"/>
        <v>342</v>
      </c>
      <c r="AA41" s="51"/>
      <c r="AB41" s="69" t="s">
        <v>757</v>
      </c>
      <c r="AC41" s="69" t="s">
        <v>758</v>
      </c>
      <c r="AD41" s="51" t="s">
        <v>648</v>
      </c>
      <c r="AE41" s="51" t="s">
        <v>649</v>
      </c>
      <c r="AF41" s="51" t="s">
        <v>636</v>
      </c>
      <c r="AG41" s="51" t="s">
        <v>650</v>
      </c>
    </row>
    <row r="42" spans="1:33" ht="15.75" customHeight="1">
      <c r="A42" s="62" t="str">
        <f>IF(C42="","",VLOOKUP('OPĆI DIO'!$C$3,'OPĆI DIO'!$L$6:$U$120,10,FALSE))</f>
        <v>08008</v>
      </c>
      <c r="B42" s="62" t="str">
        <f>IF(C42="","",VLOOKUP('OPĆI DIO'!$C$3,'OPĆI DIO'!$L$6:$U$120,9,FALSE))</f>
        <v>Javni instituti</v>
      </c>
      <c r="C42" s="84">
        <v>11</v>
      </c>
      <c r="D42" s="79" t="str">
        <f t="shared" si="0"/>
        <v>Opći prihodi i primici</v>
      </c>
      <c r="E42" s="84">
        <v>4262</v>
      </c>
      <c r="F42" s="79" t="str">
        <f t="shared" si="1"/>
        <v>Ulaganja u računalne programe</v>
      </c>
      <c r="G42" s="84" t="s">
        <v>654</v>
      </c>
      <c r="H42" s="79" t="str">
        <f t="shared" si="10"/>
        <v>PROGRAMSKO FINANCIRANJE JAVNIH ZNANSTVENIH INSTITUTA</v>
      </c>
      <c r="I42" s="79" t="str">
        <f t="shared" si="11"/>
        <v>0150</v>
      </c>
      <c r="J42" s="279">
        <v>22840</v>
      </c>
      <c r="K42" s="279">
        <v>21468</v>
      </c>
      <c r="L42" s="279">
        <v>21931</v>
      </c>
      <c r="M42" s="68"/>
      <c r="N42" s="51"/>
      <c r="O42" s="51" t="str">
        <f t="shared" si="4"/>
        <v>426</v>
      </c>
      <c r="P42" s="51" t="str">
        <f t="shared" si="5"/>
        <v>42</v>
      </c>
      <c r="Q42" s="51" t="str">
        <f t="shared" si="6"/>
        <v>11</v>
      </c>
      <c r="R42" s="51" t="str">
        <f t="shared" si="7"/>
        <v>15</v>
      </c>
      <c r="S42" s="51"/>
      <c r="T42" s="51"/>
      <c r="U42" s="51"/>
      <c r="V42" s="51">
        <v>3423</v>
      </c>
      <c r="W42" s="51" t="s">
        <v>756</v>
      </c>
      <c r="X42" s="51"/>
      <c r="Y42" s="82" t="str">
        <f t="shared" si="8"/>
        <v>34</v>
      </c>
      <c r="Z42" s="51" t="str">
        <f t="shared" si="9"/>
        <v>342</v>
      </c>
      <c r="AA42" s="51"/>
      <c r="AB42" s="69" t="s">
        <v>759</v>
      </c>
      <c r="AC42" s="69" t="s">
        <v>760</v>
      </c>
      <c r="AD42" s="51" t="s">
        <v>749</v>
      </c>
      <c r="AE42" s="51" t="s">
        <v>750</v>
      </c>
      <c r="AF42" s="51" t="s">
        <v>643</v>
      </c>
      <c r="AG42" s="51" t="s">
        <v>751</v>
      </c>
    </row>
    <row r="43" spans="1:33" ht="15.75" customHeight="1">
      <c r="A43" s="62" t="str">
        <f>IF(C43="","",VLOOKUP('OPĆI DIO'!$C$3,'OPĆI DIO'!$L$6:$U$120,10,FALSE))</f>
        <v>08008</v>
      </c>
      <c r="B43" s="62" t="str">
        <f>IF(C43="","",VLOOKUP('OPĆI DIO'!$C$3,'OPĆI DIO'!$L$6:$U$120,9,FALSE))</f>
        <v>Javni instituti</v>
      </c>
      <c r="C43" s="84">
        <v>11</v>
      </c>
      <c r="D43" s="79" t="str">
        <f t="shared" si="0"/>
        <v>Opći prihodi i primici</v>
      </c>
      <c r="E43" s="84">
        <v>4511</v>
      </c>
      <c r="F43" s="79" t="str">
        <f t="shared" si="1"/>
        <v>Dodatna ulaganja na građevinskim objektima</v>
      </c>
      <c r="G43" s="84" t="s">
        <v>654</v>
      </c>
      <c r="H43" s="79" t="str">
        <f t="shared" si="10"/>
        <v>PROGRAMSKO FINANCIRANJE JAVNIH ZNANSTVENIH INSTITUTA</v>
      </c>
      <c r="I43" s="79" t="str">
        <f t="shared" si="11"/>
        <v>0150</v>
      </c>
      <c r="J43" s="279">
        <v>16837</v>
      </c>
      <c r="K43" s="279">
        <v>16837</v>
      </c>
      <c r="L43" s="279">
        <v>16837</v>
      </c>
      <c r="M43" s="68"/>
      <c r="N43" s="51"/>
      <c r="O43" s="51" t="str">
        <f t="shared" si="4"/>
        <v>451</v>
      </c>
      <c r="P43" s="51" t="str">
        <f t="shared" si="5"/>
        <v>45</v>
      </c>
      <c r="Q43" s="51" t="str">
        <f t="shared" si="6"/>
        <v>11</v>
      </c>
      <c r="R43" s="51" t="str">
        <f t="shared" si="7"/>
        <v>15</v>
      </c>
      <c r="S43" s="51"/>
      <c r="T43" s="51"/>
      <c r="U43" s="51"/>
      <c r="V43" s="51">
        <v>3427</v>
      </c>
      <c r="W43" s="51" t="s">
        <v>761</v>
      </c>
      <c r="X43" s="51"/>
      <c r="Y43" s="82" t="str">
        <f t="shared" si="8"/>
        <v>34</v>
      </c>
      <c r="Z43" s="51" t="str">
        <f t="shared" si="9"/>
        <v>342</v>
      </c>
      <c r="AA43" s="51"/>
      <c r="AB43" s="69" t="s">
        <v>759</v>
      </c>
      <c r="AC43" s="69" t="s">
        <v>760</v>
      </c>
      <c r="AD43" s="51" t="s">
        <v>634</v>
      </c>
      <c r="AE43" s="51" t="s">
        <v>635</v>
      </c>
      <c r="AF43" s="51" t="s">
        <v>636</v>
      </c>
      <c r="AG43" s="51" t="s">
        <v>637</v>
      </c>
    </row>
    <row r="44" spans="1:33" ht="15.75" customHeight="1">
      <c r="A44" s="62" t="str">
        <f>IF(C44="","",VLOOKUP('OPĆI DIO'!$C$3,'OPĆI DIO'!$L$6:$U$120,10,FALSE))</f>
        <v>08008</v>
      </c>
      <c r="B44" s="62" t="str">
        <f>IF(C44="","",VLOOKUP('OPĆI DIO'!$C$3,'OPĆI DIO'!$L$6:$U$120,9,FALSE))</f>
        <v>Javni instituti</v>
      </c>
      <c r="C44" s="84">
        <v>11</v>
      </c>
      <c r="D44" s="79" t="str">
        <f t="shared" si="0"/>
        <v>Opći prihodi i primici</v>
      </c>
      <c r="E44" s="84">
        <v>3111</v>
      </c>
      <c r="F44" s="79" t="str">
        <f t="shared" si="1"/>
        <v>Plaće za redovan rad</v>
      </c>
      <c r="G44" s="84" t="s">
        <v>762</v>
      </c>
      <c r="H44" s="79" t="str">
        <f t="shared" si="10"/>
        <v>PRAVOMOĆNE SUDSKE PRESUDE</v>
      </c>
      <c r="I44" s="79" t="str">
        <f t="shared" si="11"/>
        <v>0150</v>
      </c>
      <c r="J44" s="279">
        <v>121545</v>
      </c>
      <c r="K44" s="279">
        <v>171536</v>
      </c>
      <c r="L44" s="279">
        <v>0</v>
      </c>
      <c r="M44" s="68"/>
      <c r="N44" s="51"/>
      <c r="O44" s="51" t="str">
        <f t="shared" si="4"/>
        <v>311</v>
      </c>
      <c r="P44" s="51" t="str">
        <f t="shared" si="5"/>
        <v>31</v>
      </c>
      <c r="Q44" s="51" t="str">
        <f t="shared" si="6"/>
        <v>11</v>
      </c>
      <c r="R44" s="51" t="str">
        <f t="shared" si="7"/>
        <v>15</v>
      </c>
      <c r="S44" s="51"/>
      <c r="T44" s="51"/>
      <c r="U44" s="51"/>
      <c r="V44" s="51">
        <v>3431</v>
      </c>
      <c r="W44" s="51" t="s">
        <v>763</v>
      </c>
      <c r="X44" s="51"/>
      <c r="Y44" s="82" t="str">
        <f t="shared" si="8"/>
        <v>34</v>
      </c>
      <c r="Z44" s="51" t="str">
        <f t="shared" si="9"/>
        <v>343</v>
      </c>
      <c r="AA44" s="51"/>
      <c r="AB44" s="69" t="s">
        <v>764</v>
      </c>
      <c r="AC44" s="69" t="s">
        <v>765</v>
      </c>
      <c r="AD44" s="51" t="s">
        <v>634</v>
      </c>
      <c r="AE44" s="51" t="s">
        <v>635</v>
      </c>
      <c r="AF44" s="51" t="s">
        <v>636</v>
      </c>
      <c r="AG44" s="51" t="s">
        <v>637</v>
      </c>
    </row>
    <row r="45" spans="1:33" ht="15.75" customHeight="1">
      <c r="A45" s="62" t="str">
        <f>IF(C45="","",VLOOKUP('OPĆI DIO'!$C$3,'OPĆI DIO'!$L$6:$U$120,10,FALSE))</f>
        <v>08008</v>
      </c>
      <c r="B45" s="62" t="str">
        <f>IF(C45="","",VLOOKUP('OPĆI DIO'!$C$3,'OPĆI DIO'!$L$6:$U$120,9,FALSE))</f>
        <v>Javni instituti</v>
      </c>
      <c r="C45" s="84">
        <v>11</v>
      </c>
      <c r="D45" s="79" t="str">
        <f t="shared" si="0"/>
        <v>Opći prihodi i primici</v>
      </c>
      <c r="E45" s="84">
        <v>3121</v>
      </c>
      <c r="F45" s="79" t="str">
        <f t="shared" si="1"/>
        <v>Ostali rashodi za zaposlene</v>
      </c>
      <c r="G45" s="84" t="s">
        <v>762</v>
      </c>
      <c r="H45" s="79" t="str">
        <f t="shared" si="10"/>
        <v>PRAVOMOĆNE SUDSKE PRESUDE</v>
      </c>
      <c r="I45" s="79" t="str">
        <f t="shared" si="11"/>
        <v>0150</v>
      </c>
      <c r="J45" s="279">
        <v>31462</v>
      </c>
      <c r="K45" s="279">
        <v>29799</v>
      </c>
      <c r="L45" s="279">
        <v>7792</v>
      </c>
      <c r="M45" s="68"/>
      <c r="N45" s="51"/>
      <c r="O45" s="51" t="str">
        <f t="shared" si="4"/>
        <v>312</v>
      </c>
      <c r="P45" s="51" t="str">
        <f t="shared" si="5"/>
        <v>31</v>
      </c>
      <c r="Q45" s="51" t="str">
        <f t="shared" si="6"/>
        <v>11</v>
      </c>
      <c r="R45" s="51" t="str">
        <f t="shared" si="7"/>
        <v>15</v>
      </c>
      <c r="S45" s="51"/>
      <c r="T45" s="51"/>
      <c r="U45" s="51"/>
      <c r="V45" s="51">
        <v>3432</v>
      </c>
      <c r="W45" s="51" t="s">
        <v>766</v>
      </c>
      <c r="X45" s="51"/>
      <c r="Y45" s="82" t="str">
        <f t="shared" si="8"/>
        <v>34</v>
      </c>
      <c r="Z45" s="51" t="str">
        <f t="shared" si="9"/>
        <v>343</v>
      </c>
      <c r="AA45" s="51"/>
      <c r="AB45" s="69" t="s">
        <v>767</v>
      </c>
      <c r="AC45" s="69" t="s">
        <v>768</v>
      </c>
      <c r="AD45" s="51" t="s">
        <v>749</v>
      </c>
      <c r="AE45" s="51" t="s">
        <v>750</v>
      </c>
      <c r="AF45" s="51" t="s">
        <v>643</v>
      </c>
      <c r="AG45" s="51" t="s">
        <v>751</v>
      </c>
    </row>
    <row r="46" spans="1:33" ht="15.75" customHeight="1">
      <c r="A46" s="62" t="str">
        <f>IF(C46="","",VLOOKUP('OPĆI DIO'!$C$3,'OPĆI DIO'!$L$6:$U$120,10,FALSE))</f>
        <v>08008</v>
      </c>
      <c r="B46" s="62" t="str">
        <f>IF(C46="","",VLOOKUP('OPĆI DIO'!$C$3,'OPĆI DIO'!$L$6:$U$120,9,FALSE))</f>
        <v>Javni instituti</v>
      </c>
      <c r="C46" s="84">
        <v>11</v>
      </c>
      <c r="D46" s="79" t="str">
        <f t="shared" si="0"/>
        <v>Opći prihodi i primici</v>
      </c>
      <c r="E46" s="84">
        <v>3132</v>
      </c>
      <c r="F46" s="79" t="str">
        <f t="shared" si="1"/>
        <v>Doprinosi za obvezno zdravstveno osiguranje</v>
      </c>
      <c r="G46" s="84" t="s">
        <v>762</v>
      </c>
      <c r="H46" s="79" t="str">
        <f t="shared" si="10"/>
        <v>PRAVOMOĆNE SUDSKE PRESUDE</v>
      </c>
      <c r="I46" s="79" t="str">
        <f t="shared" si="11"/>
        <v>0150</v>
      </c>
      <c r="J46" s="279">
        <v>20784</v>
      </c>
      <c r="K46" s="279">
        <v>30306</v>
      </c>
      <c r="L46" s="279">
        <v>5246</v>
      </c>
      <c r="M46" s="68"/>
      <c r="N46" s="51"/>
      <c r="O46" s="51" t="str">
        <f t="shared" si="4"/>
        <v>313</v>
      </c>
      <c r="P46" s="51" t="str">
        <f t="shared" si="5"/>
        <v>31</v>
      </c>
      <c r="Q46" s="51" t="str">
        <f t="shared" si="6"/>
        <v>11</v>
      </c>
      <c r="R46" s="51" t="str">
        <f t="shared" si="7"/>
        <v>15</v>
      </c>
      <c r="S46" s="51"/>
      <c r="T46" s="51"/>
      <c r="U46" s="51"/>
      <c r="V46" s="51">
        <v>3433</v>
      </c>
      <c r="W46" s="51" t="s">
        <v>769</v>
      </c>
      <c r="X46" s="51"/>
      <c r="Y46" s="82" t="str">
        <f t="shared" si="8"/>
        <v>34</v>
      </c>
      <c r="Z46" s="51" t="str">
        <f t="shared" si="9"/>
        <v>343</v>
      </c>
      <c r="AA46" s="51"/>
      <c r="AB46" s="69" t="s">
        <v>767</v>
      </c>
      <c r="AC46" s="69" t="s">
        <v>768</v>
      </c>
      <c r="AD46" s="51" t="s">
        <v>770</v>
      </c>
      <c r="AE46" s="51" t="s">
        <v>771</v>
      </c>
      <c r="AF46" s="51" t="s">
        <v>636</v>
      </c>
      <c r="AG46" s="51" t="s">
        <v>772</v>
      </c>
    </row>
    <row r="47" spans="1:33" ht="15.75" customHeight="1">
      <c r="A47" s="62" t="str">
        <f>IF(C47="","",VLOOKUP('OPĆI DIO'!$C$3,'OPĆI DIO'!$L$6:$U$120,10,FALSE))</f>
        <v>08008</v>
      </c>
      <c r="B47" s="62" t="str">
        <f>IF(C47="","",VLOOKUP('OPĆI DIO'!$C$3,'OPĆI DIO'!$L$6:$U$120,9,FALSE))</f>
        <v>Javni instituti</v>
      </c>
      <c r="C47" s="84">
        <v>11</v>
      </c>
      <c r="D47" s="79" t="str">
        <f t="shared" si="0"/>
        <v>Opći prihodi i primici</v>
      </c>
      <c r="E47" s="84">
        <v>3237</v>
      </c>
      <c r="F47" s="79" t="str">
        <f t="shared" si="1"/>
        <v>Intelektualne i osobne usluge</v>
      </c>
      <c r="G47" s="84" t="s">
        <v>762</v>
      </c>
      <c r="H47" s="79" t="str">
        <f t="shared" si="10"/>
        <v>PRAVOMOĆNE SUDSKE PRESUDE</v>
      </c>
      <c r="I47" s="79" t="str">
        <f t="shared" si="11"/>
        <v>0150</v>
      </c>
      <c r="J47" s="279">
        <v>44506</v>
      </c>
      <c r="K47" s="279">
        <v>78054</v>
      </c>
      <c r="L47" s="279">
        <v>1341</v>
      </c>
      <c r="M47" s="68"/>
      <c r="N47" s="51"/>
      <c r="O47" s="51" t="str">
        <f t="shared" si="4"/>
        <v>323</v>
      </c>
      <c r="P47" s="51" t="str">
        <f t="shared" si="5"/>
        <v>32</v>
      </c>
      <c r="Q47" s="51" t="str">
        <f t="shared" si="6"/>
        <v>11</v>
      </c>
      <c r="R47" s="51" t="str">
        <f t="shared" si="7"/>
        <v>15</v>
      </c>
      <c r="S47" s="51"/>
      <c r="T47" s="51"/>
      <c r="U47" s="51"/>
      <c r="V47" s="51">
        <v>3434</v>
      </c>
      <c r="W47" s="51" t="s">
        <v>773</v>
      </c>
      <c r="X47" s="51"/>
      <c r="Y47" s="82" t="str">
        <f t="shared" si="8"/>
        <v>34</v>
      </c>
      <c r="Z47" s="51" t="str">
        <f t="shared" si="9"/>
        <v>343</v>
      </c>
      <c r="AA47" s="51"/>
      <c r="AB47" s="69" t="s">
        <v>774</v>
      </c>
      <c r="AC47" s="69" t="s">
        <v>775</v>
      </c>
      <c r="AD47" s="51" t="s">
        <v>770</v>
      </c>
      <c r="AE47" s="51" t="s">
        <v>771</v>
      </c>
      <c r="AF47" s="51" t="s">
        <v>636</v>
      </c>
      <c r="AG47" s="51" t="s">
        <v>772</v>
      </c>
    </row>
    <row r="48" spans="1:33" ht="15.75" customHeight="1">
      <c r="A48" s="62" t="str">
        <f>IF(C48="","",VLOOKUP('OPĆI DIO'!$C$3,'OPĆI DIO'!$L$6:$U$120,10,FALSE))</f>
        <v>08008</v>
      </c>
      <c r="B48" s="62" t="str">
        <f>IF(C48="","",VLOOKUP('OPĆI DIO'!$C$3,'OPĆI DIO'!$L$6:$U$120,9,FALSE))</f>
        <v>Javni instituti</v>
      </c>
      <c r="C48" s="84">
        <v>11</v>
      </c>
      <c r="D48" s="79" t="str">
        <f t="shared" si="0"/>
        <v>Opći prihodi i primici</v>
      </c>
      <c r="E48" s="84">
        <v>3295</v>
      </c>
      <c r="F48" s="79" t="str">
        <f t="shared" si="1"/>
        <v>Pristojbe i naknade</v>
      </c>
      <c r="G48" s="84" t="s">
        <v>762</v>
      </c>
      <c r="H48" s="79" t="str">
        <f t="shared" si="10"/>
        <v>PRAVOMOĆNE SUDSKE PRESUDE</v>
      </c>
      <c r="I48" s="79" t="str">
        <f t="shared" si="11"/>
        <v>0150</v>
      </c>
      <c r="J48" s="279">
        <v>16019</v>
      </c>
      <c r="K48" s="279">
        <v>27522</v>
      </c>
      <c r="L48" s="279">
        <v>4508</v>
      </c>
      <c r="M48" s="68"/>
      <c r="N48" s="51"/>
      <c r="O48" s="51" t="str">
        <f t="shared" si="4"/>
        <v>329</v>
      </c>
      <c r="P48" s="51" t="str">
        <f t="shared" si="5"/>
        <v>32</v>
      </c>
      <c r="Q48" s="51" t="str">
        <f t="shared" si="6"/>
        <v>11</v>
      </c>
      <c r="R48" s="51" t="str">
        <f t="shared" si="7"/>
        <v>15</v>
      </c>
      <c r="S48" s="51"/>
      <c r="T48" s="51"/>
      <c r="U48" s="51"/>
      <c r="V48" s="51">
        <v>3511</v>
      </c>
      <c r="W48" s="51" t="s">
        <v>776</v>
      </c>
      <c r="X48" s="51"/>
      <c r="Y48" s="82" t="str">
        <f t="shared" si="8"/>
        <v>35</v>
      </c>
      <c r="Z48" s="51" t="str">
        <f t="shared" si="9"/>
        <v>351</v>
      </c>
      <c r="AA48" s="51"/>
      <c r="AB48" s="69" t="s">
        <v>777</v>
      </c>
      <c r="AC48" s="69" t="s">
        <v>778</v>
      </c>
      <c r="AD48" s="51" t="s">
        <v>770</v>
      </c>
      <c r="AE48" s="51" t="s">
        <v>771</v>
      </c>
      <c r="AF48" s="51" t="s">
        <v>636</v>
      </c>
      <c r="AG48" s="51" t="s">
        <v>772</v>
      </c>
    </row>
    <row r="49" spans="1:33" ht="15.75" customHeight="1">
      <c r="A49" s="62" t="str">
        <f>IF(C49="","",VLOOKUP('OPĆI DIO'!$C$3,'OPĆI DIO'!$L$6:$U$120,10,FALSE))</f>
        <v>08008</v>
      </c>
      <c r="B49" s="62" t="str">
        <f>IF(C49="","",VLOOKUP('OPĆI DIO'!$C$3,'OPĆI DIO'!$L$6:$U$120,9,FALSE))</f>
        <v>Javni instituti</v>
      </c>
      <c r="C49" s="84">
        <v>31</v>
      </c>
      <c r="D49" s="79" t="str">
        <f t="shared" ref="D49:D88" si="12">IFERROR(VLOOKUP(C49,$S$6:$T$24,2,FALSE),"")</f>
        <v>Vlastiti prihodi</v>
      </c>
      <c r="E49" s="84">
        <v>3111</v>
      </c>
      <c r="F49" s="79" t="str">
        <f t="shared" ref="F49:F88" si="13">IFERROR(VLOOKUP(E49,$V$5:$X$129,2,FALSE),"")</f>
        <v>Plaće za redovan rad</v>
      </c>
      <c r="G49" s="84" t="s">
        <v>779</v>
      </c>
      <c r="H49" s="79" t="str">
        <f t="shared" ref="H49:H88" si="14">IFERROR(VLOOKUP(G49,$AB$6:$AC$332,2,FALSE),"")</f>
        <v>REDOVNA DJELATNOST JAVNIH INSTITUTA (IZ EVIDENCIJSKIH PRIHODA)</v>
      </c>
      <c r="I49" s="79" t="str">
        <f t="shared" ref="I49:I88" si="15">IFERROR(VLOOKUP(G49,$AB$6:$AF$332,3,FALSE),"")</f>
        <v>0150</v>
      </c>
      <c r="J49" s="67">
        <v>540603</v>
      </c>
      <c r="K49" s="67">
        <v>567633</v>
      </c>
      <c r="L49" s="67">
        <v>596015</v>
      </c>
      <c r="M49" s="68"/>
      <c r="N49" s="51"/>
      <c r="O49" s="51" t="str">
        <f t="shared" si="4"/>
        <v>311</v>
      </c>
      <c r="P49" s="51" t="str">
        <f t="shared" si="5"/>
        <v>31</v>
      </c>
      <c r="Q49" s="51" t="str">
        <f t="shared" si="6"/>
        <v>31</v>
      </c>
      <c r="R49" s="51" t="str">
        <f t="shared" si="7"/>
        <v>15</v>
      </c>
      <c r="S49" s="51"/>
      <c r="T49" s="51"/>
      <c r="U49" s="51"/>
      <c r="V49" s="51">
        <v>3512</v>
      </c>
      <c r="W49" s="51" t="s">
        <v>780</v>
      </c>
      <c r="X49" s="51"/>
      <c r="Y49" s="82" t="str">
        <f t="shared" si="8"/>
        <v>35</v>
      </c>
      <c r="Z49" s="51" t="str">
        <f t="shared" si="9"/>
        <v>351</v>
      </c>
      <c r="AA49" s="51"/>
      <c r="AB49" s="69" t="s">
        <v>781</v>
      </c>
      <c r="AC49" s="69" t="s">
        <v>760</v>
      </c>
      <c r="AD49" s="51" t="s">
        <v>749</v>
      </c>
      <c r="AE49" s="51" t="s">
        <v>750</v>
      </c>
      <c r="AF49" s="51" t="s">
        <v>643</v>
      </c>
      <c r="AG49" s="51" t="s">
        <v>751</v>
      </c>
    </row>
    <row r="50" spans="1:33" ht="15.75" customHeight="1">
      <c r="A50" s="62" t="str">
        <f>IF(C50="","",VLOOKUP('OPĆI DIO'!$C$3,'OPĆI DIO'!$L$6:$U$120,10,FALSE))</f>
        <v>08008</v>
      </c>
      <c r="B50" s="62" t="str">
        <f>IF(C50="","",VLOOKUP('OPĆI DIO'!$C$3,'OPĆI DIO'!$L$6:$U$120,9,FALSE))</f>
        <v>Javni instituti</v>
      </c>
      <c r="C50" s="84">
        <v>31</v>
      </c>
      <c r="D50" s="79" t="str">
        <f t="shared" si="12"/>
        <v>Vlastiti prihodi</v>
      </c>
      <c r="E50" s="84">
        <v>3222</v>
      </c>
      <c r="F50" s="79" t="str">
        <f t="shared" si="13"/>
        <v>Materijal i sirovine</v>
      </c>
      <c r="G50" s="84" t="s">
        <v>779</v>
      </c>
      <c r="H50" s="79" t="str">
        <f t="shared" si="14"/>
        <v>REDOVNA DJELATNOST JAVNIH INSTITUTA (IZ EVIDENCIJSKIH PRIHODA)</v>
      </c>
      <c r="I50" s="79" t="str">
        <f t="shared" si="15"/>
        <v>0150</v>
      </c>
      <c r="J50" s="67">
        <v>267228</v>
      </c>
      <c r="K50" s="67">
        <v>280590</v>
      </c>
      <c r="L50" s="67">
        <v>294619</v>
      </c>
      <c r="M50" s="68"/>
      <c r="N50" s="51"/>
      <c r="O50" s="51" t="str">
        <f t="shared" si="4"/>
        <v>322</v>
      </c>
      <c r="P50" s="51" t="str">
        <f t="shared" si="5"/>
        <v>32</v>
      </c>
      <c r="Q50" s="51" t="str">
        <f t="shared" si="6"/>
        <v>31</v>
      </c>
      <c r="R50" s="51" t="str">
        <f t="shared" si="7"/>
        <v>15</v>
      </c>
      <c r="S50" s="51"/>
      <c r="T50" s="51"/>
      <c r="U50" s="51"/>
      <c r="V50" s="51">
        <v>3522</v>
      </c>
      <c r="W50" s="51" t="s">
        <v>782</v>
      </c>
      <c r="X50" s="51"/>
      <c r="Y50" s="82" t="str">
        <f t="shared" si="8"/>
        <v>35</v>
      </c>
      <c r="Z50" s="51" t="str">
        <f t="shared" si="9"/>
        <v>352</v>
      </c>
      <c r="AA50" s="51"/>
      <c r="AB50" s="69" t="s">
        <v>783</v>
      </c>
      <c r="AC50" s="69" t="s">
        <v>784</v>
      </c>
      <c r="AD50" s="51" t="s">
        <v>770</v>
      </c>
      <c r="AE50" s="51" t="s">
        <v>771</v>
      </c>
      <c r="AF50" s="51" t="s">
        <v>636</v>
      </c>
      <c r="AG50" s="51" t="s">
        <v>772</v>
      </c>
    </row>
    <row r="51" spans="1:33" ht="15.75" customHeight="1">
      <c r="A51" s="62" t="str">
        <f>IF(C51="","",VLOOKUP('OPĆI DIO'!$C$3,'OPĆI DIO'!$L$6:$U$120,10,FALSE))</f>
        <v>08008</v>
      </c>
      <c r="B51" s="62" t="str">
        <f>IF(C51="","",VLOOKUP('OPĆI DIO'!$C$3,'OPĆI DIO'!$L$6:$U$120,9,FALSE))</f>
        <v>Javni instituti</v>
      </c>
      <c r="C51" s="84">
        <v>31</v>
      </c>
      <c r="D51" s="79" t="str">
        <f t="shared" si="12"/>
        <v>Vlastiti prihodi</v>
      </c>
      <c r="E51" s="84">
        <v>3232</v>
      </c>
      <c r="F51" s="79" t="str">
        <f t="shared" si="13"/>
        <v>Usluge tekućeg i investicijskog održavanja</v>
      </c>
      <c r="G51" s="84" t="s">
        <v>779</v>
      </c>
      <c r="H51" s="79" t="str">
        <f t="shared" si="14"/>
        <v>REDOVNA DJELATNOST JAVNIH INSTITUTA (IZ EVIDENCIJSKIH PRIHODA)</v>
      </c>
      <c r="I51" s="79" t="str">
        <f t="shared" si="15"/>
        <v>0150</v>
      </c>
      <c r="J51" s="67">
        <v>223777</v>
      </c>
      <c r="K51" s="67">
        <v>234965</v>
      </c>
      <c r="L51" s="67">
        <v>246714</v>
      </c>
      <c r="M51" s="68"/>
      <c r="N51" s="51"/>
      <c r="O51" s="51" t="str">
        <f t="shared" si="4"/>
        <v>323</v>
      </c>
      <c r="P51" s="51" t="str">
        <f t="shared" si="5"/>
        <v>32</v>
      </c>
      <c r="Q51" s="51" t="str">
        <f t="shared" si="6"/>
        <v>31</v>
      </c>
      <c r="R51" s="51" t="str">
        <f t="shared" si="7"/>
        <v>15</v>
      </c>
      <c r="S51" s="51"/>
      <c r="T51" s="51"/>
      <c r="U51" s="51"/>
      <c r="V51" s="51">
        <v>3531</v>
      </c>
      <c r="W51" s="51" t="s">
        <v>785</v>
      </c>
      <c r="X51" s="51"/>
      <c r="Y51" s="82" t="str">
        <f t="shared" si="8"/>
        <v>35</v>
      </c>
      <c r="Z51" s="51" t="str">
        <f t="shared" si="9"/>
        <v>353</v>
      </c>
      <c r="AA51" s="51"/>
      <c r="AB51" s="69" t="s">
        <v>786</v>
      </c>
      <c r="AC51" s="69" t="s">
        <v>787</v>
      </c>
      <c r="AD51" s="51" t="s">
        <v>770</v>
      </c>
      <c r="AE51" s="51" t="s">
        <v>771</v>
      </c>
      <c r="AF51" s="51" t="s">
        <v>636</v>
      </c>
      <c r="AG51" s="51" t="s">
        <v>772</v>
      </c>
    </row>
    <row r="52" spans="1:33" ht="15.75" customHeight="1">
      <c r="A52" s="62" t="str">
        <f>IF(C52="","",VLOOKUP('OPĆI DIO'!$C$3,'OPĆI DIO'!$L$6:$U$120,10,FALSE))</f>
        <v>08008</v>
      </c>
      <c r="B52" s="62" t="str">
        <f>IF(C52="","",VLOOKUP('OPĆI DIO'!$C$3,'OPĆI DIO'!$L$6:$U$120,9,FALSE))</f>
        <v>Javni instituti</v>
      </c>
      <c r="C52" s="84">
        <v>31</v>
      </c>
      <c r="D52" s="79" t="str">
        <f t="shared" si="12"/>
        <v>Vlastiti prihodi</v>
      </c>
      <c r="E52" s="84">
        <v>4224</v>
      </c>
      <c r="F52" s="79" t="str">
        <f t="shared" si="13"/>
        <v>Medicinska i laboratorijska oprema</v>
      </c>
      <c r="G52" s="84" t="s">
        <v>779</v>
      </c>
      <c r="H52" s="79" t="str">
        <f t="shared" si="14"/>
        <v>REDOVNA DJELATNOST JAVNIH INSTITUTA (IZ EVIDENCIJSKIH PRIHODA)</v>
      </c>
      <c r="I52" s="79" t="str">
        <f t="shared" si="15"/>
        <v>0150</v>
      </c>
      <c r="J52" s="67">
        <v>140706</v>
      </c>
      <c r="K52" s="67">
        <v>147742</v>
      </c>
      <c r="L52" s="67">
        <v>155129</v>
      </c>
      <c r="M52" s="68"/>
      <c r="N52" s="51"/>
      <c r="O52" s="51" t="str">
        <f t="shared" si="4"/>
        <v>422</v>
      </c>
      <c r="P52" s="51" t="str">
        <f t="shared" si="5"/>
        <v>42</v>
      </c>
      <c r="Q52" s="51" t="str">
        <f t="shared" si="6"/>
        <v>31</v>
      </c>
      <c r="R52" s="51" t="str">
        <f t="shared" si="7"/>
        <v>15</v>
      </c>
      <c r="S52" s="51"/>
      <c r="T52" s="51"/>
      <c r="U52" s="51"/>
      <c r="V52" s="51">
        <v>3611</v>
      </c>
      <c r="W52" s="51" t="s">
        <v>788</v>
      </c>
      <c r="X52" s="51"/>
      <c r="Y52" s="82" t="str">
        <f t="shared" si="8"/>
        <v>36</v>
      </c>
      <c r="Z52" s="51" t="str">
        <f t="shared" si="9"/>
        <v>361</v>
      </c>
      <c r="AA52" s="51"/>
      <c r="AB52" s="69" t="s">
        <v>789</v>
      </c>
      <c r="AC52" s="69" t="s">
        <v>790</v>
      </c>
      <c r="AD52" s="51" t="s">
        <v>770</v>
      </c>
      <c r="AE52" s="51" t="s">
        <v>771</v>
      </c>
      <c r="AF52" s="51" t="s">
        <v>636</v>
      </c>
      <c r="AG52" s="51" t="s">
        <v>772</v>
      </c>
    </row>
    <row r="53" spans="1:33" ht="15.75" customHeight="1">
      <c r="A53" s="62" t="str">
        <f>IF(C53="","",VLOOKUP('OPĆI DIO'!$C$3,'OPĆI DIO'!$L$6:$U$120,10,FALSE))</f>
        <v>08008</v>
      </c>
      <c r="B53" s="62" t="str">
        <f>IF(C53="","",VLOOKUP('OPĆI DIO'!$C$3,'OPĆI DIO'!$L$6:$U$120,9,FALSE))</f>
        <v>Javni instituti</v>
      </c>
      <c r="C53" s="84">
        <v>31</v>
      </c>
      <c r="D53" s="79" t="str">
        <f t="shared" si="12"/>
        <v>Vlastiti prihodi</v>
      </c>
      <c r="E53" s="84">
        <v>4221</v>
      </c>
      <c r="F53" s="79" t="str">
        <f t="shared" si="13"/>
        <v>Uredska oprema i namještaj</v>
      </c>
      <c r="G53" s="84" t="s">
        <v>779</v>
      </c>
      <c r="H53" s="79" t="str">
        <f t="shared" si="14"/>
        <v>REDOVNA DJELATNOST JAVNIH INSTITUTA (IZ EVIDENCIJSKIH PRIHODA)</v>
      </c>
      <c r="I53" s="79" t="str">
        <f t="shared" si="15"/>
        <v>0150</v>
      </c>
      <c r="J53" s="67">
        <v>91943</v>
      </c>
      <c r="K53" s="67">
        <v>96540</v>
      </c>
      <c r="L53" s="67">
        <v>101367</v>
      </c>
      <c r="M53" s="68"/>
      <c r="N53" s="51"/>
      <c r="O53" s="51" t="str">
        <f t="shared" si="4"/>
        <v>422</v>
      </c>
      <c r="P53" s="51" t="str">
        <f t="shared" si="5"/>
        <v>42</v>
      </c>
      <c r="Q53" s="51" t="str">
        <f t="shared" si="6"/>
        <v>31</v>
      </c>
      <c r="R53" s="51" t="str">
        <f t="shared" si="7"/>
        <v>15</v>
      </c>
      <c r="S53" s="51"/>
      <c r="T53" s="51"/>
      <c r="U53" s="51"/>
      <c r="V53" s="51">
        <v>3621</v>
      </c>
      <c r="W53" s="51" t="s">
        <v>791</v>
      </c>
      <c r="X53" s="51"/>
      <c r="Y53" s="82" t="str">
        <f t="shared" si="8"/>
        <v>36</v>
      </c>
      <c r="Z53" s="51" t="str">
        <f t="shared" si="9"/>
        <v>362</v>
      </c>
      <c r="AA53" s="51"/>
      <c r="AB53" s="69" t="s">
        <v>792</v>
      </c>
      <c r="AC53" s="69" t="s">
        <v>793</v>
      </c>
      <c r="AD53" s="51" t="s">
        <v>794</v>
      </c>
      <c r="AE53" s="51" t="s">
        <v>795</v>
      </c>
      <c r="AF53" s="51" t="s">
        <v>636</v>
      </c>
      <c r="AG53" s="51" t="s">
        <v>796</v>
      </c>
    </row>
    <row r="54" spans="1:33" ht="15.75" customHeight="1">
      <c r="A54" s="62" t="str">
        <f>IF(C54="","",VLOOKUP('OPĆI DIO'!$C$3,'OPĆI DIO'!$L$6:$U$120,10,FALSE))</f>
        <v>08008</v>
      </c>
      <c r="B54" s="62" t="str">
        <f>IF(C54="","",VLOOKUP('OPĆI DIO'!$C$3,'OPĆI DIO'!$L$6:$U$120,9,FALSE))</f>
        <v>Javni instituti</v>
      </c>
      <c r="C54" s="84">
        <v>31</v>
      </c>
      <c r="D54" s="79" t="str">
        <f t="shared" si="12"/>
        <v>Vlastiti prihodi</v>
      </c>
      <c r="E54" s="84">
        <v>3224</v>
      </c>
      <c r="F54" s="79" t="str">
        <f t="shared" si="13"/>
        <v>Materijal i dijelovi za tekuće i investicijsko održavanje</v>
      </c>
      <c r="G54" s="84" t="s">
        <v>779</v>
      </c>
      <c r="H54" s="79" t="str">
        <f t="shared" si="14"/>
        <v>REDOVNA DJELATNOST JAVNIH INSTITUTA (IZ EVIDENCIJSKIH PRIHODA)</v>
      </c>
      <c r="I54" s="79" t="str">
        <f t="shared" si="15"/>
        <v>0150</v>
      </c>
      <c r="J54" s="67">
        <v>86810</v>
      </c>
      <c r="K54" s="67">
        <v>91151</v>
      </c>
      <c r="L54" s="67">
        <v>95708</v>
      </c>
      <c r="M54" s="68"/>
      <c r="N54" s="51"/>
      <c r="O54" s="51" t="str">
        <f t="shared" si="4"/>
        <v>322</v>
      </c>
      <c r="P54" s="51" t="str">
        <f t="shared" si="5"/>
        <v>32</v>
      </c>
      <c r="Q54" s="51" t="str">
        <f t="shared" si="6"/>
        <v>31</v>
      </c>
      <c r="R54" s="51" t="str">
        <f t="shared" si="7"/>
        <v>15</v>
      </c>
      <c r="S54" s="51"/>
      <c r="T54" s="51"/>
      <c r="U54" s="51"/>
      <c r="V54" s="51">
        <v>3631</v>
      </c>
      <c r="W54" s="51" t="s">
        <v>797</v>
      </c>
      <c r="X54" s="51"/>
      <c r="Y54" s="82" t="str">
        <f t="shared" si="8"/>
        <v>36</v>
      </c>
      <c r="Z54" s="51" t="str">
        <f t="shared" si="9"/>
        <v>363</v>
      </c>
      <c r="AA54" s="51"/>
      <c r="AB54" s="69" t="s">
        <v>798</v>
      </c>
      <c r="AC54" s="69" t="s">
        <v>799</v>
      </c>
      <c r="AD54" s="51" t="s">
        <v>794</v>
      </c>
      <c r="AE54" s="51" t="s">
        <v>795</v>
      </c>
      <c r="AF54" s="51" t="s">
        <v>636</v>
      </c>
      <c r="AG54" s="51" t="s">
        <v>796</v>
      </c>
    </row>
    <row r="55" spans="1:33" ht="15.75" customHeight="1">
      <c r="A55" s="62" t="str">
        <f>IF(C55="","",VLOOKUP('OPĆI DIO'!$C$3,'OPĆI DIO'!$L$6:$U$120,10,FALSE))</f>
        <v>08008</v>
      </c>
      <c r="B55" s="62" t="str">
        <f>IF(C55="","",VLOOKUP('OPĆI DIO'!$C$3,'OPĆI DIO'!$L$6:$U$120,9,FALSE))</f>
        <v>Javni instituti</v>
      </c>
      <c r="C55" s="84">
        <v>31</v>
      </c>
      <c r="D55" s="79" t="str">
        <f t="shared" si="12"/>
        <v>Vlastiti prihodi</v>
      </c>
      <c r="E55" s="84">
        <v>3211</v>
      </c>
      <c r="F55" s="79" t="str">
        <f t="shared" si="13"/>
        <v>Službena putovanja</v>
      </c>
      <c r="G55" s="84" t="s">
        <v>779</v>
      </c>
      <c r="H55" s="79" t="str">
        <f t="shared" si="14"/>
        <v>REDOVNA DJELATNOST JAVNIH INSTITUTA (IZ EVIDENCIJSKIH PRIHODA)</v>
      </c>
      <c r="I55" s="79" t="str">
        <f t="shared" si="15"/>
        <v>0150</v>
      </c>
      <c r="J55" s="67">
        <v>72231</v>
      </c>
      <c r="K55" s="67">
        <v>75843</v>
      </c>
      <c r="L55" s="67">
        <v>79635</v>
      </c>
      <c r="M55" s="68"/>
      <c r="N55" s="51"/>
      <c r="O55" s="51" t="str">
        <f t="shared" si="4"/>
        <v>321</v>
      </c>
      <c r="P55" s="51" t="str">
        <f t="shared" si="5"/>
        <v>32</v>
      </c>
      <c r="Q55" s="51" t="str">
        <f t="shared" si="6"/>
        <v>31</v>
      </c>
      <c r="R55" s="51" t="str">
        <f t="shared" si="7"/>
        <v>15</v>
      </c>
      <c r="S55" s="51"/>
      <c r="T55" s="51"/>
      <c r="U55" s="51"/>
      <c r="V55" s="51">
        <v>3632</v>
      </c>
      <c r="W55" s="51" t="s">
        <v>800</v>
      </c>
      <c r="X55" s="51"/>
      <c r="Y55" s="82" t="str">
        <f t="shared" si="8"/>
        <v>36</v>
      </c>
      <c r="Z55" s="51" t="str">
        <f t="shared" si="9"/>
        <v>363</v>
      </c>
      <c r="AA55" s="51"/>
      <c r="AB55" s="69" t="s">
        <v>801</v>
      </c>
      <c r="AC55" s="69" t="s">
        <v>802</v>
      </c>
      <c r="AD55" s="51" t="s">
        <v>794</v>
      </c>
      <c r="AE55" s="51" t="s">
        <v>795</v>
      </c>
      <c r="AF55" s="51" t="s">
        <v>636</v>
      </c>
      <c r="AG55" s="51" t="s">
        <v>796</v>
      </c>
    </row>
    <row r="56" spans="1:33" ht="15.75" customHeight="1">
      <c r="A56" s="62" t="str">
        <f>IF(C56="","",VLOOKUP('OPĆI DIO'!$C$3,'OPĆI DIO'!$L$6:$U$120,10,FALSE))</f>
        <v>08008</v>
      </c>
      <c r="B56" s="62" t="str">
        <f>IF(C56="","",VLOOKUP('OPĆI DIO'!$C$3,'OPĆI DIO'!$L$6:$U$120,9,FALSE))</f>
        <v>Javni instituti</v>
      </c>
      <c r="C56" s="84">
        <v>31</v>
      </c>
      <c r="D56" s="79" t="str">
        <f t="shared" si="12"/>
        <v>Vlastiti prihodi</v>
      </c>
      <c r="E56" s="84">
        <v>3132</v>
      </c>
      <c r="F56" s="79" t="str">
        <f t="shared" si="13"/>
        <v>Doprinosi za obvezno zdravstveno osiguranje</v>
      </c>
      <c r="G56" s="84" t="s">
        <v>779</v>
      </c>
      <c r="H56" s="79" t="str">
        <f t="shared" si="14"/>
        <v>REDOVNA DJELATNOST JAVNIH INSTITUTA (IZ EVIDENCIJSKIH PRIHODA)</v>
      </c>
      <c r="I56" s="79" t="str">
        <f t="shared" si="15"/>
        <v>0150</v>
      </c>
      <c r="J56" s="67">
        <v>67983</v>
      </c>
      <c r="K56" s="67">
        <v>71383</v>
      </c>
      <c r="L56" s="67">
        <v>74952</v>
      </c>
      <c r="M56" s="68"/>
      <c r="N56" s="51"/>
      <c r="O56" s="51" t="str">
        <f t="shared" si="4"/>
        <v>313</v>
      </c>
      <c r="P56" s="51" t="str">
        <f t="shared" si="5"/>
        <v>31</v>
      </c>
      <c r="Q56" s="51" t="str">
        <f t="shared" si="6"/>
        <v>31</v>
      </c>
      <c r="R56" s="51" t="str">
        <f t="shared" si="7"/>
        <v>15</v>
      </c>
      <c r="S56" s="51"/>
      <c r="T56" s="51"/>
      <c r="U56" s="51"/>
      <c r="V56" s="51">
        <v>3661</v>
      </c>
      <c r="W56" s="51" t="s">
        <v>803</v>
      </c>
      <c r="X56" s="51"/>
      <c r="Y56" s="82" t="str">
        <f t="shared" si="8"/>
        <v>36</v>
      </c>
      <c r="Z56" s="51" t="str">
        <f t="shared" si="9"/>
        <v>366</v>
      </c>
      <c r="AA56" s="51"/>
      <c r="AB56" s="69" t="s">
        <v>804</v>
      </c>
      <c r="AC56" s="69" t="s">
        <v>805</v>
      </c>
      <c r="AD56" s="51" t="s">
        <v>794</v>
      </c>
      <c r="AE56" s="51" t="s">
        <v>795</v>
      </c>
      <c r="AF56" s="51" t="s">
        <v>636</v>
      </c>
      <c r="AG56" s="51" t="s">
        <v>796</v>
      </c>
    </row>
    <row r="57" spans="1:33" ht="15.75" customHeight="1">
      <c r="A57" s="62" t="str">
        <f>IF(C57="","",VLOOKUP('OPĆI DIO'!$C$3,'OPĆI DIO'!$L$6:$U$120,10,FALSE))</f>
        <v>08008</v>
      </c>
      <c r="B57" s="62" t="str">
        <f>IF(C57="","",VLOOKUP('OPĆI DIO'!$C$3,'OPĆI DIO'!$L$6:$U$120,9,FALSE))</f>
        <v>Javni instituti</v>
      </c>
      <c r="C57" s="84">
        <v>31</v>
      </c>
      <c r="D57" s="79" t="str">
        <f t="shared" si="12"/>
        <v>Vlastiti prihodi</v>
      </c>
      <c r="E57" s="84">
        <v>3236</v>
      </c>
      <c r="F57" s="79" t="str">
        <f t="shared" si="13"/>
        <v>Zdravstvene i veterinarske usluge</v>
      </c>
      <c r="G57" s="84" t="s">
        <v>779</v>
      </c>
      <c r="H57" s="79" t="str">
        <f t="shared" si="14"/>
        <v>REDOVNA DJELATNOST JAVNIH INSTITUTA (IZ EVIDENCIJSKIH PRIHODA)</v>
      </c>
      <c r="I57" s="79" t="str">
        <f t="shared" si="15"/>
        <v>0150</v>
      </c>
      <c r="J57" s="67">
        <v>57077</v>
      </c>
      <c r="K57" s="67">
        <v>59931</v>
      </c>
      <c r="L57" s="67">
        <v>62927</v>
      </c>
      <c r="M57" s="68"/>
      <c r="N57" s="51"/>
      <c r="O57" s="51" t="str">
        <f t="shared" si="4"/>
        <v>323</v>
      </c>
      <c r="P57" s="51" t="str">
        <f t="shared" si="5"/>
        <v>32</v>
      </c>
      <c r="Q57" s="51" t="str">
        <f t="shared" si="6"/>
        <v>31</v>
      </c>
      <c r="R57" s="51" t="str">
        <f t="shared" si="7"/>
        <v>15</v>
      </c>
      <c r="S57" s="51"/>
      <c r="T57" s="51"/>
      <c r="U57" s="51"/>
      <c r="V57" s="51">
        <v>3662</v>
      </c>
      <c r="W57" s="51" t="s">
        <v>806</v>
      </c>
      <c r="X57" s="51"/>
      <c r="Y57" s="82" t="str">
        <f t="shared" si="8"/>
        <v>36</v>
      </c>
      <c r="Z57" s="51" t="str">
        <f t="shared" si="9"/>
        <v>366</v>
      </c>
      <c r="AA57" s="51"/>
      <c r="AB57" s="69" t="s">
        <v>807</v>
      </c>
      <c r="AC57" s="69" t="s">
        <v>808</v>
      </c>
      <c r="AD57" s="51" t="s">
        <v>794</v>
      </c>
      <c r="AE57" s="51" t="s">
        <v>795</v>
      </c>
      <c r="AF57" s="51" t="s">
        <v>636</v>
      </c>
      <c r="AG57" s="51" t="s">
        <v>796</v>
      </c>
    </row>
    <row r="58" spans="1:33" ht="15.75" customHeight="1">
      <c r="A58" s="62" t="str">
        <f>IF(C58="","",VLOOKUP('OPĆI DIO'!$C$3,'OPĆI DIO'!$L$6:$U$120,10,FALSE))</f>
        <v>08008</v>
      </c>
      <c r="B58" s="62" t="str">
        <f>IF(C58="","",VLOOKUP('OPĆI DIO'!$C$3,'OPĆI DIO'!$L$6:$U$120,9,FALSE))</f>
        <v>Javni instituti</v>
      </c>
      <c r="C58" s="84">
        <v>31</v>
      </c>
      <c r="D58" s="79" t="str">
        <f t="shared" si="12"/>
        <v>Vlastiti prihodi</v>
      </c>
      <c r="E58" s="84">
        <v>3299</v>
      </c>
      <c r="F58" s="79" t="str">
        <f t="shared" si="13"/>
        <v>Ostali nespomenuti rashodi poslovanja</v>
      </c>
      <c r="G58" s="84" t="s">
        <v>779</v>
      </c>
      <c r="H58" s="79" t="str">
        <f t="shared" si="14"/>
        <v>REDOVNA DJELATNOST JAVNIH INSTITUTA (IZ EVIDENCIJSKIH PRIHODA)</v>
      </c>
      <c r="I58" s="79" t="str">
        <f t="shared" si="15"/>
        <v>0150</v>
      </c>
      <c r="J58" s="67">
        <v>33938</v>
      </c>
      <c r="K58" s="67">
        <v>35635</v>
      </c>
      <c r="L58" s="67">
        <v>37417</v>
      </c>
      <c r="M58" s="68"/>
      <c r="N58" s="51"/>
      <c r="O58" s="51" t="str">
        <f t="shared" si="4"/>
        <v>329</v>
      </c>
      <c r="P58" s="51" t="str">
        <f t="shared" si="5"/>
        <v>32</v>
      </c>
      <c r="Q58" s="51" t="str">
        <f t="shared" si="6"/>
        <v>31</v>
      </c>
      <c r="R58" s="51" t="str">
        <f t="shared" si="7"/>
        <v>15</v>
      </c>
      <c r="S58" s="51"/>
      <c r="T58" s="51"/>
      <c r="U58" s="51"/>
      <c r="V58" s="51">
        <v>3681</v>
      </c>
      <c r="W58" s="51" t="s">
        <v>809</v>
      </c>
      <c r="X58" s="51"/>
      <c r="Y58" s="82" t="str">
        <f t="shared" si="8"/>
        <v>36</v>
      </c>
      <c r="Z58" s="51" t="str">
        <f t="shared" si="9"/>
        <v>368</v>
      </c>
      <c r="AA58" s="51"/>
      <c r="AB58" s="69" t="s">
        <v>810</v>
      </c>
      <c r="AC58" s="69" t="s">
        <v>811</v>
      </c>
      <c r="AD58" s="51" t="s">
        <v>794</v>
      </c>
      <c r="AE58" s="51" t="s">
        <v>795</v>
      </c>
      <c r="AF58" s="51" t="s">
        <v>636</v>
      </c>
      <c r="AG58" s="51" t="s">
        <v>796</v>
      </c>
    </row>
    <row r="59" spans="1:33" ht="15.75" customHeight="1">
      <c r="A59" s="62" t="str">
        <f>IF(C59="","",VLOOKUP('OPĆI DIO'!$C$3,'OPĆI DIO'!$L$6:$U$120,10,FALSE))</f>
        <v>08008</v>
      </c>
      <c r="B59" s="62" t="str">
        <f>IF(C59="","",VLOOKUP('OPĆI DIO'!$C$3,'OPĆI DIO'!$L$6:$U$120,9,FALSE))</f>
        <v>Javni instituti</v>
      </c>
      <c r="C59" s="84">
        <v>31</v>
      </c>
      <c r="D59" s="79" t="str">
        <f t="shared" si="12"/>
        <v>Vlastiti prihodi</v>
      </c>
      <c r="E59" s="84">
        <v>4225</v>
      </c>
      <c r="F59" s="79" t="str">
        <f t="shared" si="13"/>
        <v>Instrumenti, uređaji i strojevi</v>
      </c>
      <c r="G59" s="84" t="s">
        <v>779</v>
      </c>
      <c r="H59" s="79" t="str">
        <f t="shared" si="14"/>
        <v>REDOVNA DJELATNOST JAVNIH INSTITUTA (IZ EVIDENCIJSKIH PRIHODA)</v>
      </c>
      <c r="I59" s="79" t="str">
        <f t="shared" si="15"/>
        <v>0150</v>
      </c>
      <c r="J59" s="67">
        <v>30420</v>
      </c>
      <c r="K59" s="67">
        <v>31941</v>
      </c>
      <c r="L59" s="67">
        <v>33538</v>
      </c>
      <c r="M59" s="68"/>
      <c r="N59" s="51"/>
      <c r="O59" s="51" t="str">
        <f t="shared" si="4"/>
        <v>422</v>
      </c>
      <c r="P59" s="51" t="str">
        <f t="shared" si="5"/>
        <v>42</v>
      </c>
      <c r="Q59" s="51" t="str">
        <f t="shared" si="6"/>
        <v>31</v>
      </c>
      <c r="R59" s="51" t="str">
        <f t="shared" si="7"/>
        <v>15</v>
      </c>
      <c r="S59" s="51"/>
      <c r="T59" s="51"/>
      <c r="U59" s="51"/>
      <c r="V59" s="51">
        <v>3682</v>
      </c>
      <c r="W59" s="51" t="s">
        <v>812</v>
      </c>
      <c r="X59" s="51"/>
      <c r="Y59" s="82" t="str">
        <f t="shared" si="8"/>
        <v>36</v>
      </c>
      <c r="Z59" s="51" t="str">
        <f t="shared" si="9"/>
        <v>368</v>
      </c>
      <c r="AA59" s="51"/>
      <c r="AB59" s="69" t="s">
        <v>813</v>
      </c>
      <c r="AC59" s="69" t="s">
        <v>814</v>
      </c>
      <c r="AD59" s="51" t="s">
        <v>794</v>
      </c>
      <c r="AE59" s="51" t="s">
        <v>795</v>
      </c>
      <c r="AF59" s="51" t="s">
        <v>636</v>
      </c>
      <c r="AG59" s="51" t="s">
        <v>796</v>
      </c>
    </row>
    <row r="60" spans="1:33" ht="15.75" customHeight="1">
      <c r="A60" s="62" t="str">
        <f>IF(C60="","",VLOOKUP('OPĆI DIO'!$C$3,'OPĆI DIO'!$L$6:$U$120,10,FALSE))</f>
        <v>08008</v>
      </c>
      <c r="B60" s="62" t="str">
        <f>IF(C60="","",VLOOKUP('OPĆI DIO'!$C$3,'OPĆI DIO'!$L$6:$U$120,9,FALSE))</f>
        <v>Javni instituti</v>
      </c>
      <c r="C60" s="84">
        <v>31</v>
      </c>
      <c r="D60" s="79" t="str">
        <f t="shared" si="12"/>
        <v>Vlastiti prihodi</v>
      </c>
      <c r="E60" s="84">
        <v>3221</v>
      </c>
      <c r="F60" s="79" t="str">
        <f t="shared" si="13"/>
        <v>Uredski materijal i ostali materijalni rashodi</v>
      </c>
      <c r="G60" s="84" t="s">
        <v>779</v>
      </c>
      <c r="H60" s="79" t="str">
        <f t="shared" si="14"/>
        <v>REDOVNA DJELATNOST JAVNIH INSTITUTA (IZ EVIDENCIJSKIH PRIHODA)</v>
      </c>
      <c r="I60" s="79" t="str">
        <f t="shared" si="15"/>
        <v>0150</v>
      </c>
      <c r="J60" s="67">
        <v>30387</v>
      </c>
      <c r="K60" s="67">
        <v>31906</v>
      </c>
      <c r="L60" s="67">
        <v>33501</v>
      </c>
      <c r="M60" s="68"/>
      <c r="N60" s="51"/>
      <c r="O60" s="51" t="str">
        <f t="shared" si="4"/>
        <v>322</v>
      </c>
      <c r="P60" s="51" t="str">
        <f t="shared" si="5"/>
        <v>32</v>
      </c>
      <c r="Q60" s="51" t="str">
        <f t="shared" si="6"/>
        <v>31</v>
      </c>
      <c r="R60" s="51" t="str">
        <f t="shared" si="7"/>
        <v>15</v>
      </c>
      <c r="S60" s="51"/>
      <c r="T60" s="51"/>
      <c r="U60" s="51"/>
      <c r="V60" s="51">
        <v>3691</v>
      </c>
      <c r="W60" s="51" t="s">
        <v>815</v>
      </c>
      <c r="X60" s="51"/>
      <c r="Y60" s="82" t="str">
        <f t="shared" si="8"/>
        <v>36</v>
      </c>
      <c r="Z60" s="51" t="str">
        <f t="shared" si="9"/>
        <v>369</v>
      </c>
      <c r="AA60" s="51"/>
      <c r="AB60" s="69" t="s">
        <v>816</v>
      </c>
      <c r="AC60" s="69" t="s">
        <v>817</v>
      </c>
      <c r="AD60" s="51" t="s">
        <v>794</v>
      </c>
      <c r="AE60" s="51" t="s">
        <v>795</v>
      </c>
      <c r="AF60" s="51" t="s">
        <v>636</v>
      </c>
      <c r="AG60" s="51" t="s">
        <v>796</v>
      </c>
    </row>
    <row r="61" spans="1:33" ht="15.75" customHeight="1">
      <c r="A61" s="62" t="str">
        <f>IF(C61="","",VLOOKUP('OPĆI DIO'!$C$3,'OPĆI DIO'!$L$6:$U$120,10,FALSE))</f>
        <v>08008</v>
      </c>
      <c r="B61" s="62" t="str">
        <f>IF(C61="","",VLOOKUP('OPĆI DIO'!$C$3,'OPĆI DIO'!$L$6:$U$120,9,FALSE))</f>
        <v>Javni instituti</v>
      </c>
      <c r="C61" s="84">
        <v>31</v>
      </c>
      <c r="D61" s="79" t="str">
        <f t="shared" si="12"/>
        <v>Vlastiti prihodi</v>
      </c>
      <c r="E61" s="84">
        <v>3239</v>
      </c>
      <c r="F61" s="79" t="str">
        <f t="shared" si="13"/>
        <v>Ostale usluge</v>
      </c>
      <c r="G61" s="84" t="s">
        <v>779</v>
      </c>
      <c r="H61" s="79" t="str">
        <f t="shared" si="14"/>
        <v>REDOVNA DJELATNOST JAVNIH INSTITUTA (IZ EVIDENCIJSKIH PRIHODA)</v>
      </c>
      <c r="I61" s="79" t="str">
        <f t="shared" si="15"/>
        <v>0150</v>
      </c>
      <c r="J61" s="67">
        <v>25562</v>
      </c>
      <c r="K61" s="67">
        <v>26840</v>
      </c>
      <c r="L61" s="67">
        <v>28182</v>
      </c>
      <c r="M61" s="68"/>
      <c r="N61" s="51"/>
      <c r="O61" s="51" t="str">
        <f t="shared" si="4"/>
        <v>323</v>
      </c>
      <c r="P61" s="51" t="str">
        <f t="shared" si="5"/>
        <v>32</v>
      </c>
      <c r="Q61" s="51" t="str">
        <f t="shared" si="6"/>
        <v>31</v>
      </c>
      <c r="R61" s="51" t="str">
        <f t="shared" si="7"/>
        <v>15</v>
      </c>
      <c r="S61" s="51"/>
      <c r="T61" s="51"/>
      <c r="U61" s="51"/>
      <c r="V61" s="51">
        <v>3692</v>
      </c>
      <c r="W61" s="51" t="s">
        <v>818</v>
      </c>
      <c r="X61" s="51"/>
      <c r="Y61" s="82" t="str">
        <f t="shared" si="8"/>
        <v>36</v>
      </c>
      <c r="Z61" s="51" t="str">
        <f t="shared" si="9"/>
        <v>369</v>
      </c>
      <c r="AA61" s="51"/>
      <c r="AB61" s="69" t="s">
        <v>819</v>
      </c>
      <c r="AC61" s="69" t="s">
        <v>820</v>
      </c>
      <c r="AD61" s="51" t="s">
        <v>794</v>
      </c>
      <c r="AE61" s="51" t="s">
        <v>795</v>
      </c>
      <c r="AF61" s="51" t="s">
        <v>636</v>
      </c>
      <c r="AG61" s="51" t="s">
        <v>796</v>
      </c>
    </row>
    <row r="62" spans="1:33" ht="15.75" customHeight="1">
      <c r="A62" s="62" t="str">
        <f>IF(C62="","",VLOOKUP('OPĆI DIO'!$C$3,'OPĆI DIO'!$L$6:$U$120,10,FALSE))</f>
        <v>08008</v>
      </c>
      <c r="B62" s="62" t="str">
        <f>IF(C62="","",VLOOKUP('OPĆI DIO'!$C$3,'OPĆI DIO'!$L$6:$U$120,9,FALSE))</f>
        <v>Javni instituti</v>
      </c>
      <c r="C62" s="84">
        <v>31</v>
      </c>
      <c r="D62" s="79" t="str">
        <f t="shared" si="12"/>
        <v>Vlastiti prihodi</v>
      </c>
      <c r="E62" s="84">
        <v>3293</v>
      </c>
      <c r="F62" s="79" t="str">
        <f t="shared" si="13"/>
        <v>Reprezentacija</v>
      </c>
      <c r="G62" s="84" t="s">
        <v>779</v>
      </c>
      <c r="H62" s="79" t="str">
        <f t="shared" si="14"/>
        <v>REDOVNA DJELATNOST JAVNIH INSTITUTA (IZ EVIDENCIJSKIH PRIHODA)</v>
      </c>
      <c r="I62" s="79" t="str">
        <f t="shared" si="15"/>
        <v>0150</v>
      </c>
      <c r="J62" s="67">
        <v>24878</v>
      </c>
      <c r="K62" s="67">
        <v>26122</v>
      </c>
      <c r="L62" s="67">
        <v>27428</v>
      </c>
      <c r="M62" s="68"/>
      <c r="N62" s="51"/>
      <c r="O62" s="51" t="str">
        <f t="shared" si="4"/>
        <v>329</v>
      </c>
      <c r="P62" s="51" t="str">
        <f t="shared" si="5"/>
        <v>32</v>
      </c>
      <c r="Q62" s="51" t="str">
        <f t="shared" si="6"/>
        <v>31</v>
      </c>
      <c r="R62" s="51" t="str">
        <f t="shared" si="7"/>
        <v>15</v>
      </c>
      <c r="S62" s="51"/>
      <c r="T62" s="51"/>
      <c r="U62" s="51"/>
      <c r="V62" s="51">
        <v>3693</v>
      </c>
      <c r="W62" s="51" t="s">
        <v>815</v>
      </c>
      <c r="X62" s="51"/>
      <c r="Y62" s="82" t="str">
        <f t="shared" si="8"/>
        <v>36</v>
      </c>
      <c r="Z62" s="51" t="str">
        <f t="shared" si="9"/>
        <v>369</v>
      </c>
      <c r="AA62" s="51"/>
      <c r="AB62" s="69" t="s">
        <v>821</v>
      </c>
      <c r="AC62" s="69" t="s">
        <v>822</v>
      </c>
      <c r="AD62" s="51" t="s">
        <v>668</v>
      </c>
      <c r="AE62" s="51" t="s">
        <v>669</v>
      </c>
      <c r="AF62" s="51" t="s">
        <v>636</v>
      </c>
      <c r="AG62" s="51" t="s">
        <v>670</v>
      </c>
    </row>
    <row r="63" spans="1:33" ht="15.75" customHeight="1">
      <c r="A63" s="62" t="str">
        <f>IF(C63="","",VLOOKUP('OPĆI DIO'!$C$3,'OPĆI DIO'!$L$6:$U$120,10,FALSE))</f>
        <v>08008</v>
      </c>
      <c r="B63" s="62" t="str">
        <f>IF(C63="","",VLOOKUP('OPĆI DIO'!$C$3,'OPĆI DIO'!$L$6:$U$120,9,FALSE))</f>
        <v>Javni instituti</v>
      </c>
      <c r="C63" s="84">
        <v>31</v>
      </c>
      <c r="D63" s="79" t="str">
        <f t="shared" si="12"/>
        <v>Vlastiti prihodi</v>
      </c>
      <c r="E63" s="84">
        <v>3213</v>
      </c>
      <c r="F63" s="79" t="str">
        <f t="shared" si="13"/>
        <v>Stručno usavršavanje zaposlenika</v>
      </c>
      <c r="G63" s="84" t="s">
        <v>779</v>
      </c>
      <c r="H63" s="79" t="str">
        <f t="shared" si="14"/>
        <v>REDOVNA DJELATNOST JAVNIH INSTITUTA (IZ EVIDENCIJSKIH PRIHODA)</v>
      </c>
      <c r="I63" s="79" t="str">
        <f t="shared" si="15"/>
        <v>0150</v>
      </c>
      <c r="J63" s="67">
        <v>24125</v>
      </c>
      <c r="K63" s="67">
        <v>25331</v>
      </c>
      <c r="L63" s="67">
        <v>26598</v>
      </c>
      <c r="M63" s="68"/>
      <c r="N63" s="51"/>
      <c r="O63" s="51" t="str">
        <f t="shared" si="4"/>
        <v>321</v>
      </c>
      <c r="P63" s="51" t="str">
        <f t="shared" si="5"/>
        <v>32</v>
      </c>
      <c r="Q63" s="51" t="str">
        <f t="shared" si="6"/>
        <v>31</v>
      </c>
      <c r="R63" s="51" t="str">
        <f t="shared" si="7"/>
        <v>15</v>
      </c>
      <c r="S63" s="51"/>
      <c r="T63" s="51"/>
      <c r="U63" s="51"/>
      <c r="V63" s="51">
        <v>3694</v>
      </c>
      <c r="W63" s="51" t="s">
        <v>818</v>
      </c>
      <c r="X63" s="51"/>
      <c r="Y63" s="82" t="str">
        <f t="shared" si="8"/>
        <v>36</v>
      </c>
      <c r="Z63" s="51" t="str">
        <f t="shared" si="9"/>
        <v>369</v>
      </c>
      <c r="AA63" s="51"/>
      <c r="AB63" s="69" t="s">
        <v>823</v>
      </c>
      <c r="AC63" s="69" t="s">
        <v>824</v>
      </c>
      <c r="AD63" s="51" t="s">
        <v>668</v>
      </c>
      <c r="AE63" s="51" t="s">
        <v>669</v>
      </c>
      <c r="AF63" s="51" t="s">
        <v>636</v>
      </c>
      <c r="AG63" s="51" t="s">
        <v>670</v>
      </c>
    </row>
    <row r="64" spans="1:33" ht="15.75" customHeight="1">
      <c r="A64" s="62" t="str">
        <f>IF(C64="","",VLOOKUP('OPĆI DIO'!$C$3,'OPĆI DIO'!$L$6:$U$120,10,FALSE))</f>
        <v>08008</v>
      </c>
      <c r="B64" s="62" t="str">
        <f>IF(C64="","",VLOOKUP('OPĆI DIO'!$C$3,'OPĆI DIO'!$L$6:$U$120,9,FALSE))</f>
        <v>Javni instituti</v>
      </c>
      <c r="C64" s="84">
        <v>31</v>
      </c>
      <c r="D64" s="79" t="str">
        <f t="shared" si="12"/>
        <v>Vlastiti prihodi</v>
      </c>
      <c r="E64" s="84">
        <v>3214</v>
      </c>
      <c r="F64" s="79" t="str">
        <f t="shared" si="13"/>
        <v>Ostale naknade troškova zaposlenima</v>
      </c>
      <c r="G64" s="84" t="s">
        <v>779</v>
      </c>
      <c r="H64" s="79" t="str">
        <f t="shared" si="14"/>
        <v>REDOVNA DJELATNOST JAVNIH INSTITUTA (IZ EVIDENCIJSKIH PRIHODA)</v>
      </c>
      <c r="I64" s="79" t="str">
        <f t="shared" si="15"/>
        <v>0150</v>
      </c>
      <c r="J64" s="67">
        <v>23760</v>
      </c>
      <c r="K64" s="67">
        <v>24948</v>
      </c>
      <c r="L64" s="67">
        <v>26195</v>
      </c>
      <c r="M64" s="68"/>
      <c r="N64" s="51"/>
      <c r="O64" s="51" t="str">
        <f t="shared" si="4"/>
        <v>321</v>
      </c>
      <c r="P64" s="51" t="str">
        <f t="shared" si="5"/>
        <v>32</v>
      </c>
      <c r="Q64" s="51" t="str">
        <f t="shared" si="6"/>
        <v>31</v>
      </c>
      <c r="R64" s="51" t="str">
        <f t="shared" si="7"/>
        <v>15</v>
      </c>
      <c r="S64" s="51"/>
      <c r="T64" s="51"/>
      <c r="U64" s="51"/>
      <c r="V64" s="51">
        <v>3711</v>
      </c>
      <c r="W64" s="51" t="s">
        <v>825</v>
      </c>
      <c r="X64" s="51"/>
      <c r="Y64" s="82" t="str">
        <f t="shared" si="8"/>
        <v>37</v>
      </c>
      <c r="Z64" s="51" t="str">
        <f t="shared" si="9"/>
        <v>371</v>
      </c>
      <c r="AA64" s="51"/>
      <c r="AB64" s="69" t="s">
        <v>826</v>
      </c>
      <c r="AC64" s="69" t="s">
        <v>827</v>
      </c>
      <c r="AD64" s="51" t="s">
        <v>668</v>
      </c>
      <c r="AE64" s="51" t="s">
        <v>669</v>
      </c>
      <c r="AF64" s="51" t="s">
        <v>636</v>
      </c>
      <c r="AG64" s="51" t="s">
        <v>670</v>
      </c>
    </row>
    <row r="65" spans="1:33" ht="15.75" customHeight="1">
      <c r="A65" s="62" t="str">
        <f>IF(C65="","",VLOOKUP('OPĆI DIO'!$C$3,'OPĆI DIO'!$L$6:$U$120,10,FALSE))</f>
        <v>08008</v>
      </c>
      <c r="B65" s="62" t="str">
        <f>IF(C65="","",VLOOKUP('OPĆI DIO'!$C$3,'OPĆI DIO'!$L$6:$U$120,9,FALSE))</f>
        <v>Javni instituti</v>
      </c>
      <c r="C65" s="84">
        <v>31</v>
      </c>
      <c r="D65" s="79" t="str">
        <f t="shared" si="12"/>
        <v>Vlastiti prihodi</v>
      </c>
      <c r="E65" s="84">
        <v>3235</v>
      </c>
      <c r="F65" s="79" t="str">
        <f t="shared" si="13"/>
        <v>Zakupnine i najamnine</v>
      </c>
      <c r="G65" s="84" t="s">
        <v>779</v>
      </c>
      <c r="H65" s="79" t="str">
        <f t="shared" si="14"/>
        <v>REDOVNA DJELATNOST JAVNIH INSTITUTA (IZ EVIDENCIJSKIH PRIHODA)</v>
      </c>
      <c r="I65" s="79" t="str">
        <f t="shared" si="15"/>
        <v>0150</v>
      </c>
      <c r="J65" s="67">
        <v>23480</v>
      </c>
      <c r="K65" s="67">
        <v>24654</v>
      </c>
      <c r="L65" s="67">
        <v>25887</v>
      </c>
      <c r="M65" s="68"/>
      <c r="N65" s="51"/>
      <c r="O65" s="51" t="str">
        <f t="shared" si="4"/>
        <v>323</v>
      </c>
      <c r="P65" s="51" t="str">
        <f t="shared" si="5"/>
        <v>32</v>
      </c>
      <c r="Q65" s="51" t="str">
        <f t="shared" si="6"/>
        <v>31</v>
      </c>
      <c r="R65" s="51" t="str">
        <f t="shared" si="7"/>
        <v>15</v>
      </c>
      <c r="S65" s="51"/>
      <c r="T65" s="51"/>
      <c r="U65" s="51"/>
      <c r="V65" s="51">
        <v>3712</v>
      </c>
      <c r="W65" s="51" t="s">
        <v>828</v>
      </c>
      <c r="X65" s="51"/>
      <c r="Y65" s="82" t="str">
        <f t="shared" si="8"/>
        <v>37</v>
      </c>
      <c r="Z65" s="51" t="str">
        <f t="shared" si="9"/>
        <v>371</v>
      </c>
      <c r="AA65" s="51"/>
      <c r="AB65" s="69" t="s">
        <v>829</v>
      </c>
      <c r="AC65" s="69" t="s">
        <v>830</v>
      </c>
      <c r="AD65" s="51" t="s">
        <v>794</v>
      </c>
      <c r="AE65" s="51" t="s">
        <v>795</v>
      </c>
      <c r="AF65" s="51" t="s">
        <v>636</v>
      </c>
      <c r="AG65" s="51" t="s">
        <v>796</v>
      </c>
    </row>
    <row r="66" spans="1:33" ht="15.75" customHeight="1">
      <c r="A66" s="62" t="str">
        <f>IF(C66="","",VLOOKUP('OPĆI DIO'!$C$3,'OPĆI DIO'!$L$6:$U$120,10,FALSE))</f>
        <v>08008</v>
      </c>
      <c r="B66" s="62" t="str">
        <f>IF(C66="","",VLOOKUP('OPĆI DIO'!$C$3,'OPĆI DIO'!$L$6:$U$120,9,FALSE))</f>
        <v>Javni instituti</v>
      </c>
      <c r="C66" s="84">
        <v>31</v>
      </c>
      <c r="D66" s="79" t="str">
        <f t="shared" si="12"/>
        <v>Vlastiti prihodi</v>
      </c>
      <c r="E66" s="84">
        <v>4262</v>
      </c>
      <c r="F66" s="79" t="str">
        <f t="shared" si="13"/>
        <v>Ulaganja u računalne programe</v>
      </c>
      <c r="G66" s="84" t="s">
        <v>779</v>
      </c>
      <c r="H66" s="79" t="str">
        <f t="shared" si="14"/>
        <v>REDOVNA DJELATNOST JAVNIH INSTITUTA (IZ EVIDENCIJSKIH PRIHODA)</v>
      </c>
      <c r="I66" s="79" t="str">
        <f t="shared" si="15"/>
        <v>0150</v>
      </c>
      <c r="J66" s="67">
        <v>23448</v>
      </c>
      <c r="K66" s="67">
        <v>24621</v>
      </c>
      <c r="L66" s="67">
        <v>25852</v>
      </c>
      <c r="M66" s="68"/>
      <c r="N66" s="51"/>
      <c r="O66" s="51" t="str">
        <f t="shared" si="4"/>
        <v>426</v>
      </c>
      <c r="P66" s="51" t="str">
        <f t="shared" si="5"/>
        <v>42</v>
      </c>
      <c r="Q66" s="51" t="str">
        <f t="shared" si="6"/>
        <v>31</v>
      </c>
      <c r="R66" s="51" t="str">
        <f t="shared" si="7"/>
        <v>15</v>
      </c>
      <c r="S66" s="51"/>
      <c r="T66" s="51"/>
      <c r="U66" s="51"/>
      <c r="V66" s="51">
        <v>3713</v>
      </c>
      <c r="W66" s="51" t="s">
        <v>831</v>
      </c>
      <c r="X66" s="51"/>
      <c r="Y66" s="82" t="str">
        <f t="shared" si="8"/>
        <v>37</v>
      </c>
      <c r="Z66" s="51" t="str">
        <f t="shared" si="9"/>
        <v>371</v>
      </c>
      <c r="AA66" s="51"/>
      <c r="AB66" s="69" t="s">
        <v>832</v>
      </c>
      <c r="AC66" s="69" t="s">
        <v>833</v>
      </c>
      <c r="AD66" s="51" t="s">
        <v>668</v>
      </c>
      <c r="AE66" s="51" t="s">
        <v>669</v>
      </c>
      <c r="AF66" s="51" t="s">
        <v>636</v>
      </c>
      <c r="AG66" s="51" t="s">
        <v>670</v>
      </c>
    </row>
    <row r="67" spans="1:33" ht="15.75" customHeight="1">
      <c r="A67" s="62" t="str">
        <f>IF(C67="","",VLOOKUP('OPĆI DIO'!$C$3,'OPĆI DIO'!$L$6:$U$120,10,FALSE))</f>
        <v>08008</v>
      </c>
      <c r="B67" s="62" t="str">
        <f>IF(C67="","",VLOOKUP('OPĆI DIO'!$C$3,'OPĆI DIO'!$L$6:$U$120,9,FALSE))</f>
        <v>Javni instituti</v>
      </c>
      <c r="C67" s="84">
        <v>31</v>
      </c>
      <c r="D67" s="79" t="str">
        <f t="shared" si="12"/>
        <v>Vlastiti prihodi</v>
      </c>
      <c r="E67" s="84">
        <v>3237</v>
      </c>
      <c r="F67" s="79" t="str">
        <f t="shared" si="13"/>
        <v>Intelektualne i osobne usluge</v>
      </c>
      <c r="G67" s="84" t="s">
        <v>779</v>
      </c>
      <c r="H67" s="79" t="str">
        <f t="shared" si="14"/>
        <v>REDOVNA DJELATNOST JAVNIH INSTITUTA (IZ EVIDENCIJSKIH PRIHODA)</v>
      </c>
      <c r="I67" s="79" t="str">
        <f t="shared" si="15"/>
        <v>0150</v>
      </c>
      <c r="J67" s="67">
        <v>22294</v>
      </c>
      <c r="K67" s="67">
        <v>23408</v>
      </c>
      <c r="L67" s="67">
        <v>24579</v>
      </c>
      <c r="M67" s="68"/>
      <c r="N67" s="51"/>
      <c r="O67" s="51" t="str">
        <f t="shared" si="4"/>
        <v>323</v>
      </c>
      <c r="P67" s="51" t="str">
        <f t="shared" si="5"/>
        <v>32</v>
      </c>
      <c r="Q67" s="51" t="str">
        <f t="shared" si="6"/>
        <v>31</v>
      </c>
      <c r="R67" s="51" t="str">
        <f t="shared" si="7"/>
        <v>15</v>
      </c>
      <c r="S67" s="51"/>
      <c r="T67" s="51"/>
      <c r="U67" s="51"/>
      <c r="V67" s="51">
        <v>3714</v>
      </c>
      <c r="W67" s="51" t="s">
        <v>834</v>
      </c>
      <c r="X67" s="51"/>
      <c r="Y67" s="82" t="str">
        <f t="shared" si="8"/>
        <v>37</v>
      </c>
      <c r="Z67" s="51" t="str">
        <f t="shared" si="9"/>
        <v>371</v>
      </c>
      <c r="AA67" s="51"/>
      <c r="AB67" s="69" t="s">
        <v>835</v>
      </c>
      <c r="AC67" s="69" t="s">
        <v>836</v>
      </c>
      <c r="AD67" s="51" t="s">
        <v>641</v>
      </c>
      <c r="AE67" s="51" t="s">
        <v>642</v>
      </c>
      <c r="AF67" s="51" t="s">
        <v>643</v>
      </c>
      <c r="AG67" s="51" t="s">
        <v>644</v>
      </c>
    </row>
    <row r="68" spans="1:33" ht="15.75" customHeight="1">
      <c r="A68" s="62" t="str">
        <f>IF(C68="","",VLOOKUP('OPĆI DIO'!$C$3,'OPĆI DIO'!$L$6:$U$120,10,FALSE))</f>
        <v>08008</v>
      </c>
      <c r="B68" s="62" t="str">
        <f>IF(C68="","",VLOOKUP('OPĆI DIO'!$C$3,'OPĆI DIO'!$L$6:$U$120,9,FALSE))</f>
        <v>Javni instituti</v>
      </c>
      <c r="C68" s="84">
        <v>31</v>
      </c>
      <c r="D68" s="79" t="str">
        <f t="shared" si="12"/>
        <v>Vlastiti prihodi</v>
      </c>
      <c r="E68" s="84">
        <v>3233</v>
      </c>
      <c r="F68" s="79" t="str">
        <f t="shared" si="13"/>
        <v>Usluge promidžbe i informiranja</v>
      </c>
      <c r="G68" s="84" t="s">
        <v>779</v>
      </c>
      <c r="H68" s="79" t="str">
        <f t="shared" si="14"/>
        <v>REDOVNA DJELATNOST JAVNIH INSTITUTA (IZ EVIDENCIJSKIH PRIHODA)</v>
      </c>
      <c r="I68" s="79" t="str">
        <f t="shared" si="15"/>
        <v>0150</v>
      </c>
      <c r="J68" s="67">
        <v>21939</v>
      </c>
      <c r="K68" s="67">
        <v>23036</v>
      </c>
      <c r="L68" s="67">
        <v>24188</v>
      </c>
      <c r="M68" s="68"/>
      <c r="N68" s="51"/>
      <c r="O68" s="51" t="str">
        <f t="shared" si="4"/>
        <v>323</v>
      </c>
      <c r="P68" s="51" t="str">
        <f t="shared" si="5"/>
        <v>32</v>
      </c>
      <c r="Q68" s="51" t="str">
        <f t="shared" si="6"/>
        <v>31</v>
      </c>
      <c r="R68" s="51" t="str">
        <f t="shared" si="7"/>
        <v>15</v>
      </c>
      <c r="S68" s="51"/>
      <c r="T68" s="51"/>
      <c r="U68" s="51"/>
      <c r="V68" s="51">
        <v>3715</v>
      </c>
      <c r="W68" s="51" t="s">
        <v>837</v>
      </c>
      <c r="X68" s="51"/>
      <c r="Y68" s="82" t="str">
        <f t="shared" si="8"/>
        <v>37</v>
      </c>
      <c r="Z68" s="51" t="str">
        <f t="shared" si="9"/>
        <v>371</v>
      </c>
      <c r="AA68" s="51"/>
      <c r="AB68" s="69" t="s">
        <v>838</v>
      </c>
      <c r="AC68" s="69" t="s">
        <v>839</v>
      </c>
      <c r="AD68" s="51" t="s">
        <v>641</v>
      </c>
      <c r="AE68" s="51" t="s">
        <v>642</v>
      </c>
      <c r="AF68" s="51" t="s">
        <v>643</v>
      </c>
      <c r="AG68" s="51" t="s">
        <v>644</v>
      </c>
    </row>
    <row r="69" spans="1:33" ht="15.75" customHeight="1">
      <c r="A69" s="62" t="str">
        <f>IF(C69="","",VLOOKUP('OPĆI DIO'!$C$3,'OPĆI DIO'!$L$6:$U$120,10,FALSE))</f>
        <v>08008</v>
      </c>
      <c r="B69" s="62" t="str">
        <f>IF(C69="","",VLOOKUP('OPĆI DIO'!$C$3,'OPĆI DIO'!$L$6:$U$120,9,FALSE))</f>
        <v>Javni instituti</v>
      </c>
      <c r="C69" s="84">
        <v>31</v>
      </c>
      <c r="D69" s="79" t="str">
        <f t="shared" si="12"/>
        <v>Vlastiti prihodi</v>
      </c>
      <c r="E69" s="84">
        <v>3231</v>
      </c>
      <c r="F69" s="79" t="str">
        <f t="shared" si="13"/>
        <v>Usluge telefona, pošte i prijevoza</v>
      </c>
      <c r="G69" s="84" t="s">
        <v>779</v>
      </c>
      <c r="H69" s="79" t="str">
        <f t="shared" si="14"/>
        <v>REDOVNA DJELATNOST JAVNIH INSTITUTA (IZ EVIDENCIJSKIH PRIHODA)</v>
      </c>
      <c r="I69" s="79" t="str">
        <f t="shared" si="15"/>
        <v>0150</v>
      </c>
      <c r="J69" s="67">
        <v>19963</v>
      </c>
      <c r="K69" s="67">
        <v>20961</v>
      </c>
      <c r="L69" s="67">
        <v>22009</v>
      </c>
      <c r="M69" s="68"/>
      <c r="N69" s="51"/>
      <c r="O69" s="51" t="str">
        <f t="shared" si="4"/>
        <v>323</v>
      </c>
      <c r="P69" s="51" t="str">
        <f t="shared" si="5"/>
        <v>32</v>
      </c>
      <c r="Q69" s="51" t="str">
        <f t="shared" si="6"/>
        <v>31</v>
      </c>
      <c r="R69" s="51" t="str">
        <f t="shared" si="7"/>
        <v>15</v>
      </c>
      <c r="S69" s="51"/>
      <c r="T69" s="51"/>
      <c r="U69" s="51"/>
      <c r="V69" s="51">
        <v>3721</v>
      </c>
      <c r="W69" s="51" t="s">
        <v>840</v>
      </c>
      <c r="X69" s="51"/>
      <c r="Y69" s="82" t="str">
        <f t="shared" si="8"/>
        <v>37</v>
      </c>
      <c r="Z69" s="51" t="str">
        <f t="shared" si="9"/>
        <v>372</v>
      </c>
      <c r="AA69" s="51"/>
      <c r="AB69" s="69" t="s">
        <v>841</v>
      </c>
      <c r="AC69" s="69" t="s">
        <v>842</v>
      </c>
      <c r="AD69" s="51" t="s">
        <v>641</v>
      </c>
      <c r="AE69" s="51" t="s">
        <v>642</v>
      </c>
      <c r="AF69" s="51" t="s">
        <v>643</v>
      </c>
      <c r="AG69" s="51" t="s">
        <v>644</v>
      </c>
    </row>
    <row r="70" spans="1:33" ht="15.75" customHeight="1">
      <c r="A70" s="62" t="str">
        <f>IF(C70="","",VLOOKUP('OPĆI DIO'!$C$3,'OPĆI DIO'!$L$6:$U$120,10,FALSE))</f>
        <v>08008</v>
      </c>
      <c r="B70" s="62" t="str">
        <f>IF(C70="","",VLOOKUP('OPĆI DIO'!$C$3,'OPĆI DIO'!$L$6:$U$120,9,FALSE))</f>
        <v>Javni instituti</v>
      </c>
      <c r="C70" s="84">
        <v>31</v>
      </c>
      <c r="D70" s="79" t="str">
        <f t="shared" si="12"/>
        <v>Vlastiti prihodi</v>
      </c>
      <c r="E70" s="84">
        <v>3223</v>
      </c>
      <c r="F70" s="79" t="str">
        <f t="shared" si="13"/>
        <v>Energija</v>
      </c>
      <c r="G70" s="84" t="s">
        <v>779</v>
      </c>
      <c r="H70" s="79" t="str">
        <f t="shared" si="14"/>
        <v>REDOVNA DJELATNOST JAVNIH INSTITUTA (IZ EVIDENCIJSKIH PRIHODA)</v>
      </c>
      <c r="I70" s="79" t="str">
        <f t="shared" si="15"/>
        <v>0150</v>
      </c>
      <c r="J70" s="67">
        <v>18571</v>
      </c>
      <c r="K70" s="67">
        <v>19500</v>
      </c>
      <c r="L70" s="67">
        <v>20475</v>
      </c>
      <c r="M70" s="68"/>
      <c r="N70" s="51"/>
      <c r="O70" s="51" t="str">
        <f t="shared" si="4"/>
        <v>322</v>
      </c>
      <c r="P70" s="51" t="str">
        <f t="shared" si="5"/>
        <v>32</v>
      </c>
      <c r="Q70" s="51" t="str">
        <f t="shared" si="6"/>
        <v>31</v>
      </c>
      <c r="R70" s="51" t="str">
        <f t="shared" si="7"/>
        <v>15</v>
      </c>
      <c r="S70" s="51"/>
      <c r="T70" s="51"/>
      <c r="U70" s="51"/>
      <c r="V70" s="51">
        <v>3722</v>
      </c>
      <c r="W70" s="51" t="s">
        <v>843</v>
      </c>
      <c r="X70" s="51"/>
      <c r="Y70" s="82" t="str">
        <f t="shared" si="8"/>
        <v>37</v>
      </c>
      <c r="Z70" s="51" t="str">
        <f t="shared" si="9"/>
        <v>372</v>
      </c>
      <c r="AA70" s="51"/>
      <c r="AB70" s="69" t="s">
        <v>844</v>
      </c>
      <c r="AC70" s="69" t="s">
        <v>845</v>
      </c>
      <c r="AD70" s="51" t="s">
        <v>641</v>
      </c>
      <c r="AE70" s="51" t="s">
        <v>642</v>
      </c>
      <c r="AF70" s="51" t="s">
        <v>643</v>
      </c>
      <c r="AG70" s="51" t="s">
        <v>644</v>
      </c>
    </row>
    <row r="71" spans="1:33" ht="15.75" customHeight="1">
      <c r="A71" s="62" t="str">
        <f>IF(C71="","",VLOOKUP('OPĆI DIO'!$C$3,'OPĆI DIO'!$L$6:$U$120,10,FALSE))</f>
        <v>08008</v>
      </c>
      <c r="B71" s="62" t="str">
        <f>IF(C71="","",VLOOKUP('OPĆI DIO'!$C$3,'OPĆI DIO'!$L$6:$U$120,9,FALSE))</f>
        <v>Javni instituti</v>
      </c>
      <c r="C71" s="84">
        <v>31</v>
      </c>
      <c r="D71" s="79" t="str">
        <f t="shared" si="12"/>
        <v>Vlastiti prihodi</v>
      </c>
      <c r="E71" s="84">
        <v>3113</v>
      </c>
      <c r="F71" s="79" t="str">
        <f t="shared" si="13"/>
        <v>Plaće za prekovremeni rad</v>
      </c>
      <c r="G71" s="84" t="s">
        <v>779</v>
      </c>
      <c r="H71" s="79" t="str">
        <f t="shared" si="14"/>
        <v>REDOVNA DJELATNOST JAVNIH INSTITUTA (IZ EVIDENCIJSKIH PRIHODA)</v>
      </c>
      <c r="I71" s="79" t="str">
        <f t="shared" si="15"/>
        <v>0150</v>
      </c>
      <c r="J71" s="67">
        <v>16748</v>
      </c>
      <c r="K71" s="67">
        <v>17585</v>
      </c>
      <c r="L71" s="67">
        <v>18465</v>
      </c>
      <c r="M71" s="68"/>
      <c r="N71" s="51"/>
      <c r="O71" s="51" t="str">
        <f t="shared" si="4"/>
        <v>311</v>
      </c>
      <c r="P71" s="51" t="str">
        <f t="shared" si="5"/>
        <v>31</v>
      </c>
      <c r="Q71" s="51" t="str">
        <f t="shared" si="6"/>
        <v>31</v>
      </c>
      <c r="R71" s="51" t="str">
        <f t="shared" si="7"/>
        <v>15</v>
      </c>
      <c r="S71" s="51"/>
      <c r="T71" s="51"/>
      <c r="U71" s="51"/>
      <c r="V71" s="51">
        <v>3723</v>
      </c>
      <c r="W71" s="51" t="s">
        <v>846</v>
      </c>
      <c r="X71" s="51"/>
      <c r="Y71" s="82" t="str">
        <f t="shared" si="8"/>
        <v>37</v>
      </c>
      <c r="Z71" s="51" t="str">
        <f t="shared" si="9"/>
        <v>372</v>
      </c>
      <c r="AA71" s="51"/>
      <c r="AB71" s="69" t="s">
        <v>847</v>
      </c>
      <c r="AC71" s="69" t="s">
        <v>848</v>
      </c>
      <c r="AD71" s="51" t="s">
        <v>641</v>
      </c>
      <c r="AE71" s="51" t="s">
        <v>642</v>
      </c>
      <c r="AF71" s="51" t="s">
        <v>643</v>
      </c>
      <c r="AG71" s="51" t="s">
        <v>644</v>
      </c>
    </row>
    <row r="72" spans="1:33" ht="15.75" customHeight="1">
      <c r="A72" s="62" t="str">
        <f>IF(C72="","",VLOOKUP('OPĆI DIO'!$C$3,'OPĆI DIO'!$L$6:$U$120,10,FALSE))</f>
        <v>08008</v>
      </c>
      <c r="B72" s="62" t="str">
        <f>IF(C72="","",VLOOKUP('OPĆI DIO'!$C$3,'OPĆI DIO'!$L$6:$U$120,9,FALSE))</f>
        <v>Javni instituti</v>
      </c>
      <c r="C72" s="84">
        <v>31</v>
      </c>
      <c r="D72" s="79" t="str">
        <f t="shared" si="12"/>
        <v>Vlastiti prihodi</v>
      </c>
      <c r="E72" s="84">
        <v>3721</v>
      </c>
      <c r="F72" s="79" t="str">
        <f t="shared" si="13"/>
        <v>Naknade građanima i kućanstvima u novcu</v>
      </c>
      <c r="G72" s="84" t="s">
        <v>779</v>
      </c>
      <c r="H72" s="79" t="str">
        <f t="shared" si="14"/>
        <v>REDOVNA DJELATNOST JAVNIH INSTITUTA (IZ EVIDENCIJSKIH PRIHODA)</v>
      </c>
      <c r="I72" s="79" t="str">
        <f t="shared" si="15"/>
        <v>0150</v>
      </c>
      <c r="J72" s="67">
        <v>14722</v>
      </c>
      <c r="K72" s="67">
        <v>15458</v>
      </c>
      <c r="L72" s="67">
        <v>16231</v>
      </c>
      <c r="M72" s="68"/>
      <c r="N72" s="51"/>
      <c r="O72" s="51" t="str">
        <f t="shared" si="4"/>
        <v>372</v>
      </c>
      <c r="P72" s="51" t="str">
        <f t="shared" si="5"/>
        <v>37</v>
      </c>
      <c r="Q72" s="51" t="str">
        <f t="shared" si="6"/>
        <v>31</v>
      </c>
      <c r="R72" s="51" t="str">
        <f t="shared" si="7"/>
        <v>15</v>
      </c>
      <c r="S72" s="51"/>
      <c r="T72" s="51"/>
      <c r="U72" s="51"/>
      <c r="V72" s="51">
        <v>3811</v>
      </c>
      <c r="W72" s="51" t="s">
        <v>849</v>
      </c>
      <c r="X72" s="51"/>
      <c r="Y72" s="82" t="str">
        <f t="shared" si="8"/>
        <v>38</v>
      </c>
      <c r="Z72" s="51" t="str">
        <f t="shared" si="9"/>
        <v>381</v>
      </c>
      <c r="AA72" s="51"/>
      <c r="AB72" s="69" t="s">
        <v>850</v>
      </c>
      <c r="AC72" s="69" t="s">
        <v>851</v>
      </c>
      <c r="AD72" s="51" t="s">
        <v>641</v>
      </c>
      <c r="AE72" s="51" t="s">
        <v>642</v>
      </c>
      <c r="AF72" s="51" t="s">
        <v>643</v>
      </c>
      <c r="AG72" s="51" t="s">
        <v>644</v>
      </c>
    </row>
    <row r="73" spans="1:33" ht="15.75" customHeight="1">
      <c r="A73" s="62" t="str">
        <f>IF(C73="","",VLOOKUP('OPĆI DIO'!$C$3,'OPĆI DIO'!$L$6:$U$120,10,FALSE))</f>
        <v>08008</v>
      </c>
      <c r="B73" s="62" t="str">
        <f>IF(C73="","",VLOOKUP('OPĆI DIO'!$C$3,'OPĆI DIO'!$L$6:$U$120,9,FALSE))</f>
        <v>Javni instituti</v>
      </c>
      <c r="C73" s="84">
        <v>31</v>
      </c>
      <c r="D73" s="79" t="str">
        <f t="shared" si="12"/>
        <v>Vlastiti prihodi</v>
      </c>
      <c r="E73" s="84">
        <v>4223</v>
      </c>
      <c r="F73" s="79" t="str">
        <f t="shared" si="13"/>
        <v>Oprema za održavanje i zaštitu</v>
      </c>
      <c r="G73" s="84" t="s">
        <v>779</v>
      </c>
      <c r="H73" s="79" t="str">
        <f t="shared" si="14"/>
        <v>REDOVNA DJELATNOST JAVNIH INSTITUTA (IZ EVIDENCIJSKIH PRIHODA)</v>
      </c>
      <c r="I73" s="79" t="str">
        <f t="shared" si="15"/>
        <v>0150</v>
      </c>
      <c r="J73" s="67">
        <v>14046</v>
      </c>
      <c r="K73" s="67">
        <v>14749</v>
      </c>
      <c r="L73" s="67">
        <v>15486</v>
      </c>
      <c r="M73" s="68"/>
      <c r="N73" s="51"/>
      <c r="O73" s="51" t="str">
        <f t="shared" si="4"/>
        <v>422</v>
      </c>
      <c r="P73" s="51" t="str">
        <f t="shared" si="5"/>
        <v>42</v>
      </c>
      <c r="Q73" s="51" t="str">
        <f t="shared" si="6"/>
        <v>31</v>
      </c>
      <c r="R73" s="51" t="str">
        <f t="shared" si="7"/>
        <v>15</v>
      </c>
      <c r="S73" s="51"/>
      <c r="T73" s="51"/>
      <c r="U73" s="51"/>
      <c r="V73" s="51">
        <v>3812</v>
      </c>
      <c r="W73" s="51" t="s">
        <v>852</v>
      </c>
      <c r="X73" s="51"/>
      <c r="Y73" s="82" t="str">
        <f t="shared" si="8"/>
        <v>38</v>
      </c>
      <c r="Z73" s="51" t="str">
        <f t="shared" si="9"/>
        <v>381</v>
      </c>
      <c r="AA73" s="51"/>
      <c r="AB73" s="69" t="s">
        <v>853</v>
      </c>
      <c r="AC73" s="69" t="s">
        <v>854</v>
      </c>
      <c r="AD73" s="51" t="s">
        <v>641</v>
      </c>
      <c r="AE73" s="51" t="s">
        <v>642</v>
      </c>
      <c r="AF73" s="51" t="s">
        <v>643</v>
      </c>
      <c r="AG73" s="51" t="s">
        <v>644</v>
      </c>
    </row>
    <row r="74" spans="1:33" ht="15.75" customHeight="1">
      <c r="A74" s="62" t="str">
        <f>IF(C74="","",VLOOKUP('OPĆI DIO'!$C$3,'OPĆI DIO'!$L$6:$U$120,10,FALSE))</f>
        <v>08008</v>
      </c>
      <c r="B74" s="62" t="str">
        <f>IF(C74="","",VLOOKUP('OPĆI DIO'!$C$3,'OPĆI DIO'!$L$6:$U$120,9,FALSE))</f>
        <v>Javni instituti</v>
      </c>
      <c r="C74" s="84">
        <v>31</v>
      </c>
      <c r="D74" s="79" t="str">
        <f t="shared" si="12"/>
        <v>Vlastiti prihodi</v>
      </c>
      <c r="E74" s="84">
        <v>3431</v>
      </c>
      <c r="F74" s="79" t="str">
        <f t="shared" si="13"/>
        <v>Bankarske usluge i usluge platnog prometa</v>
      </c>
      <c r="G74" s="84" t="s">
        <v>779</v>
      </c>
      <c r="H74" s="79" t="str">
        <f t="shared" si="14"/>
        <v>REDOVNA DJELATNOST JAVNIH INSTITUTA (IZ EVIDENCIJSKIH PRIHODA)</v>
      </c>
      <c r="I74" s="79" t="str">
        <f t="shared" si="15"/>
        <v>0150</v>
      </c>
      <c r="J74" s="67">
        <v>12483</v>
      </c>
      <c r="K74" s="67">
        <v>13107</v>
      </c>
      <c r="L74" s="67">
        <v>13763</v>
      </c>
      <c r="M74" s="68"/>
      <c r="N74" s="51"/>
      <c r="O74" s="51" t="str">
        <f t="shared" si="4"/>
        <v>343</v>
      </c>
      <c r="P74" s="51" t="str">
        <f t="shared" si="5"/>
        <v>34</v>
      </c>
      <c r="Q74" s="51" t="str">
        <f t="shared" si="6"/>
        <v>31</v>
      </c>
      <c r="R74" s="51" t="str">
        <f t="shared" si="7"/>
        <v>15</v>
      </c>
      <c r="S74" s="51"/>
      <c r="T74" s="51"/>
      <c r="U74" s="51"/>
      <c r="V74" s="51">
        <v>3813</v>
      </c>
      <c r="W74" s="51" t="s">
        <v>855</v>
      </c>
      <c r="X74" s="51"/>
      <c r="Y74" s="82" t="str">
        <f t="shared" si="8"/>
        <v>38</v>
      </c>
      <c r="Z74" s="51" t="str">
        <f t="shared" si="9"/>
        <v>381</v>
      </c>
      <c r="AA74" s="51"/>
      <c r="AB74" s="69" t="s">
        <v>856</v>
      </c>
      <c r="AC74" s="69" t="s">
        <v>857</v>
      </c>
      <c r="AD74" s="51" t="s">
        <v>648</v>
      </c>
      <c r="AE74" s="51" t="s">
        <v>649</v>
      </c>
      <c r="AF74" s="51" t="s">
        <v>636</v>
      </c>
      <c r="AG74" s="51" t="s">
        <v>650</v>
      </c>
    </row>
    <row r="75" spans="1:33" ht="15.75" customHeight="1">
      <c r="A75" s="62" t="str">
        <f>IF(C75="","",VLOOKUP('OPĆI DIO'!$C$3,'OPĆI DIO'!$L$6:$U$120,10,FALSE))</f>
        <v>08008</v>
      </c>
      <c r="B75" s="62" t="str">
        <f>IF(C75="","",VLOOKUP('OPĆI DIO'!$C$3,'OPĆI DIO'!$L$6:$U$120,9,FALSE))</f>
        <v>Javni instituti</v>
      </c>
      <c r="C75" s="84">
        <v>31</v>
      </c>
      <c r="D75" s="79" t="str">
        <f t="shared" si="12"/>
        <v>Vlastiti prihodi</v>
      </c>
      <c r="E75" s="84">
        <v>3292</v>
      </c>
      <c r="F75" s="79" t="str">
        <f t="shared" si="13"/>
        <v>Premije osiguranja</v>
      </c>
      <c r="G75" s="84" t="s">
        <v>779</v>
      </c>
      <c r="H75" s="79" t="str">
        <f t="shared" si="14"/>
        <v>REDOVNA DJELATNOST JAVNIH INSTITUTA (IZ EVIDENCIJSKIH PRIHODA)</v>
      </c>
      <c r="I75" s="79" t="str">
        <f t="shared" si="15"/>
        <v>0150</v>
      </c>
      <c r="J75" s="67">
        <v>8859</v>
      </c>
      <c r="K75" s="67">
        <v>9302</v>
      </c>
      <c r="L75" s="67">
        <v>9767</v>
      </c>
      <c r="M75" s="68"/>
      <c r="N75" s="51"/>
      <c r="O75" s="51" t="str">
        <f t="shared" si="4"/>
        <v>329</v>
      </c>
      <c r="P75" s="51" t="str">
        <f t="shared" si="5"/>
        <v>32</v>
      </c>
      <c r="Q75" s="51" t="str">
        <f t="shared" si="6"/>
        <v>31</v>
      </c>
      <c r="R75" s="51" t="str">
        <f t="shared" si="7"/>
        <v>15</v>
      </c>
      <c r="S75" s="51"/>
      <c r="T75" s="51"/>
      <c r="U75" s="51"/>
      <c r="V75" s="51">
        <v>3821</v>
      </c>
      <c r="W75" s="51" t="s">
        <v>858</v>
      </c>
      <c r="X75" s="51"/>
      <c r="Y75" s="82" t="str">
        <f t="shared" si="8"/>
        <v>38</v>
      </c>
      <c r="Z75" s="51" t="str">
        <f t="shared" si="9"/>
        <v>382</v>
      </c>
      <c r="AA75" s="51"/>
      <c r="AB75" s="69" t="s">
        <v>859</v>
      </c>
      <c r="AC75" s="69" t="s">
        <v>860</v>
      </c>
      <c r="AD75" s="51" t="s">
        <v>648</v>
      </c>
      <c r="AE75" s="51" t="s">
        <v>649</v>
      </c>
      <c r="AF75" s="51" t="s">
        <v>636</v>
      </c>
      <c r="AG75" s="51" t="s">
        <v>650</v>
      </c>
    </row>
    <row r="76" spans="1:33" ht="15.75" customHeight="1">
      <c r="A76" s="62" t="str">
        <f>IF(C76="","",VLOOKUP('OPĆI DIO'!$C$3,'OPĆI DIO'!$L$6:$U$120,10,FALSE))</f>
        <v>08008</v>
      </c>
      <c r="B76" s="62" t="str">
        <f>IF(C76="","",VLOOKUP('OPĆI DIO'!$C$3,'OPĆI DIO'!$L$6:$U$120,9,FALSE))</f>
        <v>Javni instituti</v>
      </c>
      <c r="C76" s="84">
        <v>31</v>
      </c>
      <c r="D76" s="79" t="str">
        <f t="shared" si="12"/>
        <v>Vlastiti prihodi</v>
      </c>
      <c r="E76" s="84">
        <v>3241</v>
      </c>
      <c r="F76" s="79" t="str">
        <f t="shared" si="13"/>
        <v>Naknade troškova osobama izvan radnog odnosa</v>
      </c>
      <c r="G76" s="84" t="s">
        <v>779</v>
      </c>
      <c r="H76" s="79" t="str">
        <f t="shared" si="14"/>
        <v>REDOVNA DJELATNOST JAVNIH INSTITUTA (IZ EVIDENCIJSKIH PRIHODA)</v>
      </c>
      <c r="I76" s="79" t="str">
        <f t="shared" si="15"/>
        <v>0150</v>
      </c>
      <c r="J76" s="67">
        <v>8146</v>
      </c>
      <c r="K76" s="67">
        <v>8553</v>
      </c>
      <c r="L76" s="67">
        <v>8981</v>
      </c>
      <c r="M76" s="68"/>
      <c r="N76" s="51"/>
      <c r="O76" s="51" t="str">
        <f t="shared" si="4"/>
        <v>324</v>
      </c>
      <c r="P76" s="51" t="str">
        <f t="shared" si="5"/>
        <v>32</v>
      </c>
      <c r="Q76" s="51" t="str">
        <f t="shared" si="6"/>
        <v>31</v>
      </c>
      <c r="R76" s="51" t="str">
        <f t="shared" si="7"/>
        <v>15</v>
      </c>
      <c r="S76" s="51"/>
      <c r="T76" s="51"/>
      <c r="U76" s="51"/>
      <c r="V76" s="51">
        <v>3831</v>
      </c>
      <c r="W76" s="51" t="s">
        <v>861</v>
      </c>
      <c r="X76" s="51"/>
      <c r="Y76" s="82" t="str">
        <f t="shared" si="8"/>
        <v>38</v>
      </c>
      <c r="Z76" s="51" t="str">
        <f t="shared" si="9"/>
        <v>383</v>
      </c>
      <c r="AA76" s="51"/>
      <c r="AB76" s="69" t="s">
        <v>862</v>
      </c>
      <c r="AC76" s="69" t="s">
        <v>863</v>
      </c>
      <c r="AD76" s="51" t="s">
        <v>641</v>
      </c>
      <c r="AE76" s="51" t="s">
        <v>642</v>
      </c>
      <c r="AF76" s="51" t="s">
        <v>643</v>
      </c>
      <c r="AG76" s="51" t="s">
        <v>644</v>
      </c>
    </row>
    <row r="77" spans="1:33" ht="15.75" customHeight="1">
      <c r="A77" s="62" t="str">
        <f>IF(C77="","",VLOOKUP('OPĆI DIO'!$C$3,'OPĆI DIO'!$L$6:$U$120,10,FALSE))</f>
        <v>08008</v>
      </c>
      <c r="B77" s="62" t="str">
        <f>IF(C77="","",VLOOKUP('OPĆI DIO'!$C$3,'OPĆI DIO'!$L$6:$U$120,9,FALSE))</f>
        <v>Javni instituti</v>
      </c>
      <c r="C77" s="84">
        <v>31</v>
      </c>
      <c r="D77" s="79" t="str">
        <f t="shared" si="12"/>
        <v>Vlastiti prihodi</v>
      </c>
      <c r="E77" s="84">
        <v>4222</v>
      </c>
      <c r="F77" s="79" t="str">
        <f t="shared" si="13"/>
        <v>Komunikacijska oprema</v>
      </c>
      <c r="G77" s="84" t="s">
        <v>779</v>
      </c>
      <c r="H77" s="79" t="str">
        <f t="shared" si="14"/>
        <v>REDOVNA DJELATNOST JAVNIH INSTITUTA (IZ EVIDENCIJSKIH PRIHODA)</v>
      </c>
      <c r="I77" s="79" t="str">
        <f t="shared" si="15"/>
        <v>0150</v>
      </c>
      <c r="J77" s="67">
        <v>7230</v>
      </c>
      <c r="K77" s="67">
        <v>7592</v>
      </c>
      <c r="L77" s="67">
        <v>7971</v>
      </c>
      <c r="M77" s="68"/>
      <c r="N77" s="51"/>
      <c r="O77" s="51" t="str">
        <f t="shared" si="4"/>
        <v>422</v>
      </c>
      <c r="P77" s="51" t="str">
        <f t="shared" si="5"/>
        <v>42</v>
      </c>
      <c r="Q77" s="51" t="str">
        <f t="shared" si="6"/>
        <v>31</v>
      </c>
      <c r="R77" s="51" t="str">
        <f t="shared" si="7"/>
        <v>15</v>
      </c>
      <c r="S77" s="51"/>
      <c r="T77" s="51"/>
      <c r="U77" s="51"/>
      <c r="V77" s="51">
        <v>3832</v>
      </c>
      <c r="W77" s="51" t="s">
        <v>864</v>
      </c>
      <c r="X77" s="51"/>
      <c r="Y77" s="82" t="str">
        <f t="shared" si="8"/>
        <v>38</v>
      </c>
      <c r="Z77" s="51" t="str">
        <f t="shared" si="9"/>
        <v>383</v>
      </c>
      <c r="AA77" s="51"/>
      <c r="AB77" s="69" t="s">
        <v>865</v>
      </c>
      <c r="AC77" s="69" t="s">
        <v>866</v>
      </c>
      <c r="AD77" s="51" t="s">
        <v>648</v>
      </c>
      <c r="AE77" s="51" t="s">
        <v>649</v>
      </c>
      <c r="AF77" s="51" t="s">
        <v>636</v>
      </c>
      <c r="AG77" s="51" t="s">
        <v>650</v>
      </c>
    </row>
    <row r="78" spans="1:33" ht="15.75" customHeight="1">
      <c r="A78" s="62" t="str">
        <f>IF(C78="","",VLOOKUP('OPĆI DIO'!$C$3,'OPĆI DIO'!$L$6:$U$120,10,FALSE))</f>
        <v>08008</v>
      </c>
      <c r="B78" s="62" t="str">
        <f>IF(C78="","",VLOOKUP('OPĆI DIO'!$C$3,'OPĆI DIO'!$L$6:$U$120,9,FALSE))</f>
        <v>Javni instituti</v>
      </c>
      <c r="C78" s="84">
        <v>31</v>
      </c>
      <c r="D78" s="79" t="str">
        <f t="shared" si="12"/>
        <v>Vlastiti prihodi</v>
      </c>
      <c r="E78" s="84">
        <v>3432</v>
      </c>
      <c r="F78" s="79" t="str">
        <f t="shared" si="13"/>
        <v>Negativne tečajne razlike i razlike zbog primjene valutne kl</v>
      </c>
      <c r="G78" s="84" t="s">
        <v>779</v>
      </c>
      <c r="H78" s="79" t="str">
        <f t="shared" si="14"/>
        <v>REDOVNA DJELATNOST JAVNIH INSTITUTA (IZ EVIDENCIJSKIH PRIHODA)</v>
      </c>
      <c r="I78" s="79" t="str">
        <f t="shared" si="15"/>
        <v>0150</v>
      </c>
      <c r="J78" s="67">
        <v>7160</v>
      </c>
      <c r="K78" s="67">
        <v>7518</v>
      </c>
      <c r="L78" s="67">
        <v>7894</v>
      </c>
      <c r="M78" s="68"/>
      <c r="N78" s="51"/>
      <c r="O78" s="51" t="str">
        <f t="shared" si="4"/>
        <v>343</v>
      </c>
      <c r="P78" s="51" t="str">
        <f t="shared" si="5"/>
        <v>34</v>
      </c>
      <c r="Q78" s="51" t="str">
        <f t="shared" si="6"/>
        <v>31</v>
      </c>
      <c r="R78" s="51" t="str">
        <f t="shared" si="7"/>
        <v>15</v>
      </c>
      <c r="S78" s="51"/>
      <c r="T78" s="51"/>
      <c r="U78" s="51"/>
      <c r="V78" s="51">
        <v>3833</v>
      </c>
      <c r="W78" s="51" t="s">
        <v>867</v>
      </c>
      <c r="X78" s="51"/>
      <c r="Y78" s="82" t="str">
        <f t="shared" si="8"/>
        <v>38</v>
      </c>
      <c r="Z78" s="51" t="str">
        <f t="shared" si="9"/>
        <v>383</v>
      </c>
      <c r="AA78" s="51"/>
      <c r="AB78" s="69" t="s">
        <v>868</v>
      </c>
      <c r="AC78" s="69" t="s">
        <v>869</v>
      </c>
      <c r="AD78" s="51" t="s">
        <v>648</v>
      </c>
      <c r="AE78" s="51" t="s">
        <v>649</v>
      </c>
      <c r="AF78" s="51" t="s">
        <v>636</v>
      </c>
      <c r="AG78" s="51" t="s">
        <v>650</v>
      </c>
    </row>
    <row r="79" spans="1:33" ht="15.75" customHeight="1">
      <c r="A79" s="62" t="str">
        <f>IF(C79="","",VLOOKUP('OPĆI DIO'!$C$3,'OPĆI DIO'!$L$6:$U$120,10,FALSE))</f>
        <v>08008</v>
      </c>
      <c r="B79" s="62" t="str">
        <f>IF(C79="","",VLOOKUP('OPĆI DIO'!$C$3,'OPĆI DIO'!$L$6:$U$120,9,FALSE))</f>
        <v>Javni instituti</v>
      </c>
      <c r="C79" s="84">
        <v>31</v>
      </c>
      <c r="D79" s="79" t="str">
        <f t="shared" si="12"/>
        <v>Vlastiti prihodi</v>
      </c>
      <c r="E79" s="84">
        <v>3225</v>
      </c>
      <c r="F79" s="79" t="str">
        <f t="shared" si="13"/>
        <v>Sitni inventar i auto gume</v>
      </c>
      <c r="G79" s="84" t="s">
        <v>779</v>
      </c>
      <c r="H79" s="79" t="str">
        <f t="shared" si="14"/>
        <v>REDOVNA DJELATNOST JAVNIH INSTITUTA (IZ EVIDENCIJSKIH PRIHODA)</v>
      </c>
      <c r="I79" s="79" t="str">
        <f t="shared" si="15"/>
        <v>0150</v>
      </c>
      <c r="J79" s="67">
        <v>6502</v>
      </c>
      <c r="K79" s="67">
        <v>6827</v>
      </c>
      <c r="L79" s="67">
        <v>7168</v>
      </c>
      <c r="M79" s="68"/>
      <c r="N79" s="51"/>
      <c r="O79" s="51" t="str">
        <f t="shared" si="4"/>
        <v>322</v>
      </c>
      <c r="P79" s="51" t="str">
        <f t="shared" si="5"/>
        <v>32</v>
      </c>
      <c r="Q79" s="51" t="str">
        <f t="shared" si="6"/>
        <v>31</v>
      </c>
      <c r="R79" s="51" t="str">
        <f t="shared" si="7"/>
        <v>15</v>
      </c>
      <c r="S79" s="51"/>
      <c r="T79" s="51"/>
      <c r="U79" s="51"/>
      <c r="V79" s="51">
        <v>3834</v>
      </c>
      <c r="W79" s="51" t="s">
        <v>870</v>
      </c>
      <c r="X79" s="51"/>
      <c r="Y79" s="82" t="str">
        <f t="shared" si="8"/>
        <v>38</v>
      </c>
      <c r="Z79" s="51" t="str">
        <f t="shared" si="9"/>
        <v>383</v>
      </c>
      <c r="AA79" s="51"/>
      <c r="AB79" s="69" t="s">
        <v>871</v>
      </c>
      <c r="AC79" s="69" t="s">
        <v>872</v>
      </c>
      <c r="AD79" s="51" t="s">
        <v>641</v>
      </c>
      <c r="AE79" s="51" t="s">
        <v>642</v>
      </c>
      <c r="AF79" s="51" t="s">
        <v>643</v>
      </c>
      <c r="AG79" s="51" t="s">
        <v>644</v>
      </c>
    </row>
    <row r="80" spans="1:33" ht="15.75" customHeight="1">
      <c r="A80" s="62" t="str">
        <f>IF(C80="","",VLOOKUP('OPĆI DIO'!$C$3,'OPĆI DIO'!$L$6:$U$120,10,FALSE))</f>
        <v>08008</v>
      </c>
      <c r="B80" s="62" t="str">
        <f>IF(C80="","",VLOOKUP('OPĆI DIO'!$C$3,'OPĆI DIO'!$L$6:$U$120,9,FALSE))</f>
        <v>Javni instituti</v>
      </c>
      <c r="C80" s="84">
        <v>31</v>
      </c>
      <c r="D80" s="79" t="str">
        <f t="shared" si="12"/>
        <v>Vlastiti prihodi</v>
      </c>
      <c r="E80" s="84">
        <v>3212</v>
      </c>
      <c r="F80" s="79" t="str">
        <f t="shared" si="13"/>
        <v>Naknade za prijevoz, za rad na terenu i odvojeni život</v>
      </c>
      <c r="G80" s="84" t="s">
        <v>779</v>
      </c>
      <c r="H80" s="79" t="str">
        <f t="shared" si="14"/>
        <v>REDOVNA DJELATNOST JAVNIH INSTITUTA (IZ EVIDENCIJSKIH PRIHODA)</v>
      </c>
      <c r="I80" s="79" t="str">
        <f t="shared" si="15"/>
        <v>0150</v>
      </c>
      <c r="J80" s="67">
        <v>6337</v>
      </c>
      <c r="K80" s="67">
        <v>6654</v>
      </c>
      <c r="L80" s="67">
        <v>6987</v>
      </c>
      <c r="M80" s="68"/>
      <c r="N80" s="51"/>
      <c r="O80" s="51" t="str">
        <f t="shared" si="4"/>
        <v>321</v>
      </c>
      <c r="P80" s="51" t="str">
        <f t="shared" si="5"/>
        <v>32</v>
      </c>
      <c r="Q80" s="51" t="str">
        <f t="shared" si="6"/>
        <v>31</v>
      </c>
      <c r="R80" s="51" t="str">
        <f t="shared" si="7"/>
        <v>15</v>
      </c>
      <c r="S80" s="51"/>
      <c r="T80" s="51"/>
      <c r="U80" s="51"/>
      <c r="V80" s="51">
        <v>3835</v>
      </c>
      <c r="W80" s="51" t="s">
        <v>873</v>
      </c>
      <c r="X80" s="51"/>
      <c r="Y80" s="82" t="str">
        <f t="shared" si="8"/>
        <v>38</v>
      </c>
      <c r="Z80" s="51" t="str">
        <f t="shared" si="9"/>
        <v>383</v>
      </c>
      <c r="AA80" s="51"/>
      <c r="AB80" s="69" t="s">
        <v>874</v>
      </c>
      <c r="AC80" s="69" t="s">
        <v>875</v>
      </c>
      <c r="AD80" s="51" t="s">
        <v>648</v>
      </c>
      <c r="AE80" s="51" t="s">
        <v>649</v>
      </c>
      <c r="AF80" s="51" t="s">
        <v>636</v>
      </c>
      <c r="AG80" s="51" t="s">
        <v>650</v>
      </c>
    </row>
    <row r="81" spans="1:33" ht="15.75" customHeight="1">
      <c r="A81" s="62" t="str">
        <f>IF(C81="","",VLOOKUP('OPĆI DIO'!$C$3,'OPĆI DIO'!$L$6:$U$120,10,FALSE))</f>
        <v>08008</v>
      </c>
      <c r="B81" s="62" t="str">
        <f>IF(C81="","",VLOOKUP('OPĆI DIO'!$C$3,'OPĆI DIO'!$L$6:$U$120,9,FALSE))</f>
        <v>Javni instituti</v>
      </c>
      <c r="C81" s="84">
        <v>31</v>
      </c>
      <c r="D81" s="79" t="str">
        <f t="shared" si="12"/>
        <v>Vlastiti prihodi</v>
      </c>
      <c r="E81" s="84">
        <v>3227</v>
      </c>
      <c r="F81" s="79" t="str">
        <f t="shared" si="13"/>
        <v>Službena, radna i zaštitna odjeća i obuća</v>
      </c>
      <c r="G81" s="84" t="s">
        <v>779</v>
      </c>
      <c r="H81" s="79" t="str">
        <f t="shared" si="14"/>
        <v>REDOVNA DJELATNOST JAVNIH INSTITUTA (IZ EVIDENCIJSKIH PRIHODA)</v>
      </c>
      <c r="I81" s="79" t="str">
        <f t="shared" si="15"/>
        <v>0150</v>
      </c>
      <c r="J81" s="67">
        <v>4875</v>
      </c>
      <c r="K81" s="67">
        <v>5119</v>
      </c>
      <c r="L81" s="67">
        <v>5375</v>
      </c>
      <c r="M81" s="68"/>
      <c r="N81" s="51"/>
      <c r="O81" s="51" t="str">
        <f t="shared" si="4"/>
        <v>322</v>
      </c>
      <c r="P81" s="51" t="str">
        <f t="shared" si="5"/>
        <v>32</v>
      </c>
      <c r="Q81" s="51" t="str">
        <f t="shared" si="6"/>
        <v>31</v>
      </c>
      <c r="R81" s="51" t="str">
        <f t="shared" si="7"/>
        <v>15</v>
      </c>
      <c r="S81" s="51"/>
      <c r="T81" s="51"/>
      <c r="U81" s="51"/>
      <c r="V81" s="51">
        <v>3861</v>
      </c>
      <c r="W81" s="51" t="s">
        <v>876</v>
      </c>
      <c r="X81" s="51"/>
      <c r="Y81" s="82" t="str">
        <f t="shared" si="8"/>
        <v>38</v>
      </c>
      <c r="Z81" s="51" t="str">
        <f t="shared" si="9"/>
        <v>386</v>
      </c>
      <c r="AA81" s="51"/>
      <c r="AB81" s="69" t="s">
        <v>877</v>
      </c>
      <c r="AC81" s="69" t="s">
        <v>878</v>
      </c>
      <c r="AD81" s="51" t="s">
        <v>668</v>
      </c>
      <c r="AE81" s="51" t="s">
        <v>669</v>
      </c>
      <c r="AF81" s="51" t="s">
        <v>636</v>
      </c>
      <c r="AG81" s="51" t="s">
        <v>670</v>
      </c>
    </row>
    <row r="82" spans="1:33" ht="15.75" customHeight="1">
      <c r="A82" s="62" t="str">
        <f>IF(C82="","",VLOOKUP('OPĆI DIO'!$C$3,'OPĆI DIO'!$L$6:$U$120,10,FALSE))</f>
        <v>08008</v>
      </c>
      <c r="B82" s="62" t="str">
        <f>IF(C82="","",VLOOKUP('OPĆI DIO'!$C$3,'OPĆI DIO'!$L$6:$U$120,9,FALSE))</f>
        <v>Javni instituti</v>
      </c>
      <c r="C82" s="84">
        <v>31</v>
      </c>
      <c r="D82" s="79" t="str">
        <f t="shared" si="12"/>
        <v>Vlastiti prihodi</v>
      </c>
      <c r="E82" s="84">
        <v>3238</v>
      </c>
      <c r="F82" s="79" t="str">
        <f t="shared" si="13"/>
        <v>Računalne usluge</v>
      </c>
      <c r="G82" s="84" t="s">
        <v>779</v>
      </c>
      <c r="H82" s="79" t="str">
        <f t="shared" si="14"/>
        <v>REDOVNA DJELATNOST JAVNIH INSTITUTA (IZ EVIDENCIJSKIH PRIHODA)</v>
      </c>
      <c r="I82" s="79" t="str">
        <f t="shared" si="15"/>
        <v>0150</v>
      </c>
      <c r="J82" s="67">
        <v>4513</v>
      </c>
      <c r="K82" s="67">
        <v>4738</v>
      </c>
      <c r="L82" s="67">
        <v>4975</v>
      </c>
      <c r="M82" s="68"/>
      <c r="N82" s="51"/>
      <c r="O82" s="51" t="str">
        <f t="shared" si="4"/>
        <v>323</v>
      </c>
      <c r="P82" s="51" t="str">
        <f t="shared" si="5"/>
        <v>32</v>
      </c>
      <c r="Q82" s="51" t="str">
        <f t="shared" si="6"/>
        <v>31</v>
      </c>
      <c r="R82" s="51" t="str">
        <f t="shared" si="7"/>
        <v>15</v>
      </c>
      <c r="S82" s="51"/>
      <c r="T82" s="51"/>
      <c r="U82" s="51"/>
      <c r="V82" s="51">
        <v>3862</v>
      </c>
      <c r="W82" s="51" t="s">
        <v>879</v>
      </c>
      <c r="X82" s="51"/>
      <c r="Y82" s="82" t="str">
        <f t="shared" si="8"/>
        <v>38</v>
      </c>
      <c r="Z82" s="51" t="str">
        <f t="shared" si="9"/>
        <v>386</v>
      </c>
      <c r="AA82" s="51"/>
      <c r="AB82" s="69" t="s">
        <v>880</v>
      </c>
      <c r="AC82" s="69" t="s">
        <v>881</v>
      </c>
      <c r="AD82" s="51" t="s">
        <v>668</v>
      </c>
      <c r="AE82" s="51" t="s">
        <v>669</v>
      </c>
      <c r="AF82" s="51" t="s">
        <v>636</v>
      </c>
      <c r="AG82" s="51" t="s">
        <v>670</v>
      </c>
    </row>
    <row r="83" spans="1:33" ht="15.75" customHeight="1">
      <c r="A83" s="62" t="str">
        <f>IF(C83="","",VLOOKUP('OPĆI DIO'!$C$3,'OPĆI DIO'!$L$6:$U$120,10,FALSE))</f>
        <v>08008</v>
      </c>
      <c r="B83" s="62" t="str">
        <f>IF(C83="","",VLOOKUP('OPĆI DIO'!$C$3,'OPĆI DIO'!$L$6:$U$120,9,FALSE))</f>
        <v>Javni instituti</v>
      </c>
      <c r="C83" s="84">
        <v>31</v>
      </c>
      <c r="D83" s="79" t="str">
        <f t="shared" si="12"/>
        <v>Vlastiti prihodi</v>
      </c>
      <c r="E83" s="84">
        <v>3294</v>
      </c>
      <c r="F83" s="79" t="str">
        <f t="shared" si="13"/>
        <v>Članarine i norme</v>
      </c>
      <c r="G83" s="84" t="s">
        <v>779</v>
      </c>
      <c r="H83" s="79" t="str">
        <f t="shared" si="14"/>
        <v>REDOVNA DJELATNOST JAVNIH INSTITUTA (IZ EVIDENCIJSKIH PRIHODA)</v>
      </c>
      <c r="I83" s="79" t="str">
        <f t="shared" si="15"/>
        <v>0150</v>
      </c>
      <c r="J83" s="67">
        <v>4484</v>
      </c>
      <c r="K83" s="67">
        <v>4708</v>
      </c>
      <c r="L83" s="67">
        <v>4944</v>
      </c>
      <c r="M83" s="68"/>
      <c r="N83" s="51"/>
      <c r="O83" s="51" t="str">
        <f t="shared" si="4"/>
        <v>329</v>
      </c>
      <c r="P83" s="51" t="str">
        <f t="shared" si="5"/>
        <v>32</v>
      </c>
      <c r="Q83" s="51" t="str">
        <f t="shared" si="6"/>
        <v>31</v>
      </c>
      <c r="R83" s="51" t="str">
        <f t="shared" si="7"/>
        <v>15</v>
      </c>
      <c r="S83" s="51"/>
      <c r="T83" s="51"/>
      <c r="U83" s="51"/>
      <c r="V83" s="51">
        <v>3863</v>
      </c>
      <c r="W83" s="51" t="s">
        <v>882</v>
      </c>
      <c r="X83" s="51"/>
      <c r="Y83" s="82" t="str">
        <f t="shared" si="8"/>
        <v>38</v>
      </c>
      <c r="Z83" s="51" t="str">
        <f t="shared" si="9"/>
        <v>386</v>
      </c>
      <c r="AA83" s="51"/>
      <c r="AB83" s="69" t="s">
        <v>883</v>
      </c>
      <c r="AC83" s="69" t="s">
        <v>884</v>
      </c>
      <c r="AD83" s="51" t="s">
        <v>668</v>
      </c>
      <c r="AE83" s="51" t="s">
        <v>669</v>
      </c>
      <c r="AF83" s="51" t="s">
        <v>636</v>
      </c>
      <c r="AG83" s="51" t="s">
        <v>670</v>
      </c>
    </row>
    <row r="84" spans="1:33" ht="15.75" customHeight="1">
      <c r="A84" s="62" t="str">
        <f>IF(C84="","",VLOOKUP('OPĆI DIO'!$C$3,'OPĆI DIO'!$L$6:$U$120,10,FALSE))</f>
        <v>08008</v>
      </c>
      <c r="B84" s="62" t="str">
        <f>IF(C84="","",VLOOKUP('OPĆI DIO'!$C$3,'OPĆI DIO'!$L$6:$U$120,9,FALSE))</f>
        <v>Javni instituti</v>
      </c>
      <c r="C84" s="84">
        <v>31</v>
      </c>
      <c r="D84" s="79" t="str">
        <f t="shared" si="12"/>
        <v>Vlastiti prihodi</v>
      </c>
      <c r="E84" s="84">
        <v>3234</v>
      </c>
      <c r="F84" s="79" t="str">
        <f t="shared" si="13"/>
        <v>Komunalne usluge</v>
      </c>
      <c r="G84" s="84" t="s">
        <v>779</v>
      </c>
      <c r="H84" s="79" t="str">
        <f t="shared" si="14"/>
        <v>REDOVNA DJELATNOST JAVNIH INSTITUTA (IZ EVIDENCIJSKIH PRIHODA)</v>
      </c>
      <c r="I84" s="79" t="str">
        <f t="shared" si="15"/>
        <v>0150</v>
      </c>
      <c r="J84" s="67">
        <v>4411</v>
      </c>
      <c r="K84" s="67">
        <v>4632</v>
      </c>
      <c r="L84" s="67">
        <v>4863</v>
      </c>
      <c r="M84" s="68"/>
      <c r="N84" s="51"/>
      <c r="O84" s="51" t="str">
        <f t="shared" si="4"/>
        <v>323</v>
      </c>
      <c r="P84" s="51" t="str">
        <f t="shared" si="5"/>
        <v>32</v>
      </c>
      <c r="Q84" s="51" t="str">
        <f t="shared" si="6"/>
        <v>31</v>
      </c>
      <c r="R84" s="51" t="str">
        <f t="shared" si="7"/>
        <v>15</v>
      </c>
      <c r="S84" s="51"/>
      <c r="T84" s="51"/>
      <c r="U84" s="51"/>
      <c r="V84" s="51">
        <v>4111</v>
      </c>
      <c r="W84" s="51" t="s">
        <v>885</v>
      </c>
      <c r="X84" s="51"/>
      <c r="Y84" s="82" t="str">
        <f t="shared" si="8"/>
        <v>41</v>
      </c>
      <c r="Z84" s="51" t="str">
        <f t="shared" si="9"/>
        <v>411</v>
      </c>
      <c r="AA84" s="51"/>
      <c r="AB84" s="69" t="s">
        <v>886</v>
      </c>
      <c r="AC84" s="69" t="s">
        <v>887</v>
      </c>
      <c r="AD84" s="51" t="s">
        <v>668</v>
      </c>
      <c r="AE84" s="51" t="s">
        <v>669</v>
      </c>
      <c r="AF84" s="51" t="s">
        <v>636</v>
      </c>
      <c r="AG84" s="51" t="s">
        <v>670</v>
      </c>
    </row>
    <row r="85" spans="1:33" ht="15.75" customHeight="1">
      <c r="A85" s="62" t="str">
        <f>IF(C85="","",VLOOKUP('OPĆI DIO'!$C$3,'OPĆI DIO'!$L$6:$U$120,10,FALSE))</f>
        <v>08008</v>
      </c>
      <c r="B85" s="62" t="str">
        <f>IF(C85="","",VLOOKUP('OPĆI DIO'!$C$3,'OPĆI DIO'!$L$6:$U$120,9,FALSE))</f>
        <v>Javni instituti</v>
      </c>
      <c r="C85" s="84">
        <v>31</v>
      </c>
      <c r="D85" s="79" t="str">
        <f t="shared" si="12"/>
        <v>Vlastiti prihodi</v>
      </c>
      <c r="E85" s="84">
        <v>4214</v>
      </c>
      <c r="F85" s="79" t="str">
        <f t="shared" si="13"/>
        <v>Ostali građevinski objekti</v>
      </c>
      <c r="G85" s="84" t="s">
        <v>779</v>
      </c>
      <c r="H85" s="79" t="str">
        <f t="shared" si="14"/>
        <v>REDOVNA DJELATNOST JAVNIH INSTITUTA (IZ EVIDENCIJSKIH PRIHODA)</v>
      </c>
      <c r="I85" s="79" t="str">
        <f t="shared" si="15"/>
        <v>0150</v>
      </c>
      <c r="J85" s="67">
        <v>3260</v>
      </c>
      <c r="K85" s="67">
        <v>3423</v>
      </c>
      <c r="L85" s="67">
        <v>3595</v>
      </c>
      <c r="M85" s="68"/>
      <c r="N85" s="51"/>
      <c r="O85" s="51" t="str">
        <f t="shared" si="4"/>
        <v>421</v>
      </c>
      <c r="P85" s="51" t="str">
        <f t="shared" si="5"/>
        <v>42</v>
      </c>
      <c r="Q85" s="51" t="str">
        <f t="shared" si="6"/>
        <v>31</v>
      </c>
      <c r="R85" s="51" t="str">
        <f t="shared" si="7"/>
        <v>15</v>
      </c>
      <c r="S85" s="51"/>
      <c r="T85" s="51"/>
      <c r="U85" s="51"/>
      <c r="V85" s="51">
        <v>4113</v>
      </c>
      <c r="W85" s="51" t="s">
        <v>888</v>
      </c>
      <c r="X85" s="51"/>
      <c r="Y85" s="82" t="str">
        <f t="shared" si="8"/>
        <v>41</v>
      </c>
      <c r="Z85" s="51" t="str">
        <f t="shared" si="9"/>
        <v>411</v>
      </c>
      <c r="AA85" s="51"/>
      <c r="AB85" s="69" t="s">
        <v>889</v>
      </c>
      <c r="AC85" s="69" t="s">
        <v>890</v>
      </c>
      <c r="AD85" s="51" t="s">
        <v>668</v>
      </c>
      <c r="AE85" s="51" t="s">
        <v>669</v>
      </c>
      <c r="AF85" s="51" t="s">
        <v>636</v>
      </c>
      <c r="AG85" s="51" t="s">
        <v>670</v>
      </c>
    </row>
    <row r="86" spans="1:33" ht="15.75" customHeight="1">
      <c r="A86" s="62" t="str">
        <f>IF(C86="","",VLOOKUP('OPĆI DIO'!$C$3,'OPĆI DIO'!$L$6:$U$120,10,FALSE))</f>
        <v>08008</v>
      </c>
      <c r="B86" s="62" t="str">
        <f>IF(C86="","",VLOOKUP('OPĆI DIO'!$C$3,'OPĆI DIO'!$L$6:$U$120,9,FALSE))</f>
        <v>Javni instituti</v>
      </c>
      <c r="C86" s="84">
        <v>31</v>
      </c>
      <c r="D86" s="79" t="str">
        <f t="shared" si="12"/>
        <v>Vlastiti prihodi</v>
      </c>
      <c r="E86" s="84">
        <v>3295</v>
      </c>
      <c r="F86" s="79" t="str">
        <f t="shared" si="13"/>
        <v>Pristojbe i naknade</v>
      </c>
      <c r="G86" s="84" t="s">
        <v>779</v>
      </c>
      <c r="H86" s="79" t="str">
        <f t="shared" si="14"/>
        <v>REDOVNA DJELATNOST JAVNIH INSTITUTA (IZ EVIDENCIJSKIH PRIHODA)</v>
      </c>
      <c r="I86" s="79" t="str">
        <f t="shared" si="15"/>
        <v>0150</v>
      </c>
      <c r="J86" s="67">
        <v>937</v>
      </c>
      <c r="K86" s="67">
        <v>984</v>
      </c>
      <c r="L86" s="67">
        <v>1033</v>
      </c>
      <c r="M86" s="68"/>
      <c r="N86" s="51"/>
      <c r="O86" s="51" t="str">
        <f t="shared" si="4"/>
        <v>329</v>
      </c>
      <c r="P86" s="51" t="str">
        <f t="shared" si="5"/>
        <v>32</v>
      </c>
      <c r="Q86" s="51" t="str">
        <f t="shared" si="6"/>
        <v>31</v>
      </c>
      <c r="R86" s="51" t="str">
        <f t="shared" si="7"/>
        <v>15</v>
      </c>
      <c r="S86" s="51"/>
      <c r="T86" s="51"/>
      <c r="U86" s="51"/>
      <c r="V86" s="51">
        <v>4122</v>
      </c>
      <c r="W86" s="51" t="s">
        <v>891</v>
      </c>
      <c r="X86" s="51"/>
      <c r="Y86" s="82" t="str">
        <f t="shared" si="8"/>
        <v>41</v>
      </c>
      <c r="Z86" s="51" t="str">
        <f t="shared" si="9"/>
        <v>412</v>
      </c>
      <c r="AA86" s="51"/>
      <c r="AB86" s="69" t="s">
        <v>892</v>
      </c>
      <c r="AC86" s="69" t="s">
        <v>893</v>
      </c>
      <c r="AD86" s="51" t="s">
        <v>648</v>
      </c>
      <c r="AE86" s="51" t="s">
        <v>649</v>
      </c>
      <c r="AF86" s="51" t="s">
        <v>636</v>
      </c>
      <c r="AG86" s="51" t="s">
        <v>650</v>
      </c>
    </row>
    <row r="87" spans="1:33" ht="15.75" customHeight="1">
      <c r="A87" s="62" t="str">
        <f>IF(C87="","",VLOOKUP('OPĆI DIO'!$C$3,'OPĆI DIO'!$L$6:$U$120,10,FALSE))</f>
        <v>08008</v>
      </c>
      <c r="B87" s="62" t="str">
        <f>IF(C87="","",VLOOKUP('OPĆI DIO'!$C$3,'OPĆI DIO'!$L$6:$U$120,9,FALSE))</f>
        <v>Javni instituti</v>
      </c>
      <c r="C87" s="84">
        <v>31</v>
      </c>
      <c r="D87" s="79" t="str">
        <f t="shared" si="12"/>
        <v>Vlastiti prihodi</v>
      </c>
      <c r="E87" s="84">
        <v>4241</v>
      </c>
      <c r="F87" s="79" t="str">
        <f t="shared" si="13"/>
        <v>Knjige</v>
      </c>
      <c r="G87" s="84" t="s">
        <v>779</v>
      </c>
      <c r="H87" s="79" t="str">
        <f t="shared" si="14"/>
        <v>REDOVNA DJELATNOST JAVNIH INSTITUTA (IZ EVIDENCIJSKIH PRIHODA)</v>
      </c>
      <c r="I87" s="79" t="str">
        <f t="shared" si="15"/>
        <v>0150</v>
      </c>
      <c r="J87" s="67">
        <v>360</v>
      </c>
      <c r="K87" s="67">
        <v>378</v>
      </c>
      <c r="L87" s="67">
        <v>397</v>
      </c>
      <c r="M87" s="68"/>
      <c r="N87" s="51"/>
      <c r="O87" s="51" t="str">
        <f t="shared" si="4"/>
        <v>424</v>
      </c>
      <c r="P87" s="51" t="str">
        <f t="shared" si="5"/>
        <v>42</v>
      </c>
      <c r="Q87" s="51" t="str">
        <f t="shared" si="6"/>
        <v>31</v>
      </c>
      <c r="R87" s="51" t="str">
        <f t="shared" si="7"/>
        <v>15</v>
      </c>
      <c r="S87" s="51"/>
      <c r="T87" s="51"/>
      <c r="U87" s="51"/>
      <c r="V87" s="51">
        <v>4123</v>
      </c>
      <c r="W87" s="51" t="s">
        <v>894</v>
      </c>
      <c r="X87" s="51"/>
      <c r="Y87" s="82" t="str">
        <f t="shared" si="8"/>
        <v>41</v>
      </c>
      <c r="Z87" s="51" t="str">
        <f t="shared" si="9"/>
        <v>412</v>
      </c>
      <c r="AA87" s="51"/>
      <c r="AB87" s="69" t="s">
        <v>895</v>
      </c>
      <c r="AC87" s="69" t="s">
        <v>896</v>
      </c>
      <c r="AD87" s="51" t="s">
        <v>641</v>
      </c>
      <c r="AE87" s="51" t="s">
        <v>642</v>
      </c>
      <c r="AF87" s="51" t="s">
        <v>643</v>
      </c>
      <c r="AG87" s="51" t="s">
        <v>644</v>
      </c>
    </row>
    <row r="88" spans="1:33" ht="15.75" customHeight="1">
      <c r="A88" s="62" t="str">
        <f>IF(C88="","",VLOOKUP('OPĆI DIO'!$C$3,'OPĆI DIO'!$L$6:$U$120,10,FALSE))</f>
        <v>08008</v>
      </c>
      <c r="B88" s="62" t="str">
        <f>IF(C88="","",VLOOKUP('OPĆI DIO'!$C$3,'OPĆI DIO'!$L$6:$U$120,9,FALSE))</f>
        <v>Javni instituti</v>
      </c>
      <c r="C88" s="84">
        <v>31</v>
      </c>
      <c r="D88" s="79" t="str">
        <f t="shared" si="12"/>
        <v>Vlastiti prihodi</v>
      </c>
      <c r="E88" s="84">
        <v>4227</v>
      </c>
      <c r="F88" s="79" t="str">
        <f t="shared" si="13"/>
        <v>Uređaji, strojevi i oprema za ostale namjene</v>
      </c>
      <c r="G88" s="84" t="s">
        <v>779</v>
      </c>
      <c r="H88" s="79" t="str">
        <f t="shared" si="14"/>
        <v>REDOVNA DJELATNOST JAVNIH INSTITUTA (IZ EVIDENCIJSKIH PRIHODA)</v>
      </c>
      <c r="I88" s="79" t="str">
        <f t="shared" si="15"/>
        <v>0150</v>
      </c>
      <c r="J88" s="67">
        <v>313</v>
      </c>
      <c r="K88" s="67">
        <v>329</v>
      </c>
      <c r="L88" s="67">
        <v>345</v>
      </c>
      <c r="M88" s="68"/>
      <c r="N88" s="51"/>
      <c r="O88" s="51" t="str">
        <f t="shared" si="4"/>
        <v>422</v>
      </c>
      <c r="P88" s="51" t="str">
        <f t="shared" si="5"/>
        <v>42</v>
      </c>
      <c r="Q88" s="51" t="str">
        <f t="shared" si="6"/>
        <v>31</v>
      </c>
      <c r="R88" s="51" t="str">
        <f t="shared" si="7"/>
        <v>15</v>
      </c>
      <c r="S88" s="51"/>
      <c r="T88" s="51"/>
      <c r="U88" s="51"/>
      <c r="V88" s="51">
        <v>4124</v>
      </c>
      <c r="W88" s="51" t="s">
        <v>897</v>
      </c>
      <c r="X88" s="51"/>
      <c r="Y88" s="82" t="str">
        <f t="shared" si="8"/>
        <v>41</v>
      </c>
      <c r="Z88" s="51" t="str">
        <f t="shared" si="9"/>
        <v>412</v>
      </c>
      <c r="AA88" s="51"/>
      <c r="AB88" s="69" t="s">
        <v>895</v>
      </c>
      <c r="AC88" s="69" t="s">
        <v>896</v>
      </c>
      <c r="AD88" s="51" t="s">
        <v>648</v>
      </c>
      <c r="AE88" s="51" t="s">
        <v>649</v>
      </c>
      <c r="AF88" s="51" t="s">
        <v>636</v>
      </c>
      <c r="AG88" s="51" t="s">
        <v>650</v>
      </c>
    </row>
    <row r="89" spans="1:33" ht="15.75" customHeight="1">
      <c r="A89" s="62" t="str">
        <f>IF(C89="","",VLOOKUP('OPĆI DIO'!$C$3,'OPĆI DIO'!$L$6:$U$120,10,FALSE))</f>
        <v>08008</v>
      </c>
      <c r="B89" s="62" t="str">
        <f>IF(C89="","",VLOOKUP('OPĆI DIO'!$C$3,'OPĆI DIO'!$L$6:$U$120,9,FALSE))</f>
        <v>Javni instituti</v>
      </c>
      <c r="C89" s="84">
        <v>52</v>
      </c>
      <c r="D89" s="79" t="str">
        <f t="shared" si="0"/>
        <v>Ostale pomoći</v>
      </c>
      <c r="E89" s="84">
        <v>3111</v>
      </c>
      <c r="F89" s="79" t="str">
        <f t="shared" si="1"/>
        <v>Plaće za redovan rad</v>
      </c>
      <c r="G89" s="84" t="s">
        <v>779</v>
      </c>
      <c r="H89" s="79" t="str">
        <f t="shared" ref="H89:H98" si="16">IFERROR(VLOOKUP(G89,$AB$6:$AC$332,2,FALSE),"")</f>
        <v>REDOVNA DJELATNOST JAVNIH INSTITUTA (IZ EVIDENCIJSKIH PRIHODA)</v>
      </c>
      <c r="I89" s="79" t="str">
        <f t="shared" ref="I89:I98" si="17">IFERROR(VLOOKUP(G89,$AB$6:$AF$332,3,FALSE),"")</f>
        <v>0150</v>
      </c>
      <c r="J89" s="67">
        <v>1412007</v>
      </c>
      <c r="K89" s="67">
        <v>761421</v>
      </c>
      <c r="L89" s="67">
        <v>345820</v>
      </c>
      <c r="M89" s="68"/>
      <c r="N89" s="51"/>
      <c r="O89" s="51" t="str">
        <f t="shared" si="4"/>
        <v>311</v>
      </c>
      <c r="P89" s="51" t="str">
        <f t="shared" si="5"/>
        <v>31</v>
      </c>
      <c r="Q89" s="51" t="str">
        <f t="shared" si="6"/>
        <v>52</v>
      </c>
      <c r="R89" s="51" t="str">
        <f t="shared" si="7"/>
        <v>15</v>
      </c>
      <c r="S89" s="51"/>
      <c r="T89" s="51"/>
      <c r="U89" s="51"/>
      <c r="V89" s="51">
        <v>4126</v>
      </c>
      <c r="W89" s="51" t="s">
        <v>898</v>
      </c>
      <c r="X89" s="51"/>
      <c r="Y89" s="82" t="str">
        <f t="shared" si="8"/>
        <v>41</v>
      </c>
      <c r="Z89" s="51" t="str">
        <f t="shared" si="9"/>
        <v>412</v>
      </c>
      <c r="AA89" s="51"/>
      <c r="AB89" s="69" t="s">
        <v>899</v>
      </c>
      <c r="AC89" s="69" t="s">
        <v>900</v>
      </c>
      <c r="AD89" s="51" t="s">
        <v>648</v>
      </c>
      <c r="AE89" s="51" t="s">
        <v>649</v>
      </c>
      <c r="AF89" s="51" t="s">
        <v>636</v>
      </c>
      <c r="AG89" s="51" t="s">
        <v>650</v>
      </c>
    </row>
    <row r="90" spans="1:33" ht="15.75" customHeight="1">
      <c r="A90" s="62" t="str">
        <f>IF(C90="","",VLOOKUP('OPĆI DIO'!$C$3,'OPĆI DIO'!$L$6:$U$120,10,FALSE))</f>
        <v>08008</v>
      </c>
      <c r="B90" s="62" t="str">
        <f>IF(C90="","",VLOOKUP('OPĆI DIO'!$C$3,'OPĆI DIO'!$L$6:$U$120,9,FALSE))</f>
        <v>Javni instituti</v>
      </c>
      <c r="C90" s="84">
        <v>52</v>
      </c>
      <c r="D90" s="79" t="str">
        <f t="shared" si="0"/>
        <v>Ostale pomoći</v>
      </c>
      <c r="E90" s="84">
        <v>3121</v>
      </c>
      <c r="F90" s="79" t="str">
        <f t="shared" si="1"/>
        <v>Ostali rashodi za zaposlene</v>
      </c>
      <c r="G90" s="84" t="s">
        <v>779</v>
      </c>
      <c r="H90" s="79" t="str">
        <f t="shared" si="16"/>
        <v>REDOVNA DJELATNOST JAVNIH INSTITUTA (IZ EVIDENCIJSKIH PRIHODA)</v>
      </c>
      <c r="I90" s="79" t="str">
        <f t="shared" si="17"/>
        <v>0150</v>
      </c>
      <c r="J90" s="67">
        <v>42640</v>
      </c>
      <c r="K90" s="67">
        <v>22994</v>
      </c>
      <c r="L90" s="67">
        <v>10443</v>
      </c>
      <c r="M90" s="68"/>
      <c r="N90" s="51"/>
      <c r="O90" s="51" t="str">
        <f t="shared" si="4"/>
        <v>312</v>
      </c>
      <c r="P90" s="51" t="str">
        <f t="shared" si="5"/>
        <v>31</v>
      </c>
      <c r="Q90" s="51" t="str">
        <f t="shared" si="6"/>
        <v>52</v>
      </c>
      <c r="R90" s="51" t="str">
        <f t="shared" si="7"/>
        <v>15</v>
      </c>
      <c r="S90" s="51"/>
      <c r="T90" s="51"/>
      <c r="U90" s="51"/>
      <c r="V90" s="51">
        <v>4211</v>
      </c>
      <c r="W90" s="51" t="s">
        <v>901</v>
      </c>
      <c r="X90" s="51"/>
      <c r="Y90" s="82" t="str">
        <f t="shared" si="8"/>
        <v>42</v>
      </c>
      <c r="Z90" s="51" t="str">
        <f t="shared" si="9"/>
        <v>421</v>
      </c>
      <c r="AA90" s="51"/>
      <c r="AB90" s="69" t="s">
        <v>902</v>
      </c>
      <c r="AC90" s="69" t="s">
        <v>903</v>
      </c>
      <c r="AD90" s="51" t="s">
        <v>648</v>
      </c>
      <c r="AE90" s="51" t="s">
        <v>649</v>
      </c>
      <c r="AF90" s="51" t="s">
        <v>636</v>
      </c>
      <c r="AG90" s="51" t="s">
        <v>650</v>
      </c>
    </row>
    <row r="91" spans="1:33" ht="15.75" customHeight="1">
      <c r="A91" s="62" t="str">
        <f>IF(C91="","",VLOOKUP('OPĆI DIO'!$C$3,'OPĆI DIO'!$L$6:$U$120,10,FALSE))</f>
        <v>08008</v>
      </c>
      <c r="B91" s="62" t="str">
        <f>IF(C91="","",VLOOKUP('OPĆI DIO'!$C$3,'OPĆI DIO'!$L$6:$U$120,9,FALSE))</f>
        <v>Javni instituti</v>
      </c>
      <c r="C91" s="84">
        <v>52</v>
      </c>
      <c r="D91" s="79" t="str">
        <f t="shared" si="0"/>
        <v>Ostale pomoći</v>
      </c>
      <c r="E91" s="84">
        <v>3132</v>
      </c>
      <c r="F91" s="79" t="str">
        <f t="shared" si="1"/>
        <v>Doprinosi za obvezno zdravstveno osiguranje</v>
      </c>
      <c r="G91" s="84" t="s">
        <v>779</v>
      </c>
      <c r="H91" s="79" t="str">
        <f t="shared" si="16"/>
        <v>REDOVNA DJELATNOST JAVNIH INSTITUTA (IZ EVIDENCIJSKIH PRIHODA)</v>
      </c>
      <c r="I91" s="79" t="str">
        <f t="shared" si="17"/>
        <v>0150</v>
      </c>
      <c r="J91" s="67">
        <v>195284</v>
      </c>
      <c r="K91" s="67">
        <v>105306</v>
      </c>
      <c r="L91" s="67">
        <v>47828</v>
      </c>
      <c r="M91" s="68"/>
      <c r="N91" s="51"/>
      <c r="O91" s="51" t="str">
        <f t="shared" si="4"/>
        <v>313</v>
      </c>
      <c r="P91" s="51" t="str">
        <f t="shared" si="5"/>
        <v>31</v>
      </c>
      <c r="Q91" s="51" t="str">
        <f t="shared" si="6"/>
        <v>52</v>
      </c>
      <c r="R91" s="51" t="str">
        <f t="shared" si="7"/>
        <v>15</v>
      </c>
      <c r="S91" s="51"/>
      <c r="T91" s="51"/>
      <c r="U91" s="51"/>
      <c r="V91" s="51">
        <v>4212</v>
      </c>
      <c r="W91" s="51" t="s">
        <v>904</v>
      </c>
      <c r="X91" s="51"/>
      <c r="Y91" s="82" t="str">
        <f t="shared" si="8"/>
        <v>42</v>
      </c>
      <c r="Z91" s="51" t="str">
        <f t="shared" si="9"/>
        <v>421</v>
      </c>
      <c r="AA91" s="51"/>
      <c r="AB91" s="69" t="s">
        <v>905</v>
      </c>
      <c r="AC91" s="69" t="s">
        <v>906</v>
      </c>
      <c r="AD91" s="51" t="s">
        <v>641</v>
      </c>
      <c r="AE91" s="51" t="s">
        <v>642</v>
      </c>
      <c r="AF91" s="51" t="s">
        <v>643</v>
      </c>
      <c r="AG91" s="51" t="s">
        <v>644</v>
      </c>
    </row>
    <row r="92" spans="1:33" ht="15.75" customHeight="1">
      <c r="A92" s="62" t="str">
        <f>IF(C92="","",VLOOKUP('OPĆI DIO'!$C$3,'OPĆI DIO'!$L$6:$U$120,10,FALSE))</f>
        <v>08008</v>
      </c>
      <c r="B92" s="62" t="str">
        <f>IF(C92="","",VLOOKUP('OPĆI DIO'!$C$3,'OPĆI DIO'!$L$6:$U$120,9,FALSE))</f>
        <v>Javni instituti</v>
      </c>
      <c r="C92" s="84">
        <v>52</v>
      </c>
      <c r="D92" s="79" t="str">
        <f t="shared" si="0"/>
        <v>Ostale pomoći</v>
      </c>
      <c r="E92" s="84">
        <v>3211</v>
      </c>
      <c r="F92" s="79" t="str">
        <f t="shared" si="1"/>
        <v>Službena putovanja</v>
      </c>
      <c r="G92" s="84" t="s">
        <v>779</v>
      </c>
      <c r="H92" s="79" t="str">
        <f t="shared" si="16"/>
        <v>REDOVNA DJELATNOST JAVNIH INSTITUTA (IZ EVIDENCIJSKIH PRIHODA)</v>
      </c>
      <c r="I92" s="79" t="str">
        <f t="shared" si="17"/>
        <v>0150</v>
      </c>
      <c r="J92" s="67">
        <v>62042</v>
      </c>
      <c r="K92" s="67">
        <v>33456</v>
      </c>
      <c r="L92" s="67">
        <v>15195</v>
      </c>
      <c r="M92" s="68"/>
      <c r="N92" s="51"/>
      <c r="O92" s="51" t="str">
        <f t="shared" si="4"/>
        <v>321</v>
      </c>
      <c r="P92" s="51" t="str">
        <f t="shared" si="5"/>
        <v>32</v>
      </c>
      <c r="Q92" s="51" t="str">
        <f t="shared" si="6"/>
        <v>52</v>
      </c>
      <c r="R92" s="51" t="str">
        <f t="shared" si="7"/>
        <v>15</v>
      </c>
      <c r="S92" s="51"/>
      <c r="T92" s="51"/>
      <c r="U92" s="51"/>
      <c r="V92" s="51">
        <v>4213</v>
      </c>
      <c r="W92" s="51" t="s">
        <v>907</v>
      </c>
      <c r="X92" s="51"/>
      <c r="Y92" s="82" t="str">
        <f t="shared" si="8"/>
        <v>42</v>
      </c>
      <c r="Z92" s="51" t="str">
        <f t="shared" si="9"/>
        <v>421</v>
      </c>
      <c r="AA92" s="51"/>
      <c r="AB92" s="69" t="s">
        <v>908</v>
      </c>
      <c r="AC92" s="69" t="s">
        <v>909</v>
      </c>
      <c r="AD92" s="51" t="s">
        <v>641</v>
      </c>
      <c r="AE92" s="51" t="s">
        <v>642</v>
      </c>
      <c r="AF92" s="51" t="s">
        <v>643</v>
      </c>
      <c r="AG92" s="51" t="s">
        <v>644</v>
      </c>
    </row>
    <row r="93" spans="1:33" ht="15.75" customHeight="1">
      <c r="A93" s="62" t="str">
        <f>IF(C93="","",VLOOKUP('OPĆI DIO'!$C$3,'OPĆI DIO'!$L$6:$U$120,10,FALSE))</f>
        <v>08008</v>
      </c>
      <c r="B93" s="62" t="str">
        <f>IF(C93="","",VLOOKUP('OPĆI DIO'!$C$3,'OPĆI DIO'!$L$6:$U$120,9,FALSE))</f>
        <v>Javni instituti</v>
      </c>
      <c r="C93" s="84">
        <v>52</v>
      </c>
      <c r="D93" s="79" t="str">
        <f t="shared" si="0"/>
        <v>Ostale pomoći</v>
      </c>
      <c r="E93" s="84">
        <v>3212</v>
      </c>
      <c r="F93" s="79" t="str">
        <f t="shared" si="1"/>
        <v>Naknade za prijevoz, za rad na terenu i odvojeni život</v>
      </c>
      <c r="G93" s="84" t="s">
        <v>779</v>
      </c>
      <c r="H93" s="79" t="str">
        <f t="shared" si="16"/>
        <v>REDOVNA DJELATNOST JAVNIH INSTITUTA (IZ EVIDENCIJSKIH PRIHODA)</v>
      </c>
      <c r="I93" s="79" t="str">
        <f t="shared" si="17"/>
        <v>0150</v>
      </c>
      <c r="J93" s="67">
        <v>45399</v>
      </c>
      <c r="K93" s="67">
        <v>24481</v>
      </c>
      <c r="L93" s="67">
        <v>11119</v>
      </c>
      <c r="M93" s="68"/>
      <c r="N93" s="51"/>
      <c r="O93" s="51" t="str">
        <f t="shared" si="4"/>
        <v>321</v>
      </c>
      <c r="P93" s="51" t="str">
        <f t="shared" si="5"/>
        <v>32</v>
      </c>
      <c r="Q93" s="51" t="str">
        <f t="shared" si="6"/>
        <v>52</v>
      </c>
      <c r="R93" s="51" t="str">
        <f t="shared" si="7"/>
        <v>15</v>
      </c>
      <c r="S93" s="51"/>
      <c r="T93" s="51"/>
      <c r="U93" s="51"/>
      <c r="V93" s="51">
        <v>4214</v>
      </c>
      <c r="W93" s="51" t="s">
        <v>910</v>
      </c>
      <c r="X93" s="51"/>
      <c r="Y93" s="82" t="str">
        <f t="shared" si="8"/>
        <v>42</v>
      </c>
      <c r="Z93" s="51" t="str">
        <f t="shared" si="9"/>
        <v>421</v>
      </c>
      <c r="AA93" s="51"/>
      <c r="AB93" s="69" t="s">
        <v>911</v>
      </c>
      <c r="AC93" s="69" t="s">
        <v>912</v>
      </c>
      <c r="AD93" s="51" t="s">
        <v>641</v>
      </c>
      <c r="AE93" s="51" t="s">
        <v>642</v>
      </c>
      <c r="AF93" s="51" t="s">
        <v>643</v>
      </c>
      <c r="AG93" s="51" t="s">
        <v>644</v>
      </c>
    </row>
    <row r="94" spans="1:33" ht="15.75" customHeight="1">
      <c r="A94" s="62" t="str">
        <f>IF(C94="","",VLOOKUP('OPĆI DIO'!$C$3,'OPĆI DIO'!$L$6:$U$120,10,FALSE))</f>
        <v>08008</v>
      </c>
      <c r="B94" s="62" t="str">
        <f>IF(C94="","",VLOOKUP('OPĆI DIO'!$C$3,'OPĆI DIO'!$L$6:$U$120,9,FALSE))</f>
        <v>Javni instituti</v>
      </c>
      <c r="C94" s="84">
        <v>52</v>
      </c>
      <c r="D94" s="79" t="str">
        <f t="shared" si="0"/>
        <v>Ostale pomoći</v>
      </c>
      <c r="E94" s="84">
        <v>3213</v>
      </c>
      <c r="F94" s="79" t="str">
        <f t="shared" si="1"/>
        <v>Stručno usavršavanje zaposlenika</v>
      </c>
      <c r="G94" s="84" t="s">
        <v>779</v>
      </c>
      <c r="H94" s="79" t="str">
        <f t="shared" si="16"/>
        <v>REDOVNA DJELATNOST JAVNIH INSTITUTA (IZ EVIDENCIJSKIH PRIHODA)</v>
      </c>
      <c r="I94" s="79" t="str">
        <f t="shared" si="17"/>
        <v>0150</v>
      </c>
      <c r="J94" s="67">
        <v>19149</v>
      </c>
      <c r="K94" s="67">
        <v>10326</v>
      </c>
      <c r="L94" s="67">
        <v>4690</v>
      </c>
      <c r="M94" s="68"/>
      <c r="N94" s="51"/>
      <c r="O94" s="51" t="str">
        <f t="shared" si="4"/>
        <v>321</v>
      </c>
      <c r="P94" s="51" t="str">
        <f t="shared" si="5"/>
        <v>32</v>
      </c>
      <c r="Q94" s="51" t="str">
        <f t="shared" si="6"/>
        <v>52</v>
      </c>
      <c r="R94" s="51" t="str">
        <f t="shared" si="7"/>
        <v>15</v>
      </c>
      <c r="S94" s="51"/>
      <c r="T94" s="51"/>
      <c r="U94" s="51"/>
      <c r="V94" s="51">
        <v>4221</v>
      </c>
      <c r="W94" s="51" t="s">
        <v>913</v>
      </c>
      <c r="X94" s="51"/>
      <c r="Y94" s="82" t="str">
        <f t="shared" si="8"/>
        <v>42</v>
      </c>
      <c r="Z94" s="51" t="str">
        <f t="shared" si="9"/>
        <v>422</v>
      </c>
      <c r="AA94" s="51"/>
      <c r="AB94" s="69" t="s">
        <v>914</v>
      </c>
      <c r="AC94" s="69" t="s">
        <v>915</v>
      </c>
      <c r="AD94" s="51" t="s">
        <v>648</v>
      </c>
      <c r="AE94" s="51" t="s">
        <v>649</v>
      </c>
      <c r="AF94" s="51" t="s">
        <v>636</v>
      </c>
      <c r="AG94" s="51" t="s">
        <v>650</v>
      </c>
    </row>
    <row r="95" spans="1:33" ht="15.75" customHeight="1">
      <c r="A95" s="62" t="str">
        <f>IF(C95="","",VLOOKUP('OPĆI DIO'!$C$3,'OPĆI DIO'!$L$6:$U$120,10,FALSE))</f>
        <v>08008</v>
      </c>
      <c r="B95" s="62" t="str">
        <f>IF(C95="","",VLOOKUP('OPĆI DIO'!$C$3,'OPĆI DIO'!$L$6:$U$120,9,FALSE))</f>
        <v>Javni instituti</v>
      </c>
      <c r="C95" s="84">
        <v>52</v>
      </c>
      <c r="D95" s="79" t="str">
        <f t="shared" si="0"/>
        <v>Ostale pomoći</v>
      </c>
      <c r="E95" s="84">
        <v>3214</v>
      </c>
      <c r="F95" s="79" t="str">
        <f t="shared" si="1"/>
        <v>Ostale naknade troškova zaposlenima</v>
      </c>
      <c r="G95" s="84" t="s">
        <v>779</v>
      </c>
      <c r="H95" s="79" t="str">
        <f t="shared" si="16"/>
        <v>REDOVNA DJELATNOST JAVNIH INSTITUTA (IZ EVIDENCIJSKIH PRIHODA)</v>
      </c>
      <c r="I95" s="79" t="str">
        <f t="shared" si="17"/>
        <v>0150</v>
      </c>
      <c r="J95" s="67">
        <v>7954</v>
      </c>
      <c r="K95" s="67">
        <v>4289</v>
      </c>
      <c r="L95" s="67">
        <v>1948</v>
      </c>
      <c r="M95" s="68"/>
      <c r="N95" s="51"/>
      <c r="O95" s="51" t="str">
        <f t="shared" si="4"/>
        <v>321</v>
      </c>
      <c r="P95" s="51" t="str">
        <f t="shared" si="5"/>
        <v>32</v>
      </c>
      <c r="Q95" s="51" t="str">
        <f t="shared" si="6"/>
        <v>52</v>
      </c>
      <c r="R95" s="51" t="str">
        <f t="shared" si="7"/>
        <v>15</v>
      </c>
      <c r="S95" s="51"/>
      <c r="T95" s="51"/>
      <c r="U95" s="51"/>
      <c r="V95" s="51">
        <v>4222</v>
      </c>
      <c r="W95" s="51" t="s">
        <v>916</v>
      </c>
      <c r="X95" s="51"/>
      <c r="Y95" s="82" t="str">
        <f t="shared" si="8"/>
        <v>42</v>
      </c>
      <c r="Z95" s="51" t="str">
        <f t="shared" si="9"/>
        <v>422</v>
      </c>
      <c r="AA95" s="51"/>
      <c r="AB95" s="69" t="s">
        <v>917</v>
      </c>
      <c r="AC95" s="69" t="s">
        <v>918</v>
      </c>
      <c r="AD95" s="51" t="s">
        <v>648</v>
      </c>
      <c r="AE95" s="51" t="s">
        <v>649</v>
      </c>
      <c r="AF95" s="51" t="s">
        <v>636</v>
      </c>
      <c r="AG95" s="51" t="s">
        <v>650</v>
      </c>
    </row>
    <row r="96" spans="1:33" ht="15.75" customHeight="1">
      <c r="A96" s="62" t="str">
        <f>IF(C96="","",VLOOKUP('OPĆI DIO'!$C$3,'OPĆI DIO'!$L$6:$U$120,10,FALSE))</f>
        <v>08008</v>
      </c>
      <c r="B96" s="62" t="str">
        <f>IF(C96="","",VLOOKUP('OPĆI DIO'!$C$3,'OPĆI DIO'!$L$6:$U$120,9,FALSE))</f>
        <v>Javni instituti</v>
      </c>
      <c r="C96" s="84">
        <v>52</v>
      </c>
      <c r="D96" s="79" t="str">
        <f t="shared" si="0"/>
        <v>Ostale pomoći</v>
      </c>
      <c r="E96" s="84">
        <v>3221</v>
      </c>
      <c r="F96" s="79" t="str">
        <f t="shared" si="1"/>
        <v>Uredski materijal i ostali materijalni rashodi</v>
      </c>
      <c r="G96" s="84" t="s">
        <v>779</v>
      </c>
      <c r="H96" s="79" t="str">
        <f t="shared" si="16"/>
        <v>REDOVNA DJELATNOST JAVNIH INSTITUTA (IZ EVIDENCIJSKIH PRIHODA)</v>
      </c>
      <c r="I96" s="79" t="str">
        <f t="shared" si="17"/>
        <v>0150</v>
      </c>
      <c r="J96" s="67">
        <v>4286</v>
      </c>
      <c r="K96" s="67">
        <v>2311</v>
      </c>
      <c r="L96" s="67">
        <v>1050</v>
      </c>
      <c r="M96" s="68"/>
      <c r="N96" s="51"/>
      <c r="O96" s="51" t="str">
        <f t="shared" si="4"/>
        <v>322</v>
      </c>
      <c r="P96" s="51" t="str">
        <f t="shared" si="5"/>
        <v>32</v>
      </c>
      <c r="Q96" s="51" t="str">
        <f t="shared" si="6"/>
        <v>52</v>
      </c>
      <c r="R96" s="51" t="str">
        <f t="shared" si="7"/>
        <v>15</v>
      </c>
      <c r="S96" s="51"/>
      <c r="T96" s="51"/>
      <c r="U96" s="51"/>
      <c r="V96" s="51">
        <v>4223</v>
      </c>
      <c r="W96" s="51" t="s">
        <v>919</v>
      </c>
      <c r="X96" s="51"/>
      <c r="Y96" s="82" t="str">
        <f t="shared" si="8"/>
        <v>42</v>
      </c>
      <c r="Z96" s="51" t="str">
        <f t="shared" si="9"/>
        <v>422</v>
      </c>
      <c r="AA96" s="51"/>
      <c r="AB96" s="69" t="s">
        <v>920</v>
      </c>
      <c r="AC96" s="69" t="s">
        <v>921</v>
      </c>
      <c r="AD96" s="51" t="s">
        <v>648</v>
      </c>
      <c r="AE96" s="51" t="s">
        <v>649</v>
      </c>
      <c r="AF96" s="51" t="s">
        <v>636</v>
      </c>
      <c r="AG96" s="51" t="s">
        <v>650</v>
      </c>
    </row>
    <row r="97" spans="1:33" ht="15.75" customHeight="1">
      <c r="A97" s="62" t="str">
        <f>IF(C97="","",VLOOKUP('OPĆI DIO'!$C$3,'OPĆI DIO'!$L$6:$U$120,10,FALSE))</f>
        <v>08008</v>
      </c>
      <c r="B97" s="62" t="str">
        <f>IF(C97="","",VLOOKUP('OPĆI DIO'!$C$3,'OPĆI DIO'!$L$6:$U$120,9,FALSE))</f>
        <v>Javni instituti</v>
      </c>
      <c r="C97" s="84">
        <v>52</v>
      </c>
      <c r="D97" s="79" t="str">
        <f t="shared" si="0"/>
        <v>Ostale pomoći</v>
      </c>
      <c r="E97" s="84">
        <v>3222</v>
      </c>
      <c r="F97" s="79" t="str">
        <f t="shared" si="1"/>
        <v>Materijal i sirovine</v>
      </c>
      <c r="G97" s="84" t="s">
        <v>779</v>
      </c>
      <c r="H97" s="79" t="str">
        <f t="shared" si="16"/>
        <v>REDOVNA DJELATNOST JAVNIH INSTITUTA (IZ EVIDENCIJSKIH PRIHODA)</v>
      </c>
      <c r="I97" s="79" t="str">
        <f t="shared" si="17"/>
        <v>0150</v>
      </c>
      <c r="J97" s="67">
        <v>713466</v>
      </c>
      <c r="K97" s="67">
        <v>384735</v>
      </c>
      <c r="L97" s="67">
        <v>174737</v>
      </c>
      <c r="M97" s="68"/>
      <c r="N97" s="51"/>
      <c r="O97" s="51" t="str">
        <f t="shared" si="4"/>
        <v>322</v>
      </c>
      <c r="P97" s="51" t="str">
        <f t="shared" si="5"/>
        <v>32</v>
      </c>
      <c r="Q97" s="51" t="str">
        <f t="shared" si="6"/>
        <v>52</v>
      </c>
      <c r="R97" s="51" t="str">
        <f t="shared" si="7"/>
        <v>15</v>
      </c>
      <c r="S97" s="51"/>
      <c r="T97" s="51"/>
      <c r="U97" s="51"/>
      <c r="V97" s="51">
        <v>4224</v>
      </c>
      <c r="W97" s="51" t="s">
        <v>922</v>
      </c>
      <c r="X97" s="51"/>
      <c r="Y97" s="82" t="str">
        <f t="shared" si="8"/>
        <v>42</v>
      </c>
      <c r="Z97" s="51" t="str">
        <f t="shared" si="9"/>
        <v>422</v>
      </c>
      <c r="AA97" s="51"/>
      <c r="AB97" s="69" t="s">
        <v>923</v>
      </c>
      <c r="AC97" s="69" t="s">
        <v>924</v>
      </c>
      <c r="AD97" s="51" t="s">
        <v>648</v>
      </c>
      <c r="AE97" s="51" t="s">
        <v>649</v>
      </c>
      <c r="AF97" s="51" t="s">
        <v>636</v>
      </c>
      <c r="AG97" s="51" t="s">
        <v>650</v>
      </c>
    </row>
    <row r="98" spans="1:33" ht="15.75" customHeight="1">
      <c r="A98" s="62" t="str">
        <f>IF(C98="","",VLOOKUP('OPĆI DIO'!$C$3,'OPĆI DIO'!$L$6:$U$120,10,FALSE))</f>
        <v>08008</v>
      </c>
      <c r="B98" s="62" t="str">
        <f>IF(C98="","",VLOOKUP('OPĆI DIO'!$C$3,'OPĆI DIO'!$L$6:$U$120,9,FALSE))</f>
        <v>Javni instituti</v>
      </c>
      <c r="C98" s="84">
        <v>52</v>
      </c>
      <c r="D98" s="79" t="str">
        <f t="shared" si="0"/>
        <v>Ostale pomoći</v>
      </c>
      <c r="E98" s="84">
        <v>3223</v>
      </c>
      <c r="F98" s="79" t="str">
        <f t="shared" si="1"/>
        <v>Energija</v>
      </c>
      <c r="G98" s="84" t="s">
        <v>779</v>
      </c>
      <c r="H98" s="79" t="str">
        <f t="shared" si="16"/>
        <v>REDOVNA DJELATNOST JAVNIH INSTITUTA (IZ EVIDENCIJSKIH PRIHODA)</v>
      </c>
      <c r="I98" s="79" t="str">
        <f t="shared" si="17"/>
        <v>0150</v>
      </c>
      <c r="J98" s="67">
        <v>3171</v>
      </c>
      <c r="K98" s="67">
        <v>1710</v>
      </c>
      <c r="L98" s="67">
        <v>777</v>
      </c>
      <c r="M98" s="68"/>
      <c r="N98" s="51"/>
      <c r="O98" s="51" t="str">
        <f t="shared" si="4"/>
        <v>322</v>
      </c>
      <c r="P98" s="51" t="str">
        <f t="shared" si="5"/>
        <v>32</v>
      </c>
      <c r="Q98" s="51" t="str">
        <f t="shared" si="6"/>
        <v>52</v>
      </c>
      <c r="R98" s="51" t="str">
        <f t="shared" si="7"/>
        <v>15</v>
      </c>
      <c r="S98" s="51"/>
      <c r="T98" s="51"/>
      <c r="U98" s="51"/>
      <c r="V98" s="51">
        <v>4225</v>
      </c>
      <c r="W98" s="51" t="s">
        <v>925</v>
      </c>
      <c r="X98" s="51"/>
      <c r="Y98" s="82" t="str">
        <f t="shared" si="8"/>
        <v>42</v>
      </c>
      <c r="Z98" s="51" t="str">
        <f t="shared" si="9"/>
        <v>422</v>
      </c>
      <c r="AA98" s="51"/>
      <c r="AB98" s="69" t="s">
        <v>926</v>
      </c>
      <c r="AC98" s="69" t="s">
        <v>927</v>
      </c>
      <c r="AD98" s="51" t="s">
        <v>648</v>
      </c>
      <c r="AE98" s="51" t="s">
        <v>649</v>
      </c>
      <c r="AF98" s="51" t="s">
        <v>636</v>
      </c>
      <c r="AG98" s="51" t="s">
        <v>650</v>
      </c>
    </row>
    <row r="99" spans="1:33" ht="15.75" customHeight="1">
      <c r="A99" s="62" t="str">
        <f>IF(C99="","",VLOOKUP('OPĆI DIO'!$C$3,'OPĆI DIO'!$L$6:$U$120,10,FALSE))</f>
        <v>08008</v>
      </c>
      <c r="B99" s="62" t="str">
        <f>IF(C99="","",VLOOKUP('OPĆI DIO'!$C$3,'OPĆI DIO'!$L$6:$U$120,9,FALSE))</f>
        <v>Javni instituti</v>
      </c>
      <c r="C99" s="84">
        <v>52</v>
      </c>
      <c r="D99" s="79" t="str">
        <f t="shared" si="0"/>
        <v>Ostale pomoći</v>
      </c>
      <c r="E99" s="84">
        <v>3224</v>
      </c>
      <c r="F99" s="79" t="str">
        <f t="shared" si="1"/>
        <v>Materijal i dijelovi za tekuće i investicijsko održavanje</v>
      </c>
      <c r="G99" s="84" t="s">
        <v>779</v>
      </c>
      <c r="H99" s="79" t="str">
        <f t="shared" ref="H99:H130" si="18">IFERROR(VLOOKUP(G99,$AB$6:$AC$332,2,FALSE),"")</f>
        <v>REDOVNA DJELATNOST JAVNIH INSTITUTA (IZ EVIDENCIJSKIH PRIHODA)</v>
      </c>
      <c r="I99" s="79" t="str">
        <f t="shared" ref="I99:I130" si="19">IFERROR(VLOOKUP(G99,$AB$6:$AF$332,3,FALSE),"")</f>
        <v>0150</v>
      </c>
      <c r="J99" s="67">
        <v>107658</v>
      </c>
      <c r="K99" s="67">
        <v>58054</v>
      </c>
      <c r="L99" s="67">
        <v>26367</v>
      </c>
      <c r="M99" s="68"/>
      <c r="N99" s="51"/>
      <c r="O99" s="51" t="str">
        <f t="shared" si="4"/>
        <v>322</v>
      </c>
      <c r="P99" s="51" t="str">
        <f t="shared" si="5"/>
        <v>32</v>
      </c>
      <c r="Q99" s="51" t="str">
        <f t="shared" si="6"/>
        <v>52</v>
      </c>
      <c r="R99" s="51" t="str">
        <f t="shared" si="7"/>
        <v>15</v>
      </c>
      <c r="S99" s="51"/>
      <c r="T99" s="51"/>
      <c r="U99" s="51"/>
      <c r="V99" s="51">
        <v>4226</v>
      </c>
      <c r="W99" s="51" t="s">
        <v>928</v>
      </c>
      <c r="X99" s="51"/>
      <c r="Y99" s="82" t="str">
        <f t="shared" si="8"/>
        <v>42</v>
      </c>
      <c r="Z99" s="51" t="str">
        <f t="shared" si="9"/>
        <v>422</v>
      </c>
      <c r="AA99" s="51"/>
      <c r="AB99" s="69" t="s">
        <v>929</v>
      </c>
      <c r="AC99" s="69" t="s">
        <v>930</v>
      </c>
      <c r="AD99" s="51" t="s">
        <v>648</v>
      </c>
      <c r="AE99" s="51" t="s">
        <v>649</v>
      </c>
      <c r="AF99" s="51" t="s">
        <v>636</v>
      </c>
      <c r="AG99" s="51" t="s">
        <v>650</v>
      </c>
    </row>
    <row r="100" spans="1:33" ht="15.75" customHeight="1">
      <c r="A100" s="62" t="str">
        <f>IF(C100="","",VLOOKUP('OPĆI DIO'!$C$3,'OPĆI DIO'!$L$6:$U$120,10,FALSE))</f>
        <v>08008</v>
      </c>
      <c r="B100" s="62" t="str">
        <f>IF(C100="","",VLOOKUP('OPĆI DIO'!$C$3,'OPĆI DIO'!$L$6:$U$120,9,FALSE))</f>
        <v>Javni instituti</v>
      </c>
      <c r="C100" s="84">
        <v>52</v>
      </c>
      <c r="D100" s="79" t="str">
        <f t="shared" si="0"/>
        <v>Ostale pomoći</v>
      </c>
      <c r="E100" s="84">
        <v>3225</v>
      </c>
      <c r="F100" s="79" t="str">
        <f t="shared" si="1"/>
        <v>Sitni inventar i auto gume</v>
      </c>
      <c r="G100" s="84" t="s">
        <v>779</v>
      </c>
      <c r="H100" s="79" t="str">
        <f t="shared" si="18"/>
        <v>REDOVNA DJELATNOST JAVNIH INSTITUTA (IZ EVIDENCIJSKIH PRIHODA)</v>
      </c>
      <c r="I100" s="79" t="str">
        <f t="shared" si="19"/>
        <v>0150</v>
      </c>
      <c r="J100" s="67">
        <v>903</v>
      </c>
      <c r="K100" s="67">
        <v>487</v>
      </c>
      <c r="L100" s="67">
        <v>221</v>
      </c>
      <c r="M100" s="68"/>
      <c r="N100" s="51"/>
      <c r="O100" s="51" t="str">
        <f t="shared" si="4"/>
        <v>322</v>
      </c>
      <c r="P100" s="51" t="str">
        <f t="shared" si="5"/>
        <v>32</v>
      </c>
      <c r="Q100" s="51" t="str">
        <f t="shared" si="6"/>
        <v>52</v>
      </c>
      <c r="R100" s="51" t="str">
        <f t="shared" si="7"/>
        <v>15</v>
      </c>
      <c r="S100" s="51"/>
      <c r="T100" s="51"/>
      <c r="U100" s="51"/>
      <c r="V100" s="51">
        <v>4227</v>
      </c>
      <c r="W100" s="51" t="s">
        <v>931</v>
      </c>
      <c r="X100" s="51"/>
      <c r="Y100" s="82" t="str">
        <f t="shared" si="8"/>
        <v>42</v>
      </c>
      <c r="Z100" s="51" t="str">
        <f t="shared" si="9"/>
        <v>422</v>
      </c>
      <c r="AA100" s="51"/>
      <c r="AB100" s="69" t="s">
        <v>932</v>
      </c>
      <c r="AC100" s="69" t="s">
        <v>933</v>
      </c>
      <c r="AD100" s="51" t="s">
        <v>648</v>
      </c>
      <c r="AE100" s="51" t="s">
        <v>649</v>
      </c>
      <c r="AF100" s="51" t="s">
        <v>636</v>
      </c>
      <c r="AG100" s="51" t="s">
        <v>650</v>
      </c>
    </row>
    <row r="101" spans="1:33" ht="15.75" customHeight="1">
      <c r="A101" s="62" t="str">
        <f>IF(C101="","",VLOOKUP('OPĆI DIO'!$C$3,'OPĆI DIO'!$L$6:$U$120,10,FALSE))</f>
        <v>08008</v>
      </c>
      <c r="B101" s="62" t="str">
        <f>IF(C101="","",VLOOKUP('OPĆI DIO'!$C$3,'OPĆI DIO'!$L$6:$U$120,9,FALSE))</f>
        <v>Javni instituti</v>
      </c>
      <c r="C101" s="84">
        <v>52</v>
      </c>
      <c r="D101" s="79" t="str">
        <f t="shared" si="0"/>
        <v>Ostale pomoći</v>
      </c>
      <c r="E101" s="84">
        <v>3227</v>
      </c>
      <c r="F101" s="79" t="str">
        <f t="shared" si="1"/>
        <v>Službena, radna i zaštitna odjeća i obuća</v>
      </c>
      <c r="G101" s="84" t="s">
        <v>779</v>
      </c>
      <c r="H101" s="79" t="str">
        <f t="shared" si="18"/>
        <v>REDOVNA DJELATNOST JAVNIH INSTITUTA (IZ EVIDENCIJSKIH PRIHODA)</v>
      </c>
      <c r="I101" s="79" t="str">
        <f t="shared" si="19"/>
        <v>0150</v>
      </c>
      <c r="J101" s="67">
        <v>1340</v>
      </c>
      <c r="K101" s="67">
        <v>723</v>
      </c>
      <c r="L101" s="67">
        <v>328</v>
      </c>
      <c r="M101" s="68"/>
      <c r="N101" s="51"/>
      <c r="O101" s="51" t="str">
        <f t="shared" si="4"/>
        <v>322</v>
      </c>
      <c r="P101" s="51" t="str">
        <f t="shared" si="5"/>
        <v>32</v>
      </c>
      <c r="Q101" s="51" t="str">
        <f t="shared" si="6"/>
        <v>52</v>
      </c>
      <c r="R101" s="51" t="str">
        <f t="shared" si="7"/>
        <v>15</v>
      </c>
      <c r="S101" s="51"/>
      <c r="T101" s="51"/>
      <c r="U101" s="51"/>
      <c r="V101" s="51">
        <v>4231</v>
      </c>
      <c r="W101" s="51" t="s">
        <v>934</v>
      </c>
      <c r="X101" s="51"/>
      <c r="Y101" s="82" t="str">
        <f t="shared" si="8"/>
        <v>42</v>
      </c>
      <c r="Z101" s="51" t="str">
        <f t="shared" si="9"/>
        <v>423</v>
      </c>
      <c r="AA101" s="51"/>
      <c r="AB101" s="69" t="s">
        <v>935</v>
      </c>
      <c r="AC101" s="69" t="s">
        <v>936</v>
      </c>
      <c r="AD101" s="51" t="s">
        <v>648</v>
      </c>
      <c r="AE101" s="51" t="s">
        <v>649</v>
      </c>
      <c r="AF101" s="51" t="s">
        <v>636</v>
      </c>
      <c r="AG101" s="51" t="s">
        <v>650</v>
      </c>
    </row>
    <row r="102" spans="1:33" ht="15.75" customHeight="1">
      <c r="A102" s="62" t="str">
        <f>IF(C102="","",VLOOKUP('OPĆI DIO'!$C$3,'OPĆI DIO'!$L$6:$U$120,10,FALSE))</f>
        <v>08008</v>
      </c>
      <c r="B102" s="62" t="str">
        <f>IF(C102="","",VLOOKUP('OPĆI DIO'!$C$3,'OPĆI DIO'!$L$6:$U$120,9,FALSE))</f>
        <v>Javni instituti</v>
      </c>
      <c r="C102" s="84">
        <v>52</v>
      </c>
      <c r="D102" s="79" t="str">
        <f t="shared" si="0"/>
        <v>Ostale pomoći</v>
      </c>
      <c r="E102" s="84">
        <v>3231</v>
      </c>
      <c r="F102" s="79" t="str">
        <f t="shared" si="1"/>
        <v>Usluge telefona, pošte i prijevoza</v>
      </c>
      <c r="G102" s="84" t="s">
        <v>779</v>
      </c>
      <c r="H102" s="79" t="str">
        <f t="shared" si="18"/>
        <v>REDOVNA DJELATNOST JAVNIH INSTITUTA (IZ EVIDENCIJSKIH PRIHODA)</v>
      </c>
      <c r="I102" s="79" t="str">
        <f t="shared" si="19"/>
        <v>0150</v>
      </c>
      <c r="J102" s="67">
        <v>5286</v>
      </c>
      <c r="K102" s="67">
        <v>2850</v>
      </c>
      <c r="L102" s="67">
        <v>1295</v>
      </c>
      <c r="M102" s="68"/>
      <c r="N102" s="51"/>
      <c r="O102" s="51" t="str">
        <f t="shared" si="4"/>
        <v>323</v>
      </c>
      <c r="P102" s="51" t="str">
        <f t="shared" si="5"/>
        <v>32</v>
      </c>
      <c r="Q102" s="51" t="str">
        <f t="shared" si="6"/>
        <v>52</v>
      </c>
      <c r="R102" s="51" t="str">
        <f t="shared" si="7"/>
        <v>15</v>
      </c>
      <c r="S102" s="51"/>
      <c r="T102" s="51"/>
      <c r="U102" s="51"/>
      <c r="V102" s="51">
        <v>4233</v>
      </c>
      <c r="W102" s="51" t="s">
        <v>937</v>
      </c>
      <c r="X102" s="51"/>
      <c r="Y102" s="82" t="str">
        <f t="shared" si="8"/>
        <v>42</v>
      </c>
      <c r="Z102" s="51" t="str">
        <f t="shared" si="9"/>
        <v>423</v>
      </c>
      <c r="AA102" s="51"/>
      <c r="AB102" s="69" t="s">
        <v>938</v>
      </c>
      <c r="AC102" s="69" t="s">
        <v>939</v>
      </c>
      <c r="AD102" s="51" t="s">
        <v>641</v>
      </c>
      <c r="AE102" s="51" t="s">
        <v>642</v>
      </c>
      <c r="AF102" s="51" t="s">
        <v>643</v>
      </c>
      <c r="AG102" s="51" t="s">
        <v>644</v>
      </c>
    </row>
    <row r="103" spans="1:33" ht="15.75" customHeight="1">
      <c r="A103" s="62" t="str">
        <f>IF(C103="","",VLOOKUP('OPĆI DIO'!$C$3,'OPĆI DIO'!$L$6:$U$120,10,FALSE))</f>
        <v>08008</v>
      </c>
      <c r="B103" s="62" t="str">
        <f>IF(C103="","",VLOOKUP('OPĆI DIO'!$C$3,'OPĆI DIO'!$L$6:$U$120,9,FALSE))</f>
        <v>Javni instituti</v>
      </c>
      <c r="C103" s="84">
        <v>52</v>
      </c>
      <c r="D103" s="79" t="str">
        <f t="shared" si="0"/>
        <v>Ostale pomoći</v>
      </c>
      <c r="E103" s="84">
        <v>3232</v>
      </c>
      <c r="F103" s="79" t="str">
        <f t="shared" si="1"/>
        <v>Usluge tekućeg i investicijskog održavanja</v>
      </c>
      <c r="G103" s="84" t="s">
        <v>779</v>
      </c>
      <c r="H103" s="79" t="str">
        <f t="shared" si="18"/>
        <v>REDOVNA DJELATNOST JAVNIH INSTITUTA (IZ EVIDENCIJSKIH PRIHODA)</v>
      </c>
      <c r="I103" s="79" t="str">
        <f t="shared" si="19"/>
        <v>0150</v>
      </c>
      <c r="J103" s="67">
        <v>55064</v>
      </c>
      <c r="K103" s="67">
        <v>29693</v>
      </c>
      <c r="L103" s="67">
        <v>13486</v>
      </c>
      <c r="M103" s="68"/>
      <c r="N103" s="51"/>
      <c r="O103" s="51" t="str">
        <f t="shared" si="4"/>
        <v>323</v>
      </c>
      <c r="P103" s="51" t="str">
        <f t="shared" si="5"/>
        <v>32</v>
      </c>
      <c r="Q103" s="51" t="str">
        <f t="shared" si="6"/>
        <v>52</v>
      </c>
      <c r="R103" s="51" t="str">
        <f t="shared" si="7"/>
        <v>15</v>
      </c>
      <c r="S103" s="51"/>
      <c r="T103" s="51"/>
      <c r="U103" s="51"/>
      <c r="V103" s="51">
        <v>4241</v>
      </c>
      <c r="W103" s="51" t="s">
        <v>940</v>
      </c>
      <c r="X103" s="51"/>
      <c r="Y103" s="82" t="str">
        <f t="shared" si="8"/>
        <v>42</v>
      </c>
      <c r="Z103" s="51" t="str">
        <f t="shared" si="9"/>
        <v>424</v>
      </c>
      <c r="AA103" s="51"/>
      <c r="AB103" s="69" t="s">
        <v>941</v>
      </c>
      <c r="AC103" s="69" t="s">
        <v>942</v>
      </c>
      <c r="AD103" s="51" t="s">
        <v>770</v>
      </c>
      <c r="AE103" s="51" t="s">
        <v>771</v>
      </c>
      <c r="AF103" s="51" t="s">
        <v>636</v>
      </c>
      <c r="AG103" s="51" t="s">
        <v>772</v>
      </c>
    </row>
    <row r="104" spans="1:33" ht="15.75" customHeight="1">
      <c r="A104" s="62" t="str">
        <f>IF(C104="","",VLOOKUP('OPĆI DIO'!$C$3,'OPĆI DIO'!$L$6:$U$120,10,FALSE))</f>
        <v>08008</v>
      </c>
      <c r="B104" s="62" t="str">
        <f>IF(C104="","",VLOOKUP('OPĆI DIO'!$C$3,'OPĆI DIO'!$L$6:$U$120,9,FALSE))</f>
        <v>Javni instituti</v>
      </c>
      <c r="C104" s="84">
        <v>52</v>
      </c>
      <c r="D104" s="79" t="str">
        <f t="shared" si="0"/>
        <v>Ostale pomoći</v>
      </c>
      <c r="E104" s="84">
        <v>3233</v>
      </c>
      <c r="F104" s="79" t="str">
        <f t="shared" si="1"/>
        <v>Usluge promidžbe i informiranja</v>
      </c>
      <c r="G104" s="84" t="s">
        <v>779</v>
      </c>
      <c r="H104" s="79" t="str">
        <f t="shared" si="18"/>
        <v>REDOVNA DJELATNOST JAVNIH INSTITUTA (IZ EVIDENCIJSKIH PRIHODA)</v>
      </c>
      <c r="I104" s="79" t="str">
        <f t="shared" si="19"/>
        <v>0150</v>
      </c>
      <c r="J104" s="67">
        <v>30121</v>
      </c>
      <c r="K104" s="67">
        <v>16242</v>
      </c>
      <c r="L104" s="67">
        <v>7377</v>
      </c>
      <c r="M104" s="68"/>
      <c r="N104" s="51"/>
      <c r="O104" s="51" t="str">
        <f t="shared" si="4"/>
        <v>323</v>
      </c>
      <c r="P104" s="51" t="str">
        <f t="shared" si="5"/>
        <v>32</v>
      </c>
      <c r="Q104" s="51" t="str">
        <f t="shared" si="6"/>
        <v>52</v>
      </c>
      <c r="R104" s="51" t="str">
        <f t="shared" si="7"/>
        <v>15</v>
      </c>
      <c r="S104" s="51"/>
      <c r="T104" s="51"/>
      <c r="U104" s="51"/>
      <c r="V104" s="51">
        <v>4242</v>
      </c>
      <c r="W104" s="51" t="s">
        <v>943</v>
      </c>
      <c r="X104" s="51"/>
      <c r="Y104" s="82" t="str">
        <f t="shared" si="8"/>
        <v>42</v>
      </c>
      <c r="Z104" s="51" t="str">
        <f t="shared" si="9"/>
        <v>424</v>
      </c>
      <c r="AA104" s="51"/>
      <c r="AB104" s="69" t="s">
        <v>944</v>
      </c>
      <c r="AC104" s="69" t="s">
        <v>945</v>
      </c>
      <c r="AD104" s="51" t="s">
        <v>648</v>
      </c>
      <c r="AE104" s="51" t="s">
        <v>649</v>
      </c>
      <c r="AF104" s="51" t="s">
        <v>636</v>
      </c>
      <c r="AG104" s="51" t="s">
        <v>650</v>
      </c>
    </row>
    <row r="105" spans="1:33" ht="15.75" customHeight="1">
      <c r="A105" s="62" t="str">
        <f>IF(C105="","",VLOOKUP('OPĆI DIO'!$C$3,'OPĆI DIO'!$L$6:$U$120,10,FALSE))</f>
        <v>08008</v>
      </c>
      <c r="B105" s="62" t="str">
        <f>IF(C105="","",VLOOKUP('OPĆI DIO'!$C$3,'OPĆI DIO'!$L$6:$U$120,9,FALSE))</f>
        <v>Javni instituti</v>
      </c>
      <c r="C105" s="84">
        <v>52</v>
      </c>
      <c r="D105" s="79" t="str">
        <f t="shared" si="0"/>
        <v>Ostale pomoći</v>
      </c>
      <c r="E105" s="84">
        <v>3234</v>
      </c>
      <c r="F105" s="79" t="str">
        <f t="shared" si="1"/>
        <v>Komunalne usluge</v>
      </c>
      <c r="G105" s="84" t="s">
        <v>779</v>
      </c>
      <c r="H105" s="79" t="str">
        <f t="shared" si="18"/>
        <v>REDOVNA DJELATNOST JAVNIH INSTITUTA (IZ EVIDENCIJSKIH PRIHODA)</v>
      </c>
      <c r="I105" s="79" t="str">
        <f t="shared" si="19"/>
        <v>0150</v>
      </c>
      <c r="J105" s="67">
        <v>267</v>
      </c>
      <c r="K105" s="67">
        <v>144</v>
      </c>
      <c r="L105" s="67">
        <v>65</v>
      </c>
      <c r="M105" s="68"/>
      <c r="N105" s="51"/>
      <c r="O105" s="51" t="str">
        <f t="shared" si="4"/>
        <v>323</v>
      </c>
      <c r="P105" s="51" t="str">
        <f t="shared" si="5"/>
        <v>32</v>
      </c>
      <c r="Q105" s="51" t="str">
        <f t="shared" si="6"/>
        <v>52</v>
      </c>
      <c r="R105" s="51" t="str">
        <f t="shared" si="7"/>
        <v>15</v>
      </c>
      <c r="S105" s="51"/>
      <c r="T105" s="51"/>
      <c r="U105" s="51"/>
      <c r="V105" s="51">
        <v>4244</v>
      </c>
      <c r="W105" s="51" t="s">
        <v>946</v>
      </c>
      <c r="X105" s="51"/>
      <c r="Y105" s="82" t="str">
        <f t="shared" si="8"/>
        <v>42</v>
      </c>
      <c r="Z105" s="51" t="str">
        <f t="shared" si="9"/>
        <v>424</v>
      </c>
      <c r="AA105" s="51"/>
      <c r="AB105" s="69" t="s">
        <v>947</v>
      </c>
      <c r="AC105" s="69" t="s">
        <v>948</v>
      </c>
      <c r="AD105" s="51" t="s">
        <v>641</v>
      </c>
      <c r="AE105" s="51" t="s">
        <v>642</v>
      </c>
      <c r="AF105" s="51" t="s">
        <v>643</v>
      </c>
      <c r="AG105" s="51" t="s">
        <v>644</v>
      </c>
    </row>
    <row r="106" spans="1:33" ht="15.75" customHeight="1">
      <c r="A106" s="62" t="str">
        <f>IF(C106="","",VLOOKUP('OPĆI DIO'!$C$3,'OPĆI DIO'!$L$6:$U$120,10,FALSE))</f>
        <v>08008</v>
      </c>
      <c r="B106" s="62" t="str">
        <f>IF(C106="","",VLOOKUP('OPĆI DIO'!$C$3,'OPĆI DIO'!$L$6:$U$120,9,FALSE))</f>
        <v>Javni instituti</v>
      </c>
      <c r="C106" s="84">
        <v>52</v>
      </c>
      <c r="D106" s="79" t="str">
        <f t="shared" si="0"/>
        <v>Ostale pomoći</v>
      </c>
      <c r="E106" s="84">
        <v>3235</v>
      </c>
      <c r="F106" s="79" t="str">
        <f t="shared" si="1"/>
        <v>Zakupnine i najamnine</v>
      </c>
      <c r="G106" s="84" t="s">
        <v>779</v>
      </c>
      <c r="H106" s="79" t="str">
        <f t="shared" si="18"/>
        <v>REDOVNA DJELATNOST JAVNIH INSTITUTA (IZ EVIDENCIJSKIH PRIHODA)</v>
      </c>
      <c r="I106" s="79" t="str">
        <f t="shared" si="19"/>
        <v>0150</v>
      </c>
      <c r="J106" s="67">
        <v>7498</v>
      </c>
      <c r="K106" s="67">
        <v>4043</v>
      </c>
      <c r="L106" s="67">
        <v>1836</v>
      </c>
      <c r="M106" s="68"/>
      <c r="N106" s="51"/>
      <c r="O106" s="51" t="str">
        <f t="shared" si="4"/>
        <v>323</v>
      </c>
      <c r="P106" s="51" t="str">
        <f t="shared" si="5"/>
        <v>32</v>
      </c>
      <c r="Q106" s="51" t="str">
        <f t="shared" si="6"/>
        <v>52</v>
      </c>
      <c r="R106" s="51" t="str">
        <f t="shared" si="7"/>
        <v>15</v>
      </c>
      <c r="S106" s="51"/>
      <c r="T106" s="51"/>
      <c r="U106" s="51"/>
      <c r="V106" s="51">
        <v>4251</v>
      </c>
      <c r="W106" s="51" t="s">
        <v>949</v>
      </c>
      <c r="X106" s="51"/>
      <c r="Y106" s="82" t="str">
        <f t="shared" si="8"/>
        <v>42</v>
      </c>
      <c r="Z106" s="51" t="str">
        <f t="shared" si="9"/>
        <v>425</v>
      </c>
      <c r="AA106" s="51"/>
      <c r="AB106" s="69" t="s">
        <v>950</v>
      </c>
      <c r="AC106" s="69" t="s">
        <v>951</v>
      </c>
      <c r="AD106" s="51" t="s">
        <v>641</v>
      </c>
      <c r="AE106" s="51" t="s">
        <v>642</v>
      </c>
      <c r="AF106" s="51" t="s">
        <v>643</v>
      </c>
      <c r="AG106" s="51" t="s">
        <v>644</v>
      </c>
    </row>
    <row r="107" spans="1:33" ht="15.75" customHeight="1">
      <c r="A107" s="62" t="str">
        <f>IF(C107="","",VLOOKUP('OPĆI DIO'!$C$3,'OPĆI DIO'!$L$6:$U$120,10,FALSE))</f>
        <v>08008</v>
      </c>
      <c r="B107" s="62" t="str">
        <f>IF(C107="","",VLOOKUP('OPĆI DIO'!$C$3,'OPĆI DIO'!$L$6:$U$120,9,FALSE))</f>
        <v>Javni instituti</v>
      </c>
      <c r="C107" s="84">
        <v>52</v>
      </c>
      <c r="D107" s="79" t="str">
        <f t="shared" si="0"/>
        <v>Ostale pomoći</v>
      </c>
      <c r="E107" s="84">
        <v>3236</v>
      </c>
      <c r="F107" s="79" t="str">
        <f t="shared" si="1"/>
        <v>Zdravstvene i veterinarske usluge</v>
      </c>
      <c r="G107" s="84" t="s">
        <v>779</v>
      </c>
      <c r="H107" s="79" t="str">
        <f t="shared" si="18"/>
        <v>REDOVNA DJELATNOST JAVNIH INSTITUTA (IZ EVIDENCIJSKIH PRIHODA)</v>
      </c>
      <c r="I107" s="79" t="str">
        <f t="shared" si="19"/>
        <v>0150</v>
      </c>
      <c r="J107" s="67">
        <v>75300</v>
      </c>
      <c r="K107" s="67">
        <v>40605</v>
      </c>
      <c r="L107" s="67">
        <v>18442</v>
      </c>
      <c r="M107" s="68"/>
      <c r="N107" s="51"/>
      <c r="O107" s="51" t="str">
        <f t="shared" si="4"/>
        <v>323</v>
      </c>
      <c r="P107" s="51" t="str">
        <f t="shared" si="5"/>
        <v>32</v>
      </c>
      <c r="Q107" s="51" t="str">
        <f t="shared" si="6"/>
        <v>52</v>
      </c>
      <c r="R107" s="51" t="str">
        <f t="shared" si="7"/>
        <v>15</v>
      </c>
      <c r="S107" s="51"/>
      <c r="T107" s="51"/>
      <c r="U107" s="51"/>
      <c r="V107" s="51">
        <v>4252</v>
      </c>
      <c r="W107" s="51" t="s">
        <v>952</v>
      </c>
      <c r="X107" s="51"/>
      <c r="Y107" s="82" t="str">
        <f t="shared" si="8"/>
        <v>42</v>
      </c>
      <c r="Z107" s="51" t="str">
        <f t="shared" si="9"/>
        <v>425</v>
      </c>
      <c r="AA107" s="51"/>
      <c r="AB107" s="69" t="s">
        <v>953</v>
      </c>
      <c r="AC107" s="69" t="s">
        <v>954</v>
      </c>
      <c r="AD107" s="51" t="s">
        <v>648</v>
      </c>
      <c r="AE107" s="51" t="s">
        <v>649</v>
      </c>
      <c r="AF107" s="51" t="s">
        <v>636</v>
      </c>
      <c r="AG107" s="51" t="s">
        <v>650</v>
      </c>
    </row>
    <row r="108" spans="1:33" ht="15.75" customHeight="1">
      <c r="A108" s="62" t="str">
        <f>IF(C108="","",VLOOKUP('OPĆI DIO'!$C$3,'OPĆI DIO'!$L$6:$U$120,10,FALSE))</f>
        <v>08008</v>
      </c>
      <c r="B108" s="62" t="str">
        <f>IF(C108="","",VLOOKUP('OPĆI DIO'!$C$3,'OPĆI DIO'!$L$6:$U$120,9,FALSE))</f>
        <v>Javni instituti</v>
      </c>
      <c r="C108" s="84">
        <v>52</v>
      </c>
      <c r="D108" s="79" t="str">
        <f t="shared" si="0"/>
        <v>Ostale pomoći</v>
      </c>
      <c r="E108" s="84">
        <v>3237</v>
      </c>
      <c r="F108" s="79" t="str">
        <f t="shared" si="1"/>
        <v>Intelektualne i osobne usluge</v>
      </c>
      <c r="G108" s="84" t="s">
        <v>779</v>
      </c>
      <c r="H108" s="79" t="str">
        <f t="shared" si="18"/>
        <v>REDOVNA DJELATNOST JAVNIH INSTITUTA (IZ EVIDENCIJSKIH PRIHODA)</v>
      </c>
      <c r="I108" s="79" t="str">
        <f t="shared" si="19"/>
        <v>0150</v>
      </c>
      <c r="J108" s="67">
        <v>22880</v>
      </c>
      <c r="K108" s="67">
        <v>12338</v>
      </c>
      <c r="L108" s="67">
        <v>5604</v>
      </c>
      <c r="M108" s="68"/>
      <c r="N108" s="51"/>
      <c r="O108" s="51" t="str">
        <f t="shared" si="4"/>
        <v>323</v>
      </c>
      <c r="P108" s="51" t="str">
        <f t="shared" si="5"/>
        <v>32</v>
      </c>
      <c r="Q108" s="51" t="str">
        <f t="shared" si="6"/>
        <v>52</v>
      </c>
      <c r="R108" s="51" t="str">
        <f t="shared" si="7"/>
        <v>15</v>
      </c>
      <c r="S108" s="51"/>
      <c r="T108" s="51"/>
      <c r="U108" s="51"/>
      <c r="V108" s="51">
        <v>4262</v>
      </c>
      <c r="W108" s="51" t="s">
        <v>955</v>
      </c>
      <c r="X108" s="51"/>
      <c r="Y108" s="82" t="str">
        <f t="shared" si="8"/>
        <v>42</v>
      </c>
      <c r="Z108" s="51" t="str">
        <f t="shared" si="9"/>
        <v>426</v>
      </c>
      <c r="AA108" s="51"/>
      <c r="AB108" s="69" t="s">
        <v>956</v>
      </c>
      <c r="AC108" s="69" t="s">
        <v>957</v>
      </c>
      <c r="AD108" s="51" t="s">
        <v>668</v>
      </c>
      <c r="AE108" s="51" t="s">
        <v>669</v>
      </c>
      <c r="AF108" s="51" t="s">
        <v>636</v>
      </c>
      <c r="AG108" s="51" t="s">
        <v>670</v>
      </c>
    </row>
    <row r="109" spans="1:33" ht="15.75" customHeight="1">
      <c r="A109" s="62" t="str">
        <f>IF(C109="","",VLOOKUP('OPĆI DIO'!$C$3,'OPĆI DIO'!$L$6:$U$120,10,FALSE))</f>
        <v>08008</v>
      </c>
      <c r="B109" s="62" t="str">
        <f>IF(C109="","",VLOOKUP('OPĆI DIO'!$C$3,'OPĆI DIO'!$L$6:$U$120,9,FALSE))</f>
        <v>Javni instituti</v>
      </c>
      <c r="C109" s="84">
        <v>52</v>
      </c>
      <c r="D109" s="79" t="str">
        <f t="shared" si="0"/>
        <v>Ostale pomoći</v>
      </c>
      <c r="E109" s="84">
        <v>3238</v>
      </c>
      <c r="F109" s="79" t="str">
        <f t="shared" si="1"/>
        <v>Računalne usluge</v>
      </c>
      <c r="G109" s="84" t="s">
        <v>779</v>
      </c>
      <c r="H109" s="79" t="str">
        <f t="shared" si="18"/>
        <v>REDOVNA DJELATNOST JAVNIH INSTITUTA (IZ EVIDENCIJSKIH PRIHODA)</v>
      </c>
      <c r="I109" s="79" t="str">
        <f t="shared" si="19"/>
        <v>0150</v>
      </c>
      <c r="J109" s="67">
        <v>1336</v>
      </c>
      <c r="K109" s="67">
        <v>720</v>
      </c>
      <c r="L109" s="67">
        <v>327</v>
      </c>
      <c r="M109" s="68"/>
      <c r="N109" s="51"/>
      <c r="O109" s="51" t="str">
        <f t="shared" si="4"/>
        <v>323</v>
      </c>
      <c r="P109" s="51" t="str">
        <f t="shared" si="5"/>
        <v>32</v>
      </c>
      <c r="Q109" s="51" t="str">
        <f t="shared" si="6"/>
        <v>52</v>
      </c>
      <c r="R109" s="51" t="str">
        <f t="shared" si="7"/>
        <v>15</v>
      </c>
      <c r="S109" s="51"/>
      <c r="T109" s="51"/>
      <c r="U109" s="51"/>
      <c r="V109" s="51">
        <v>4263</v>
      </c>
      <c r="W109" s="51" t="s">
        <v>958</v>
      </c>
      <c r="X109" s="51"/>
      <c r="Y109" s="82" t="str">
        <f t="shared" si="8"/>
        <v>42</v>
      </c>
      <c r="Z109" s="51" t="str">
        <f t="shared" si="9"/>
        <v>426</v>
      </c>
      <c r="AA109" s="51"/>
      <c r="AB109" s="69" t="s">
        <v>959</v>
      </c>
      <c r="AC109" s="69" t="s">
        <v>960</v>
      </c>
      <c r="AD109" s="51" t="s">
        <v>641</v>
      </c>
      <c r="AE109" s="51" t="s">
        <v>642</v>
      </c>
      <c r="AF109" s="51" t="s">
        <v>643</v>
      </c>
      <c r="AG109" s="51" t="s">
        <v>644</v>
      </c>
    </row>
    <row r="110" spans="1:33" ht="15.75" customHeight="1">
      <c r="A110" s="62" t="str">
        <f>IF(C110="","",VLOOKUP('OPĆI DIO'!$C$3,'OPĆI DIO'!$L$6:$U$120,10,FALSE))</f>
        <v>08008</v>
      </c>
      <c r="B110" s="62" t="str">
        <f>IF(C110="","",VLOOKUP('OPĆI DIO'!$C$3,'OPĆI DIO'!$L$6:$U$120,9,FALSE))</f>
        <v>Javni instituti</v>
      </c>
      <c r="C110" s="84">
        <v>52</v>
      </c>
      <c r="D110" s="79" t="str">
        <f t="shared" si="0"/>
        <v>Ostale pomoći</v>
      </c>
      <c r="E110" s="84">
        <v>3239</v>
      </c>
      <c r="F110" s="79" t="str">
        <f t="shared" si="1"/>
        <v>Ostale usluge</v>
      </c>
      <c r="G110" s="84" t="s">
        <v>779</v>
      </c>
      <c r="H110" s="79" t="str">
        <f t="shared" si="18"/>
        <v>REDOVNA DJELATNOST JAVNIH INSTITUTA (IZ EVIDENCIJSKIH PRIHODA)</v>
      </c>
      <c r="I110" s="79" t="str">
        <f t="shared" si="19"/>
        <v>0150</v>
      </c>
      <c r="J110" s="67">
        <v>28560</v>
      </c>
      <c r="K110" s="67">
        <v>15401</v>
      </c>
      <c r="L110" s="67">
        <v>6995</v>
      </c>
      <c r="M110" s="68"/>
      <c r="N110" s="51"/>
      <c r="O110" s="51" t="str">
        <f t="shared" si="4"/>
        <v>323</v>
      </c>
      <c r="P110" s="51" t="str">
        <f t="shared" si="5"/>
        <v>32</v>
      </c>
      <c r="Q110" s="51" t="str">
        <f t="shared" si="6"/>
        <v>52</v>
      </c>
      <c r="R110" s="51" t="str">
        <f t="shared" si="7"/>
        <v>15</v>
      </c>
      <c r="S110" s="51"/>
      <c r="T110" s="51"/>
      <c r="U110" s="51"/>
      <c r="V110" s="51">
        <v>4264</v>
      </c>
      <c r="W110" s="51" t="s">
        <v>961</v>
      </c>
      <c r="X110" s="51"/>
      <c r="Y110" s="82" t="str">
        <f t="shared" si="8"/>
        <v>42</v>
      </c>
      <c r="Z110" s="51" t="str">
        <f t="shared" si="9"/>
        <v>426</v>
      </c>
      <c r="AA110" s="51"/>
      <c r="AB110" s="69" t="s">
        <v>962</v>
      </c>
      <c r="AC110" s="69" t="s">
        <v>963</v>
      </c>
      <c r="AD110" s="51" t="s">
        <v>648</v>
      </c>
      <c r="AE110" s="51" t="s">
        <v>649</v>
      </c>
      <c r="AF110" s="51" t="s">
        <v>636</v>
      </c>
      <c r="AG110" s="51" t="s">
        <v>650</v>
      </c>
    </row>
    <row r="111" spans="1:33" ht="15.75" customHeight="1">
      <c r="A111" s="62" t="str">
        <f>IF(C111="","",VLOOKUP('OPĆI DIO'!$C$3,'OPĆI DIO'!$L$6:$U$120,10,FALSE))</f>
        <v>08008</v>
      </c>
      <c r="B111" s="62" t="str">
        <f>IF(C111="","",VLOOKUP('OPĆI DIO'!$C$3,'OPĆI DIO'!$L$6:$U$120,9,FALSE))</f>
        <v>Javni instituti</v>
      </c>
      <c r="C111" s="84">
        <v>52</v>
      </c>
      <c r="D111" s="79" t="str">
        <f t="shared" si="0"/>
        <v>Ostale pomoći</v>
      </c>
      <c r="E111" s="84">
        <v>3241</v>
      </c>
      <c r="F111" s="79" t="str">
        <f t="shared" si="1"/>
        <v>Naknade troškova osobama izvan radnog odnosa</v>
      </c>
      <c r="G111" s="84" t="s">
        <v>779</v>
      </c>
      <c r="H111" s="79" t="str">
        <f t="shared" si="18"/>
        <v>REDOVNA DJELATNOST JAVNIH INSTITUTA (IZ EVIDENCIJSKIH PRIHODA)</v>
      </c>
      <c r="I111" s="79" t="str">
        <f t="shared" si="19"/>
        <v>0150</v>
      </c>
      <c r="J111" s="67">
        <v>14677</v>
      </c>
      <c r="K111" s="67">
        <v>7915</v>
      </c>
      <c r="L111" s="67">
        <v>3595</v>
      </c>
      <c r="M111" s="68"/>
      <c r="N111" s="51"/>
      <c r="O111" s="51" t="str">
        <f t="shared" si="4"/>
        <v>324</v>
      </c>
      <c r="P111" s="51" t="str">
        <f t="shared" si="5"/>
        <v>32</v>
      </c>
      <c r="Q111" s="51" t="str">
        <f t="shared" si="6"/>
        <v>52</v>
      </c>
      <c r="R111" s="51" t="str">
        <f t="shared" si="7"/>
        <v>15</v>
      </c>
      <c r="S111" s="51"/>
      <c r="T111" s="51"/>
      <c r="U111" s="51"/>
      <c r="V111" s="51">
        <v>4312</v>
      </c>
      <c r="W111" s="51" t="s">
        <v>964</v>
      </c>
      <c r="X111" s="51"/>
      <c r="Y111" s="82" t="str">
        <f t="shared" si="8"/>
        <v>43</v>
      </c>
      <c r="Z111" s="51" t="str">
        <f t="shared" si="9"/>
        <v>431</v>
      </c>
      <c r="AA111" s="51"/>
      <c r="AB111" s="69" t="s">
        <v>965</v>
      </c>
      <c r="AC111" s="69" t="s">
        <v>966</v>
      </c>
      <c r="AD111" s="51" t="s">
        <v>648</v>
      </c>
      <c r="AE111" s="51" t="s">
        <v>649</v>
      </c>
      <c r="AF111" s="51" t="s">
        <v>636</v>
      </c>
      <c r="AG111" s="51" t="s">
        <v>650</v>
      </c>
    </row>
    <row r="112" spans="1:33" ht="15.75" customHeight="1">
      <c r="A112" s="62" t="str">
        <f>IF(C112="","",VLOOKUP('OPĆI DIO'!$C$3,'OPĆI DIO'!$L$6:$U$120,10,FALSE))</f>
        <v>08008</v>
      </c>
      <c r="B112" s="62" t="str">
        <f>IF(C112="","",VLOOKUP('OPĆI DIO'!$C$3,'OPĆI DIO'!$L$6:$U$120,9,FALSE))</f>
        <v>Javni instituti</v>
      </c>
      <c r="C112" s="84">
        <v>52</v>
      </c>
      <c r="D112" s="79" t="str">
        <f t="shared" si="0"/>
        <v>Ostale pomoći</v>
      </c>
      <c r="E112" s="84">
        <v>3293</v>
      </c>
      <c r="F112" s="79" t="str">
        <f t="shared" si="1"/>
        <v>Reprezentacija</v>
      </c>
      <c r="G112" s="84" t="s">
        <v>779</v>
      </c>
      <c r="H112" s="79" t="str">
        <f t="shared" si="18"/>
        <v>REDOVNA DJELATNOST JAVNIH INSTITUTA (IZ EVIDENCIJSKIH PRIHODA)</v>
      </c>
      <c r="I112" s="79" t="str">
        <f t="shared" si="19"/>
        <v>0150</v>
      </c>
      <c r="J112" s="67">
        <v>1310</v>
      </c>
      <c r="K112" s="67">
        <v>706</v>
      </c>
      <c r="L112" s="67">
        <v>321</v>
      </c>
      <c r="M112" s="68"/>
      <c r="N112" s="51"/>
      <c r="O112" s="51" t="str">
        <f t="shared" si="4"/>
        <v>329</v>
      </c>
      <c r="P112" s="51" t="str">
        <f t="shared" si="5"/>
        <v>32</v>
      </c>
      <c r="Q112" s="51" t="str">
        <f t="shared" si="6"/>
        <v>52</v>
      </c>
      <c r="R112" s="51" t="str">
        <f t="shared" si="7"/>
        <v>15</v>
      </c>
      <c r="S112" s="51"/>
      <c r="T112" s="51"/>
      <c r="U112" s="51"/>
      <c r="V112" s="51">
        <v>4411</v>
      </c>
      <c r="W112" s="51" t="s">
        <v>967</v>
      </c>
      <c r="X112" s="51"/>
      <c r="Y112" s="82" t="str">
        <f t="shared" si="8"/>
        <v>44</v>
      </c>
      <c r="Z112" s="51" t="str">
        <f t="shared" si="9"/>
        <v>441</v>
      </c>
      <c r="AA112" s="51"/>
      <c r="AB112" s="69" t="s">
        <v>968</v>
      </c>
      <c r="AC112" s="69" t="s">
        <v>969</v>
      </c>
      <c r="AD112" s="51" t="s">
        <v>648</v>
      </c>
      <c r="AE112" s="51" t="s">
        <v>649</v>
      </c>
      <c r="AF112" s="51" t="s">
        <v>636</v>
      </c>
      <c r="AG112" s="51" t="s">
        <v>650</v>
      </c>
    </row>
    <row r="113" spans="1:33" ht="15.75" customHeight="1">
      <c r="A113" s="62" t="str">
        <f>IF(C113="","",VLOOKUP('OPĆI DIO'!$C$3,'OPĆI DIO'!$L$6:$U$120,10,FALSE))</f>
        <v>08008</v>
      </c>
      <c r="B113" s="62" t="str">
        <f>IF(C113="","",VLOOKUP('OPĆI DIO'!$C$3,'OPĆI DIO'!$L$6:$U$120,9,FALSE))</f>
        <v>Javni instituti</v>
      </c>
      <c r="C113" s="84">
        <v>52</v>
      </c>
      <c r="D113" s="79" t="str">
        <f t="shared" si="0"/>
        <v>Ostale pomoći</v>
      </c>
      <c r="E113" s="84">
        <v>3294</v>
      </c>
      <c r="F113" s="79" t="str">
        <f t="shared" si="1"/>
        <v>Članarine i norme</v>
      </c>
      <c r="G113" s="84" t="s">
        <v>779</v>
      </c>
      <c r="H113" s="79" t="str">
        <f t="shared" si="18"/>
        <v>REDOVNA DJELATNOST JAVNIH INSTITUTA (IZ EVIDENCIJSKIH PRIHODA)</v>
      </c>
      <c r="I113" s="79" t="str">
        <f t="shared" si="19"/>
        <v>0150</v>
      </c>
      <c r="J113" s="67">
        <v>435</v>
      </c>
      <c r="K113" s="67">
        <v>235</v>
      </c>
      <c r="L113" s="67">
        <v>107</v>
      </c>
      <c r="M113" s="68"/>
      <c r="N113" s="51"/>
      <c r="O113" s="51" t="str">
        <f t="shared" si="4"/>
        <v>329</v>
      </c>
      <c r="P113" s="51" t="str">
        <f t="shared" si="5"/>
        <v>32</v>
      </c>
      <c r="Q113" s="51" t="str">
        <f t="shared" si="6"/>
        <v>52</v>
      </c>
      <c r="R113" s="51" t="str">
        <f t="shared" si="7"/>
        <v>15</v>
      </c>
      <c r="S113" s="51"/>
      <c r="T113" s="51"/>
      <c r="U113" s="51"/>
      <c r="V113" s="51">
        <v>4511</v>
      </c>
      <c r="W113" s="51" t="s">
        <v>970</v>
      </c>
      <c r="X113" s="51"/>
      <c r="Y113" s="82" t="str">
        <f t="shared" si="8"/>
        <v>45</v>
      </c>
      <c r="Z113" s="51" t="str">
        <f t="shared" si="9"/>
        <v>451</v>
      </c>
      <c r="AA113" s="51"/>
      <c r="AB113" s="69" t="s">
        <v>971</v>
      </c>
      <c r="AC113" s="69" t="s">
        <v>972</v>
      </c>
      <c r="AD113" s="51" t="s">
        <v>648</v>
      </c>
      <c r="AE113" s="51" t="s">
        <v>649</v>
      </c>
      <c r="AF113" s="51" t="s">
        <v>636</v>
      </c>
      <c r="AG113" s="51" t="s">
        <v>650</v>
      </c>
    </row>
    <row r="114" spans="1:33" ht="15.75" customHeight="1">
      <c r="A114" s="62" t="str">
        <f>IF(C114="","",VLOOKUP('OPĆI DIO'!$C$3,'OPĆI DIO'!$L$6:$U$120,10,FALSE))</f>
        <v>08008</v>
      </c>
      <c r="B114" s="62" t="str">
        <f>IF(C114="","",VLOOKUP('OPĆI DIO'!$C$3,'OPĆI DIO'!$L$6:$U$120,9,FALSE))</f>
        <v>Javni instituti</v>
      </c>
      <c r="C114" s="84">
        <v>52</v>
      </c>
      <c r="D114" s="79" t="str">
        <f t="shared" si="0"/>
        <v>Ostale pomoći</v>
      </c>
      <c r="E114" s="84">
        <v>3295</v>
      </c>
      <c r="F114" s="79" t="str">
        <f t="shared" si="1"/>
        <v>Pristojbe i naknade</v>
      </c>
      <c r="G114" s="84" t="s">
        <v>779</v>
      </c>
      <c r="H114" s="79" t="str">
        <f t="shared" si="18"/>
        <v>REDOVNA DJELATNOST JAVNIH INSTITUTA (IZ EVIDENCIJSKIH PRIHODA)</v>
      </c>
      <c r="I114" s="79" t="str">
        <f t="shared" si="19"/>
        <v>0150</v>
      </c>
      <c r="J114" s="67">
        <v>78</v>
      </c>
      <c r="K114" s="67">
        <v>42</v>
      </c>
      <c r="L114" s="67">
        <v>19</v>
      </c>
      <c r="M114" s="68"/>
      <c r="N114" s="51"/>
      <c r="O114" s="51" t="str">
        <f t="shared" si="4"/>
        <v>329</v>
      </c>
      <c r="P114" s="51" t="str">
        <f t="shared" si="5"/>
        <v>32</v>
      </c>
      <c r="Q114" s="51" t="str">
        <f t="shared" si="6"/>
        <v>52</v>
      </c>
      <c r="R114" s="51" t="str">
        <f t="shared" si="7"/>
        <v>15</v>
      </c>
      <c r="S114" s="51"/>
      <c r="T114" s="51"/>
      <c r="U114" s="51"/>
      <c r="V114" s="51">
        <v>4521</v>
      </c>
      <c r="W114" s="51" t="s">
        <v>973</v>
      </c>
      <c r="X114" s="51"/>
      <c r="Y114" s="82" t="str">
        <f t="shared" si="8"/>
        <v>45</v>
      </c>
      <c r="Z114" s="51" t="str">
        <f t="shared" si="9"/>
        <v>452</v>
      </c>
      <c r="AA114" s="51"/>
      <c r="AB114" s="69" t="s">
        <v>974</v>
      </c>
      <c r="AC114" s="69" t="s">
        <v>975</v>
      </c>
      <c r="AD114" s="51" t="s">
        <v>648</v>
      </c>
      <c r="AE114" s="51" t="s">
        <v>649</v>
      </c>
      <c r="AF114" s="51" t="s">
        <v>636</v>
      </c>
      <c r="AG114" s="51" t="s">
        <v>650</v>
      </c>
    </row>
    <row r="115" spans="1:33" ht="15.75" customHeight="1">
      <c r="A115" s="62" t="str">
        <f>IF(C115="","",VLOOKUP('OPĆI DIO'!$C$3,'OPĆI DIO'!$L$6:$U$120,10,FALSE))</f>
        <v>08008</v>
      </c>
      <c r="B115" s="62" t="str">
        <f>IF(C115="","",VLOOKUP('OPĆI DIO'!$C$3,'OPĆI DIO'!$L$6:$U$120,9,FALSE))</f>
        <v>Javni instituti</v>
      </c>
      <c r="C115" s="84">
        <v>52</v>
      </c>
      <c r="D115" s="79" t="str">
        <f t="shared" si="0"/>
        <v>Ostale pomoći</v>
      </c>
      <c r="E115" s="84">
        <v>3299</v>
      </c>
      <c r="F115" s="79" t="str">
        <f t="shared" si="1"/>
        <v>Ostali nespomenuti rashodi poslovanja</v>
      </c>
      <c r="G115" s="84" t="s">
        <v>779</v>
      </c>
      <c r="H115" s="79" t="str">
        <f t="shared" si="18"/>
        <v>REDOVNA DJELATNOST JAVNIH INSTITUTA (IZ EVIDENCIJSKIH PRIHODA)</v>
      </c>
      <c r="I115" s="79" t="str">
        <f t="shared" si="19"/>
        <v>0150</v>
      </c>
      <c r="J115" s="67">
        <v>45880</v>
      </c>
      <c r="K115" s="67">
        <v>24741</v>
      </c>
      <c r="L115" s="67">
        <v>11237</v>
      </c>
      <c r="M115" s="68"/>
      <c r="N115" s="51"/>
      <c r="O115" s="51" t="str">
        <f t="shared" si="4"/>
        <v>329</v>
      </c>
      <c r="P115" s="51" t="str">
        <f t="shared" si="5"/>
        <v>32</v>
      </c>
      <c r="Q115" s="51" t="str">
        <f t="shared" si="6"/>
        <v>52</v>
      </c>
      <c r="R115" s="51" t="str">
        <f t="shared" si="7"/>
        <v>15</v>
      </c>
      <c r="S115" s="51"/>
      <c r="T115" s="51"/>
      <c r="U115" s="51"/>
      <c r="V115" s="51">
        <v>4531</v>
      </c>
      <c r="W115" s="51" t="s">
        <v>976</v>
      </c>
      <c r="X115" s="51"/>
      <c r="Y115" s="82" t="str">
        <f t="shared" si="8"/>
        <v>45</v>
      </c>
      <c r="Z115" s="51" t="str">
        <f t="shared" si="9"/>
        <v>453</v>
      </c>
      <c r="AA115" s="51"/>
      <c r="AB115" s="69" t="s">
        <v>977</v>
      </c>
      <c r="AC115" s="69" t="s">
        <v>978</v>
      </c>
      <c r="AD115" s="51" t="s">
        <v>648</v>
      </c>
      <c r="AE115" s="51" t="s">
        <v>649</v>
      </c>
      <c r="AF115" s="51" t="s">
        <v>636</v>
      </c>
      <c r="AG115" s="51" t="s">
        <v>650</v>
      </c>
    </row>
    <row r="116" spans="1:33" ht="15.75" customHeight="1">
      <c r="A116" s="62" t="str">
        <f>IF(C116="","",VLOOKUP('OPĆI DIO'!$C$3,'OPĆI DIO'!$L$6:$U$120,10,FALSE))</f>
        <v>08008</v>
      </c>
      <c r="B116" s="62" t="str">
        <f>IF(C116="","",VLOOKUP('OPĆI DIO'!$C$3,'OPĆI DIO'!$L$6:$U$120,9,FALSE))</f>
        <v>Javni instituti</v>
      </c>
      <c r="C116" s="84">
        <v>52</v>
      </c>
      <c r="D116" s="79" t="str">
        <f t="shared" si="0"/>
        <v>Ostale pomoći</v>
      </c>
      <c r="E116" s="84">
        <v>3431</v>
      </c>
      <c r="F116" s="79" t="str">
        <f t="shared" si="1"/>
        <v>Bankarske usluge i usluge platnog prometa</v>
      </c>
      <c r="G116" s="84" t="s">
        <v>779</v>
      </c>
      <c r="H116" s="79" t="str">
        <f t="shared" si="18"/>
        <v>REDOVNA DJELATNOST JAVNIH INSTITUTA (IZ EVIDENCIJSKIH PRIHODA)</v>
      </c>
      <c r="I116" s="79" t="str">
        <f t="shared" si="19"/>
        <v>0150</v>
      </c>
      <c r="J116" s="67">
        <v>951</v>
      </c>
      <c r="K116" s="67">
        <v>513</v>
      </c>
      <c r="L116" s="67">
        <v>233</v>
      </c>
      <c r="M116" s="68"/>
      <c r="N116" s="51"/>
      <c r="O116" s="51" t="str">
        <f t="shared" si="4"/>
        <v>343</v>
      </c>
      <c r="P116" s="51" t="str">
        <f t="shared" si="5"/>
        <v>34</v>
      </c>
      <c r="Q116" s="51" t="str">
        <f t="shared" si="6"/>
        <v>52</v>
      </c>
      <c r="R116" s="51" t="str">
        <f t="shared" si="7"/>
        <v>15</v>
      </c>
      <c r="S116" s="51"/>
      <c r="T116" s="51"/>
      <c r="U116" s="51"/>
      <c r="V116" s="51">
        <v>4541</v>
      </c>
      <c r="W116" s="51" t="s">
        <v>979</v>
      </c>
      <c r="X116" s="51"/>
      <c r="Y116" s="82" t="str">
        <f t="shared" si="8"/>
        <v>45</v>
      </c>
      <c r="Z116" s="51" t="str">
        <f t="shared" si="9"/>
        <v>454</v>
      </c>
      <c r="AA116" s="51"/>
      <c r="AB116" s="69" t="s">
        <v>980</v>
      </c>
      <c r="AC116" s="69" t="s">
        <v>981</v>
      </c>
      <c r="AD116" s="51" t="s">
        <v>641</v>
      </c>
      <c r="AE116" s="51" t="s">
        <v>642</v>
      </c>
      <c r="AF116" s="51" t="s">
        <v>643</v>
      </c>
      <c r="AG116" s="51" t="s">
        <v>644</v>
      </c>
    </row>
    <row r="117" spans="1:33" ht="15.75" customHeight="1">
      <c r="A117" s="62" t="str">
        <f>IF(C117="","",VLOOKUP('OPĆI DIO'!$C$3,'OPĆI DIO'!$L$6:$U$120,10,FALSE))</f>
        <v>08008</v>
      </c>
      <c r="B117" s="62" t="str">
        <f>IF(C117="","",VLOOKUP('OPĆI DIO'!$C$3,'OPĆI DIO'!$L$6:$U$120,9,FALSE))</f>
        <v>Javni instituti</v>
      </c>
      <c r="C117" s="84">
        <v>52</v>
      </c>
      <c r="D117" s="79" t="str">
        <f t="shared" si="0"/>
        <v>Ostale pomoći</v>
      </c>
      <c r="E117" s="84">
        <v>3432</v>
      </c>
      <c r="F117" s="79" t="str">
        <f t="shared" si="1"/>
        <v>Negativne tečajne razlike i razlike zbog primjene valutne kl</v>
      </c>
      <c r="G117" s="84" t="s">
        <v>779</v>
      </c>
      <c r="H117" s="79" t="str">
        <f t="shared" si="18"/>
        <v>REDOVNA DJELATNOST JAVNIH INSTITUTA (IZ EVIDENCIJSKIH PRIHODA)</v>
      </c>
      <c r="I117" s="79" t="str">
        <f t="shared" si="19"/>
        <v>0150</v>
      </c>
      <c r="J117" s="67">
        <v>3967</v>
      </c>
      <c r="K117" s="67">
        <v>2139</v>
      </c>
      <c r="L117" s="67">
        <v>972</v>
      </c>
      <c r="M117" s="68"/>
      <c r="N117" s="51"/>
      <c r="O117" s="51" t="str">
        <f t="shared" si="4"/>
        <v>343</v>
      </c>
      <c r="P117" s="51" t="str">
        <f t="shared" si="5"/>
        <v>34</v>
      </c>
      <c r="Q117" s="51" t="str">
        <f t="shared" si="6"/>
        <v>52</v>
      </c>
      <c r="R117" s="51" t="str">
        <f t="shared" si="7"/>
        <v>15</v>
      </c>
      <c r="S117" s="51"/>
      <c r="T117" s="51"/>
      <c r="U117" s="51"/>
      <c r="V117" s="51">
        <v>5121</v>
      </c>
      <c r="W117" s="51" t="s">
        <v>982</v>
      </c>
      <c r="X117" s="51"/>
      <c r="Y117" s="82" t="str">
        <f t="shared" si="8"/>
        <v>51</v>
      </c>
      <c r="Z117" s="51" t="str">
        <f t="shared" si="9"/>
        <v>512</v>
      </c>
      <c r="AA117" s="51"/>
      <c r="AB117" s="69" t="s">
        <v>983</v>
      </c>
      <c r="AC117" s="69" t="s">
        <v>984</v>
      </c>
      <c r="AD117" s="51" t="s">
        <v>634</v>
      </c>
      <c r="AE117" s="51" t="s">
        <v>635</v>
      </c>
      <c r="AF117" s="51" t="s">
        <v>636</v>
      </c>
      <c r="AG117" s="51" t="s">
        <v>637</v>
      </c>
    </row>
    <row r="118" spans="1:33" ht="15.75" customHeight="1">
      <c r="A118" s="62" t="str">
        <f>IF(C118="","",VLOOKUP('OPĆI DIO'!$C$3,'OPĆI DIO'!$L$6:$U$120,10,FALSE))</f>
        <v>08008</v>
      </c>
      <c r="B118" s="62" t="str">
        <f>IF(C118="","",VLOOKUP('OPĆI DIO'!$C$3,'OPĆI DIO'!$L$6:$U$120,9,FALSE))</f>
        <v>Javni instituti</v>
      </c>
      <c r="C118" s="84">
        <v>52</v>
      </c>
      <c r="D118" s="79" t="str">
        <f t="shared" si="0"/>
        <v>Ostale pomoći</v>
      </c>
      <c r="E118" s="84">
        <v>3721</v>
      </c>
      <c r="F118" s="79" t="str">
        <f t="shared" si="1"/>
        <v>Naknade građanima i kućanstvima u novcu</v>
      </c>
      <c r="G118" s="84" t="s">
        <v>779</v>
      </c>
      <c r="H118" s="79" t="str">
        <f t="shared" si="18"/>
        <v>REDOVNA DJELATNOST JAVNIH INSTITUTA (IZ EVIDENCIJSKIH PRIHODA)</v>
      </c>
      <c r="I118" s="79" t="str">
        <f t="shared" si="19"/>
        <v>0150</v>
      </c>
      <c r="J118" s="67"/>
      <c r="K118" s="67">
        <v>4653</v>
      </c>
      <c r="L118" s="67">
        <v>2113</v>
      </c>
      <c r="M118" s="68"/>
      <c r="N118" s="51"/>
      <c r="O118" s="51" t="str">
        <f t="shared" si="4"/>
        <v>372</v>
      </c>
      <c r="P118" s="51" t="str">
        <f t="shared" si="5"/>
        <v>37</v>
      </c>
      <c r="Q118" s="51" t="str">
        <f t="shared" si="6"/>
        <v>52</v>
      </c>
      <c r="R118" s="51" t="str">
        <f t="shared" si="7"/>
        <v>15</v>
      </c>
      <c r="S118" s="51"/>
      <c r="T118" s="51"/>
      <c r="U118" s="51"/>
      <c r="V118" s="51">
        <v>5443</v>
      </c>
      <c r="W118" s="51" t="s">
        <v>985</v>
      </c>
      <c r="X118" s="51"/>
      <c r="Y118" s="82" t="str">
        <f t="shared" si="8"/>
        <v>54</v>
      </c>
      <c r="Z118" s="51" t="str">
        <f t="shared" si="9"/>
        <v>544</v>
      </c>
      <c r="AA118" s="51"/>
      <c r="AB118" s="69" t="s">
        <v>986</v>
      </c>
      <c r="AC118" s="69" t="s">
        <v>987</v>
      </c>
      <c r="AD118" s="51" t="s">
        <v>648</v>
      </c>
      <c r="AE118" s="51" t="s">
        <v>649</v>
      </c>
      <c r="AF118" s="51" t="s">
        <v>636</v>
      </c>
      <c r="AG118" s="51" t="s">
        <v>650</v>
      </c>
    </row>
    <row r="119" spans="1:33" ht="15.75" customHeight="1">
      <c r="A119" s="62" t="str">
        <f>IF(C119="","",VLOOKUP('OPĆI DIO'!$C$3,'OPĆI DIO'!$L$6:$U$120,10,FALSE))</f>
        <v>08008</v>
      </c>
      <c r="B119" s="62" t="str">
        <f>IF(C119="","",VLOOKUP('OPĆI DIO'!$C$3,'OPĆI DIO'!$L$6:$U$120,9,FALSE))</f>
        <v>Javni instituti</v>
      </c>
      <c r="C119" s="84">
        <v>52</v>
      </c>
      <c r="D119" s="79" t="str">
        <f t="shared" si="0"/>
        <v>Ostale pomoći</v>
      </c>
      <c r="E119" s="84">
        <v>4212</v>
      </c>
      <c r="F119" s="79" t="str">
        <f t="shared" si="1"/>
        <v>Poslovni objekti</v>
      </c>
      <c r="G119" s="84" t="s">
        <v>779</v>
      </c>
      <c r="H119" s="79" t="str">
        <f t="shared" si="18"/>
        <v>REDOVNA DJELATNOST JAVNIH INSTITUTA (IZ EVIDENCIJSKIH PRIHODA)</v>
      </c>
      <c r="I119" s="79" t="str">
        <f t="shared" si="19"/>
        <v>0150</v>
      </c>
      <c r="J119" s="67">
        <v>74492</v>
      </c>
      <c r="K119" s="67">
        <v>40169</v>
      </c>
      <c r="L119" s="67">
        <v>18244</v>
      </c>
      <c r="M119" s="68"/>
      <c r="N119" s="51"/>
      <c r="O119" s="51" t="str">
        <f t="shared" si="4"/>
        <v>421</v>
      </c>
      <c r="P119" s="51" t="str">
        <f t="shared" si="5"/>
        <v>42</v>
      </c>
      <c r="Q119" s="51" t="str">
        <f t="shared" si="6"/>
        <v>52</v>
      </c>
      <c r="R119" s="51" t="str">
        <f t="shared" si="7"/>
        <v>15</v>
      </c>
      <c r="S119" s="51"/>
      <c r="T119" s="51"/>
      <c r="U119" s="51"/>
      <c r="V119" s="51">
        <v>5121</v>
      </c>
      <c r="W119" s="51" t="s">
        <v>988</v>
      </c>
      <c r="X119" s="51"/>
      <c r="Y119" s="82" t="str">
        <f t="shared" si="8"/>
        <v>51</v>
      </c>
      <c r="Z119" s="51" t="str">
        <f t="shared" si="9"/>
        <v>512</v>
      </c>
      <c r="AA119" s="51"/>
      <c r="AB119" s="69" t="s">
        <v>989</v>
      </c>
      <c r="AC119" s="69" t="s">
        <v>990</v>
      </c>
      <c r="AD119" s="51" t="s">
        <v>648</v>
      </c>
      <c r="AE119" s="51" t="s">
        <v>649</v>
      </c>
      <c r="AF119" s="51" t="s">
        <v>636</v>
      </c>
      <c r="AG119" s="51" t="s">
        <v>650</v>
      </c>
    </row>
    <row r="120" spans="1:33" ht="15.75" customHeight="1">
      <c r="A120" s="62" t="str">
        <f>IF(C120="","",VLOOKUP('OPĆI DIO'!$C$3,'OPĆI DIO'!$L$6:$U$120,10,FALSE))</f>
        <v>08008</v>
      </c>
      <c r="B120" s="62" t="str">
        <f>IF(C120="","",VLOOKUP('OPĆI DIO'!$C$3,'OPĆI DIO'!$L$6:$U$120,9,FALSE))</f>
        <v>Javni instituti</v>
      </c>
      <c r="C120" s="84">
        <v>52</v>
      </c>
      <c r="D120" s="79" t="str">
        <f t="shared" si="0"/>
        <v>Ostale pomoći</v>
      </c>
      <c r="E120" s="84">
        <v>4214</v>
      </c>
      <c r="F120" s="79" t="str">
        <f t="shared" si="1"/>
        <v>Ostali građevinski objekti</v>
      </c>
      <c r="G120" s="84" t="s">
        <v>779</v>
      </c>
      <c r="H120" s="79" t="str">
        <f t="shared" si="18"/>
        <v>REDOVNA DJELATNOST JAVNIH INSTITUTA (IZ EVIDENCIJSKIH PRIHODA)</v>
      </c>
      <c r="I120" s="79" t="str">
        <f t="shared" si="19"/>
        <v>0150</v>
      </c>
      <c r="J120" s="67">
        <v>9594</v>
      </c>
      <c r="K120" s="67">
        <v>5173</v>
      </c>
      <c r="L120" s="67">
        <v>2350</v>
      </c>
      <c r="M120" s="68"/>
      <c r="N120" s="51"/>
      <c r="O120" s="51" t="str">
        <f t="shared" si="4"/>
        <v>421</v>
      </c>
      <c r="P120" s="51" t="str">
        <f t="shared" si="5"/>
        <v>42</v>
      </c>
      <c r="Q120" s="51" t="str">
        <f t="shared" si="6"/>
        <v>52</v>
      </c>
      <c r="R120" s="51" t="str">
        <f t="shared" si="7"/>
        <v>15</v>
      </c>
      <c r="S120" s="51"/>
      <c r="T120" s="51"/>
      <c r="U120" s="51"/>
      <c r="V120" s="51">
        <v>5122</v>
      </c>
      <c r="W120" s="51" t="s">
        <v>991</v>
      </c>
      <c r="X120" s="51"/>
      <c r="Y120" s="82" t="str">
        <f t="shared" si="8"/>
        <v>51</v>
      </c>
      <c r="Z120" s="51" t="str">
        <f t="shared" si="9"/>
        <v>512</v>
      </c>
      <c r="AA120" s="51"/>
      <c r="AB120" s="69" t="s">
        <v>992</v>
      </c>
      <c r="AC120" s="69" t="s">
        <v>993</v>
      </c>
      <c r="AD120" s="51" t="s">
        <v>641</v>
      </c>
      <c r="AE120" s="51" t="s">
        <v>642</v>
      </c>
      <c r="AF120" s="51" t="s">
        <v>643</v>
      </c>
      <c r="AG120" s="51" t="s">
        <v>644</v>
      </c>
    </row>
    <row r="121" spans="1:33" ht="15.75" customHeight="1">
      <c r="A121" s="62" t="str">
        <f>IF(C121="","",VLOOKUP('OPĆI DIO'!$C$3,'OPĆI DIO'!$L$6:$U$120,10,FALSE))</f>
        <v>08008</v>
      </c>
      <c r="B121" s="62" t="str">
        <f>IF(C121="","",VLOOKUP('OPĆI DIO'!$C$3,'OPĆI DIO'!$L$6:$U$120,9,FALSE))</f>
        <v>Javni instituti</v>
      </c>
      <c r="C121" s="84">
        <v>52</v>
      </c>
      <c r="D121" s="79" t="str">
        <f t="shared" si="0"/>
        <v>Ostale pomoći</v>
      </c>
      <c r="E121" s="84">
        <v>4221</v>
      </c>
      <c r="F121" s="79" t="str">
        <f t="shared" si="1"/>
        <v>Uredska oprema i namještaj</v>
      </c>
      <c r="G121" s="84" t="s">
        <v>779</v>
      </c>
      <c r="H121" s="79" t="str">
        <f t="shared" si="18"/>
        <v>REDOVNA DJELATNOST JAVNIH INSTITUTA (IZ EVIDENCIJSKIH PRIHODA)</v>
      </c>
      <c r="I121" s="79" t="str">
        <f t="shared" si="19"/>
        <v>0150</v>
      </c>
      <c r="J121" s="67">
        <v>102913</v>
      </c>
      <c r="K121" s="67">
        <v>55495</v>
      </c>
      <c r="L121" s="67">
        <v>25205</v>
      </c>
      <c r="M121" s="68"/>
      <c r="N121" s="51"/>
      <c r="O121" s="51" t="str">
        <f t="shared" si="4"/>
        <v>422</v>
      </c>
      <c r="P121" s="51" t="str">
        <f t="shared" si="5"/>
        <v>42</v>
      </c>
      <c r="Q121" s="51" t="str">
        <f t="shared" si="6"/>
        <v>52</v>
      </c>
      <c r="R121" s="51" t="str">
        <f t="shared" si="7"/>
        <v>15</v>
      </c>
      <c r="S121" s="51"/>
      <c r="T121" s="51"/>
      <c r="U121" s="51"/>
      <c r="V121" s="51">
        <v>5141</v>
      </c>
      <c r="W121" s="51" t="s">
        <v>994</v>
      </c>
      <c r="X121" s="51"/>
      <c r="Y121" s="82" t="str">
        <f t="shared" si="8"/>
        <v>51</v>
      </c>
      <c r="Z121" s="51" t="str">
        <f t="shared" si="9"/>
        <v>514</v>
      </c>
      <c r="AA121" s="51"/>
      <c r="AB121" s="69" t="s">
        <v>995</v>
      </c>
      <c r="AC121" s="69" t="s">
        <v>996</v>
      </c>
      <c r="AD121" s="51" t="s">
        <v>634</v>
      </c>
      <c r="AE121" s="51" t="s">
        <v>635</v>
      </c>
      <c r="AF121" s="51" t="s">
        <v>636</v>
      </c>
      <c r="AG121" s="51" t="s">
        <v>637</v>
      </c>
    </row>
    <row r="122" spans="1:33" ht="15.75" customHeight="1">
      <c r="A122" s="62" t="str">
        <f>IF(C122="","",VLOOKUP('OPĆI DIO'!$C$3,'OPĆI DIO'!$L$6:$U$120,10,FALSE))</f>
        <v>08008</v>
      </c>
      <c r="B122" s="62" t="str">
        <f>IF(C122="","",VLOOKUP('OPĆI DIO'!$C$3,'OPĆI DIO'!$L$6:$U$120,9,FALSE))</f>
        <v>Javni instituti</v>
      </c>
      <c r="C122" s="84">
        <v>52</v>
      </c>
      <c r="D122" s="79" t="str">
        <f t="shared" si="0"/>
        <v>Ostale pomoći</v>
      </c>
      <c r="E122" s="84">
        <v>4222</v>
      </c>
      <c r="F122" s="79" t="str">
        <f t="shared" si="1"/>
        <v>Komunikacijska oprema</v>
      </c>
      <c r="G122" s="84" t="s">
        <v>779</v>
      </c>
      <c r="H122" s="79" t="str">
        <f t="shared" si="18"/>
        <v>REDOVNA DJELATNOST JAVNIH INSTITUTA (IZ EVIDENCIJSKIH PRIHODA)</v>
      </c>
      <c r="I122" s="79" t="str">
        <f t="shared" si="19"/>
        <v>0150</v>
      </c>
      <c r="J122" s="67">
        <v>332</v>
      </c>
      <c r="K122" s="67">
        <v>179</v>
      </c>
      <c r="L122" s="67">
        <v>81</v>
      </c>
      <c r="M122" s="68"/>
      <c r="N122" s="51"/>
      <c r="O122" s="51" t="str">
        <f t="shared" si="4"/>
        <v>422</v>
      </c>
      <c r="P122" s="51" t="str">
        <f t="shared" si="5"/>
        <v>42</v>
      </c>
      <c r="Q122" s="51" t="str">
        <f t="shared" si="6"/>
        <v>52</v>
      </c>
      <c r="R122" s="51" t="str">
        <f t="shared" si="7"/>
        <v>15</v>
      </c>
      <c r="S122" s="51"/>
      <c r="T122" s="51"/>
      <c r="U122" s="51"/>
      <c r="V122" s="51">
        <v>5181</v>
      </c>
      <c r="W122" s="51" t="s">
        <v>997</v>
      </c>
      <c r="X122" s="51"/>
      <c r="Y122" s="82" t="str">
        <f t="shared" si="8"/>
        <v>51</v>
      </c>
      <c r="Z122" s="51" t="str">
        <f t="shared" si="9"/>
        <v>518</v>
      </c>
      <c r="AA122" s="51"/>
      <c r="AB122" s="69" t="s">
        <v>998</v>
      </c>
      <c r="AC122" s="69" t="s">
        <v>999</v>
      </c>
      <c r="AD122" s="51" t="s">
        <v>770</v>
      </c>
      <c r="AE122" s="51" t="s">
        <v>771</v>
      </c>
      <c r="AF122" s="51" t="s">
        <v>636</v>
      </c>
      <c r="AG122" s="51" t="s">
        <v>772</v>
      </c>
    </row>
    <row r="123" spans="1:33" ht="15.75" customHeight="1">
      <c r="A123" s="62" t="str">
        <f>IF(C123="","",VLOOKUP('OPĆI DIO'!$C$3,'OPĆI DIO'!$L$6:$U$120,10,FALSE))</f>
        <v>08008</v>
      </c>
      <c r="B123" s="62" t="str">
        <f>IF(C123="","",VLOOKUP('OPĆI DIO'!$C$3,'OPĆI DIO'!$L$6:$U$120,9,FALSE))</f>
        <v>Javni instituti</v>
      </c>
      <c r="C123" s="84">
        <v>52</v>
      </c>
      <c r="D123" s="79" t="str">
        <f t="shared" si="0"/>
        <v>Ostale pomoći</v>
      </c>
      <c r="E123" s="84">
        <v>4223</v>
      </c>
      <c r="F123" s="79" t="str">
        <f t="shared" si="1"/>
        <v>Oprema za održavanje i zaštitu</v>
      </c>
      <c r="G123" s="84" t="s">
        <v>779</v>
      </c>
      <c r="H123" s="79" t="str">
        <f t="shared" si="18"/>
        <v>REDOVNA DJELATNOST JAVNIH INSTITUTA (IZ EVIDENCIJSKIH PRIHODA)</v>
      </c>
      <c r="I123" s="79" t="str">
        <f t="shared" si="19"/>
        <v>0150</v>
      </c>
      <c r="J123" s="67">
        <v>8431</v>
      </c>
      <c r="K123" s="67">
        <v>4546</v>
      </c>
      <c r="L123" s="67">
        <v>2065</v>
      </c>
      <c r="M123" s="68"/>
      <c r="N123" s="51"/>
      <c r="O123" s="51" t="str">
        <f t="shared" si="4"/>
        <v>422</v>
      </c>
      <c r="P123" s="51" t="str">
        <f t="shared" si="5"/>
        <v>42</v>
      </c>
      <c r="Q123" s="51" t="str">
        <f t="shared" si="6"/>
        <v>52</v>
      </c>
      <c r="R123" s="51" t="str">
        <f t="shared" si="7"/>
        <v>15</v>
      </c>
      <c r="S123" s="51"/>
      <c r="T123" s="51"/>
      <c r="U123" s="51"/>
      <c r="V123" s="51">
        <v>5183</v>
      </c>
      <c r="W123" s="51" t="s">
        <v>1000</v>
      </c>
      <c r="X123" s="51"/>
      <c r="Y123" s="82" t="str">
        <f t="shared" si="8"/>
        <v>51</v>
      </c>
      <c r="Z123" s="51" t="str">
        <f t="shared" si="9"/>
        <v>518</v>
      </c>
      <c r="AA123" s="51"/>
      <c r="AB123" s="69" t="s">
        <v>1001</v>
      </c>
      <c r="AC123" s="69" t="s">
        <v>1002</v>
      </c>
      <c r="AD123" s="51" t="s">
        <v>656</v>
      </c>
      <c r="AE123" s="51" t="s">
        <v>657</v>
      </c>
      <c r="AF123" s="51" t="s">
        <v>636</v>
      </c>
      <c r="AG123" s="51" t="s">
        <v>658</v>
      </c>
    </row>
    <row r="124" spans="1:33" ht="15.75" customHeight="1">
      <c r="A124" s="62" t="str">
        <f>IF(C124="","",VLOOKUP('OPĆI DIO'!$C$3,'OPĆI DIO'!$L$6:$U$120,10,FALSE))</f>
        <v>08008</v>
      </c>
      <c r="B124" s="62" t="str">
        <f>IF(C124="","",VLOOKUP('OPĆI DIO'!$C$3,'OPĆI DIO'!$L$6:$U$120,9,FALSE))</f>
        <v>Javni instituti</v>
      </c>
      <c r="C124" s="84">
        <v>52</v>
      </c>
      <c r="D124" s="79" t="str">
        <f t="shared" si="0"/>
        <v>Ostale pomoći</v>
      </c>
      <c r="E124" s="84">
        <v>4224</v>
      </c>
      <c r="F124" s="79" t="str">
        <f t="shared" si="1"/>
        <v>Medicinska i laboratorijska oprema</v>
      </c>
      <c r="G124" s="84" t="s">
        <v>779</v>
      </c>
      <c r="H124" s="79" t="str">
        <f t="shared" si="18"/>
        <v>REDOVNA DJELATNOST JAVNIH INSTITUTA (IZ EVIDENCIJSKIH PRIHODA)</v>
      </c>
      <c r="I124" s="79" t="str">
        <f t="shared" si="19"/>
        <v>0150</v>
      </c>
      <c r="J124" s="67">
        <v>448102</v>
      </c>
      <c r="K124" s="67">
        <v>241638</v>
      </c>
      <c r="L124" s="67">
        <v>109746</v>
      </c>
      <c r="M124" s="68"/>
      <c r="N124" s="51"/>
      <c r="O124" s="51" t="str">
        <f t="shared" si="4"/>
        <v>422</v>
      </c>
      <c r="P124" s="51" t="str">
        <f t="shared" si="5"/>
        <v>42</v>
      </c>
      <c r="Q124" s="51" t="str">
        <f t="shared" si="6"/>
        <v>52</v>
      </c>
      <c r="R124" s="51" t="str">
        <f t="shared" si="7"/>
        <v>15</v>
      </c>
      <c r="S124" s="51"/>
      <c r="T124" s="51"/>
      <c r="U124" s="51"/>
      <c r="V124" s="51">
        <v>5422</v>
      </c>
      <c r="W124" s="51" t="s">
        <v>1003</v>
      </c>
      <c r="X124" s="51"/>
      <c r="Y124" s="82" t="str">
        <f t="shared" si="8"/>
        <v>54</v>
      </c>
      <c r="Z124" s="51" t="str">
        <f t="shared" si="9"/>
        <v>542</v>
      </c>
      <c r="AA124" s="51"/>
      <c r="AB124" s="69" t="s">
        <v>1004</v>
      </c>
      <c r="AC124" s="69" t="s">
        <v>1005</v>
      </c>
      <c r="AD124" s="51" t="s">
        <v>705</v>
      </c>
      <c r="AE124" s="51" t="s">
        <v>706</v>
      </c>
      <c r="AF124" s="51" t="s">
        <v>636</v>
      </c>
      <c r="AG124" s="51" t="s">
        <v>637</v>
      </c>
    </row>
    <row r="125" spans="1:33" ht="15.75" customHeight="1">
      <c r="A125" s="62" t="str">
        <f>IF(C125="","",VLOOKUP('OPĆI DIO'!$C$3,'OPĆI DIO'!$L$6:$U$120,10,FALSE))</f>
        <v>08008</v>
      </c>
      <c r="B125" s="62" t="str">
        <f>IF(C125="","",VLOOKUP('OPĆI DIO'!$C$3,'OPĆI DIO'!$L$6:$U$120,9,FALSE))</f>
        <v>Javni instituti</v>
      </c>
      <c r="C125" s="84">
        <v>52</v>
      </c>
      <c r="D125" s="79" t="str">
        <f t="shared" si="0"/>
        <v>Ostale pomoći</v>
      </c>
      <c r="E125" s="84">
        <v>4225</v>
      </c>
      <c r="F125" s="79" t="str">
        <f t="shared" si="1"/>
        <v>Instrumenti, uređaji i strojevi</v>
      </c>
      <c r="G125" s="84" t="s">
        <v>779</v>
      </c>
      <c r="H125" s="79" t="str">
        <f t="shared" si="18"/>
        <v>REDOVNA DJELATNOST JAVNIH INSTITUTA (IZ EVIDENCIJSKIH PRIHODA)</v>
      </c>
      <c r="I125" s="79" t="str">
        <f t="shared" si="19"/>
        <v>0150</v>
      </c>
      <c r="J125" s="67">
        <v>100207</v>
      </c>
      <c r="K125" s="67">
        <v>54037</v>
      </c>
      <c r="L125" s="67">
        <v>24542</v>
      </c>
      <c r="M125" s="68"/>
      <c r="N125" s="51"/>
      <c r="O125" s="51" t="str">
        <f t="shared" si="4"/>
        <v>422</v>
      </c>
      <c r="P125" s="51" t="str">
        <f t="shared" si="5"/>
        <v>42</v>
      </c>
      <c r="Q125" s="51" t="str">
        <f t="shared" si="6"/>
        <v>52</v>
      </c>
      <c r="R125" s="51" t="str">
        <f t="shared" si="7"/>
        <v>15</v>
      </c>
      <c r="S125" s="51"/>
      <c r="T125" s="51"/>
      <c r="U125" s="51"/>
      <c r="V125" s="51">
        <v>5431</v>
      </c>
      <c r="W125" s="51" t="s">
        <v>1006</v>
      </c>
      <c r="X125" s="51"/>
      <c r="Y125" s="82" t="str">
        <f t="shared" si="8"/>
        <v>54</v>
      </c>
      <c r="Z125" s="51" t="str">
        <f t="shared" si="9"/>
        <v>543</v>
      </c>
      <c r="AA125" s="51"/>
      <c r="AB125" s="69" t="s">
        <v>1007</v>
      </c>
      <c r="AC125" s="69" t="s">
        <v>1008</v>
      </c>
      <c r="AD125" s="51" t="s">
        <v>641</v>
      </c>
      <c r="AE125" s="51" t="s">
        <v>642</v>
      </c>
      <c r="AF125" s="51" t="s">
        <v>643</v>
      </c>
      <c r="AG125" s="51" t="s">
        <v>644</v>
      </c>
    </row>
    <row r="126" spans="1:33" ht="15.75" customHeight="1">
      <c r="A126" s="62" t="str">
        <f>IF(C126="","",VLOOKUP('OPĆI DIO'!$C$3,'OPĆI DIO'!$L$6:$U$120,10,FALSE))</f>
        <v>08008</v>
      </c>
      <c r="B126" s="62" t="str">
        <f>IF(C126="","",VLOOKUP('OPĆI DIO'!$C$3,'OPĆI DIO'!$L$6:$U$120,9,FALSE))</f>
        <v>Javni instituti</v>
      </c>
      <c r="C126" s="84">
        <v>52</v>
      </c>
      <c r="D126" s="79" t="str">
        <f t="shared" si="0"/>
        <v>Ostale pomoći</v>
      </c>
      <c r="E126" s="84">
        <v>4227</v>
      </c>
      <c r="F126" s="79" t="str">
        <f t="shared" si="1"/>
        <v>Uređaji, strojevi i oprema za ostale namjene</v>
      </c>
      <c r="G126" s="84" t="s">
        <v>779</v>
      </c>
      <c r="H126" s="79" t="str">
        <f t="shared" si="18"/>
        <v>REDOVNA DJELATNOST JAVNIH INSTITUTA (IZ EVIDENCIJSKIH PRIHODA)</v>
      </c>
      <c r="I126" s="79" t="str">
        <f t="shared" si="19"/>
        <v>0150</v>
      </c>
      <c r="J126" s="67">
        <v>257</v>
      </c>
      <c r="K126" s="67">
        <v>138</v>
      </c>
      <c r="L126" s="67">
        <v>63</v>
      </c>
      <c r="M126" s="68"/>
      <c r="N126" s="51"/>
      <c r="O126" s="51" t="str">
        <f t="shared" si="4"/>
        <v>422</v>
      </c>
      <c r="P126" s="51" t="str">
        <f t="shared" si="5"/>
        <v>42</v>
      </c>
      <c r="Q126" s="51" t="str">
        <f t="shared" si="6"/>
        <v>52</v>
      </c>
      <c r="R126" s="51" t="str">
        <f t="shared" si="7"/>
        <v>15</v>
      </c>
      <c r="S126" s="51"/>
      <c r="T126" s="51"/>
      <c r="U126" s="51"/>
      <c r="V126" s="51">
        <v>5443</v>
      </c>
      <c r="W126" s="51" t="s">
        <v>1009</v>
      </c>
      <c r="X126" s="51"/>
      <c r="Y126" s="82" t="str">
        <f t="shared" si="8"/>
        <v>54</v>
      </c>
      <c r="Z126" s="51" t="str">
        <f t="shared" si="9"/>
        <v>544</v>
      </c>
      <c r="AA126" s="51"/>
      <c r="AB126" s="69" t="s">
        <v>1010</v>
      </c>
      <c r="AC126" s="69" t="s">
        <v>1011</v>
      </c>
      <c r="AD126" s="51" t="s">
        <v>648</v>
      </c>
      <c r="AE126" s="51" t="s">
        <v>649</v>
      </c>
      <c r="AF126" s="51" t="s">
        <v>636</v>
      </c>
      <c r="AG126" s="51" t="s">
        <v>650</v>
      </c>
    </row>
    <row r="127" spans="1:33" ht="15.75" customHeight="1">
      <c r="A127" s="62" t="str">
        <f>IF(C127="","",VLOOKUP('OPĆI DIO'!$C$3,'OPĆI DIO'!$L$6:$U$120,10,FALSE))</f>
        <v>08008</v>
      </c>
      <c r="B127" s="62" t="str">
        <f>IF(C127="","",VLOOKUP('OPĆI DIO'!$C$3,'OPĆI DIO'!$L$6:$U$120,9,FALSE))</f>
        <v>Javni instituti</v>
      </c>
      <c r="C127" s="84">
        <v>52</v>
      </c>
      <c r="D127" s="79" t="str">
        <f t="shared" si="0"/>
        <v>Ostale pomoći</v>
      </c>
      <c r="E127" s="84">
        <v>4231</v>
      </c>
      <c r="F127" s="79" t="str">
        <f t="shared" si="1"/>
        <v>Prijevozna sredstva u cestovnom prometu</v>
      </c>
      <c r="G127" s="84" t="s">
        <v>779</v>
      </c>
      <c r="H127" s="79" t="str">
        <f t="shared" si="18"/>
        <v>REDOVNA DJELATNOST JAVNIH INSTITUTA (IZ EVIDENCIJSKIH PRIHODA)</v>
      </c>
      <c r="I127" s="79" t="str">
        <f t="shared" si="19"/>
        <v>0150</v>
      </c>
      <c r="J127" s="67">
        <v>1216</v>
      </c>
      <c r="K127" s="67">
        <v>656</v>
      </c>
      <c r="L127" s="67">
        <v>298</v>
      </c>
      <c r="M127" s="68"/>
      <c r="N127" s="51"/>
      <c r="O127" s="51" t="str">
        <f t="shared" si="4"/>
        <v>423</v>
      </c>
      <c r="P127" s="51" t="str">
        <f t="shared" si="5"/>
        <v>42</v>
      </c>
      <c r="Q127" s="51" t="str">
        <f t="shared" si="6"/>
        <v>52</v>
      </c>
      <c r="R127" s="51" t="str">
        <f t="shared" si="7"/>
        <v>15</v>
      </c>
      <c r="S127" s="51"/>
      <c r="T127" s="51"/>
      <c r="U127" s="51"/>
      <c r="V127" s="51">
        <v>5445</v>
      </c>
      <c r="W127" s="51" t="s">
        <v>1012</v>
      </c>
      <c r="X127" s="51"/>
      <c r="Y127" s="82" t="str">
        <f t="shared" si="8"/>
        <v>54</v>
      </c>
      <c r="Z127" s="51" t="str">
        <f t="shared" si="9"/>
        <v>544</v>
      </c>
      <c r="AA127" s="51"/>
      <c r="AB127" s="69" t="s">
        <v>1013</v>
      </c>
      <c r="AC127" s="69" t="s">
        <v>1014</v>
      </c>
      <c r="AD127" s="51" t="s">
        <v>634</v>
      </c>
      <c r="AE127" s="51" t="s">
        <v>635</v>
      </c>
      <c r="AF127" s="51" t="s">
        <v>636</v>
      </c>
      <c r="AG127" s="51" t="s">
        <v>637</v>
      </c>
    </row>
    <row r="128" spans="1:33" ht="15.75" customHeight="1">
      <c r="A128" s="62" t="str">
        <f>IF(C128="","",VLOOKUP('OPĆI DIO'!$C$3,'OPĆI DIO'!$L$6:$U$120,10,FALSE))</f>
        <v>08008</v>
      </c>
      <c r="B128" s="62" t="str">
        <f>IF(C128="","",VLOOKUP('OPĆI DIO'!$C$3,'OPĆI DIO'!$L$6:$U$120,9,FALSE))</f>
        <v>Javni instituti</v>
      </c>
      <c r="C128" s="84">
        <v>52</v>
      </c>
      <c r="D128" s="79" t="str">
        <f t="shared" si="0"/>
        <v>Ostale pomoći</v>
      </c>
      <c r="E128" s="84">
        <v>4233</v>
      </c>
      <c r="F128" s="79" t="str">
        <f t="shared" si="1"/>
        <v>Prijevozna sredstva u pomorskom i riječnom prometu</v>
      </c>
      <c r="G128" s="84" t="s">
        <v>779</v>
      </c>
      <c r="H128" s="79" t="str">
        <f t="shared" si="18"/>
        <v>REDOVNA DJELATNOST JAVNIH INSTITUTA (IZ EVIDENCIJSKIH PRIHODA)</v>
      </c>
      <c r="I128" s="79" t="str">
        <f t="shared" si="19"/>
        <v>0150</v>
      </c>
      <c r="J128" s="67">
        <v>16683</v>
      </c>
      <c r="K128" s="67">
        <v>8996</v>
      </c>
      <c r="L128" s="67">
        <v>4086</v>
      </c>
      <c r="M128" s="68"/>
      <c r="N128" s="51"/>
      <c r="O128" s="51" t="str">
        <f t="shared" si="4"/>
        <v>423</v>
      </c>
      <c r="P128" s="51" t="str">
        <f t="shared" si="5"/>
        <v>42</v>
      </c>
      <c r="Q128" s="51" t="str">
        <f t="shared" si="6"/>
        <v>52</v>
      </c>
      <c r="R128" s="51" t="str">
        <f t="shared" si="7"/>
        <v>15</v>
      </c>
      <c r="S128" s="51"/>
      <c r="T128" s="51"/>
      <c r="U128" s="51"/>
      <c r="V128" s="51">
        <v>5453</v>
      </c>
      <c r="W128" s="51" t="s">
        <v>1015</v>
      </c>
      <c r="X128" s="51"/>
      <c r="Y128" s="82" t="str">
        <f t="shared" si="8"/>
        <v>54</v>
      </c>
      <c r="Z128" s="51" t="str">
        <f t="shared" si="9"/>
        <v>545</v>
      </c>
      <c r="AA128" s="51"/>
      <c r="AB128" s="69" t="s">
        <v>1016</v>
      </c>
      <c r="AC128" s="69" t="s">
        <v>1017</v>
      </c>
      <c r="AD128" s="51" t="s">
        <v>770</v>
      </c>
      <c r="AE128" s="51" t="s">
        <v>771</v>
      </c>
      <c r="AF128" s="51" t="s">
        <v>636</v>
      </c>
      <c r="AG128" s="51" t="s">
        <v>772</v>
      </c>
    </row>
    <row r="129" spans="1:33" ht="15.75" customHeight="1">
      <c r="A129" s="62" t="str">
        <f>IF(C129="","",VLOOKUP('OPĆI DIO'!$C$3,'OPĆI DIO'!$L$6:$U$120,10,FALSE))</f>
        <v>08008</v>
      </c>
      <c r="B129" s="62" t="str">
        <f>IF(C129="","",VLOOKUP('OPĆI DIO'!$C$3,'OPĆI DIO'!$L$6:$U$120,9,FALSE))</f>
        <v>Javni instituti</v>
      </c>
      <c r="C129" s="84">
        <v>52</v>
      </c>
      <c r="D129" s="79" t="str">
        <f t="shared" si="0"/>
        <v>Ostale pomoći</v>
      </c>
      <c r="E129" s="84">
        <v>4241</v>
      </c>
      <c r="F129" s="79" t="str">
        <f t="shared" si="1"/>
        <v>Knjige</v>
      </c>
      <c r="G129" s="84" t="s">
        <v>779</v>
      </c>
      <c r="H129" s="79" t="str">
        <f t="shared" si="18"/>
        <v>REDOVNA DJELATNOST JAVNIH INSTITUTA (IZ EVIDENCIJSKIH PRIHODA)</v>
      </c>
      <c r="I129" s="79" t="str">
        <f t="shared" si="19"/>
        <v>0150</v>
      </c>
      <c r="J129" s="67">
        <v>1406</v>
      </c>
      <c r="K129" s="67">
        <v>758</v>
      </c>
      <c r="L129" s="67">
        <v>344</v>
      </c>
      <c r="M129" s="68"/>
      <c r="N129" s="51"/>
      <c r="O129" s="51" t="str">
        <f t="shared" si="4"/>
        <v>424</v>
      </c>
      <c r="P129" s="51" t="str">
        <f t="shared" si="5"/>
        <v>42</v>
      </c>
      <c r="Q129" s="51" t="str">
        <f t="shared" si="6"/>
        <v>52</v>
      </c>
      <c r="R129" s="51" t="str">
        <f t="shared" si="7"/>
        <v>15</v>
      </c>
      <c r="S129" s="51"/>
      <c r="T129" s="51"/>
      <c r="U129" s="51"/>
      <c r="V129" s="51">
        <v>5472</v>
      </c>
      <c r="W129" s="51" t="s">
        <v>1018</v>
      </c>
      <c r="X129" s="51"/>
      <c r="Y129" s="82" t="str">
        <f t="shared" si="8"/>
        <v>54</v>
      </c>
      <c r="Z129" s="51" t="str">
        <f t="shared" si="9"/>
        <v>547</v>
      </c>
      <c r="AA129" s="51"/>
      <c r="AB129" s="69" t="s">
        <v>1019</v>
      </c>
      <c r="AC129" s="69" t="s">
        <v>1020</v>
      </c>
      <c r="AD129" s="51" t="s">
        <v>641</v>
      </c>
      <c r="AE129" s="51" t="s">
        <v>642</v>
      </c>
      <c r="AF129" s="51" t="s">
        <v>643</v>
      </c>
      <c r="AG129" s="51" t="s">
        <v>644</v>
      </c>
    </row>
    <row r="130" spans="1:33" ht="15.75" customHeight="1">
      <c r="A130" s="62" t="str">
        <f>IF(C130="","",VLOOKUP('OPĆI DIO'!$C$3,'OPĆI DIO'!$L$6:$U$120,10,FALSE))</f>
        <v>08008</v>
      </c>
      <c r="B130" s="62" t="str">
        <f>IF(C130="","",VLOOKUP('OPĆI DIO'!$C$3,'OPĆI DIO'!$L$6:$U$120,9,FALSE))</f>
        <v>Javni instituti</v>
      </c>
      <c r="C130" s="84">
        <v>52</v>
      </c>
      <c r="D130" s="79" t="str">
        <f t="shared" si="0"/>
        <v>Ostale pomoći</v>
      </c>
      <c r="E130" s="84">
        <v>4262</v>
      </c>
      <c r="F130" s="79" t="str">
        <f t="shared" si="1"/>
        <v>Ulaganja u računalne programe</v>
      </c>
      <c r="G130" s="84" t="s">
        <v>779</v>
      </c>
      <c r="H130" s="79" t="str">
        <f t="shared" si="18"/>
        <v>REDOVNA DJELATNOST JAVNIH INSTITUTA (IZ EVIDENCIJSKIH PRIHODA)</v>
      </c>
      <c r="I130" s="79" t="str">
        <f t="shared" si="19"/>
        <v>0150</v>
      </c>
      <c r="J130" s="67">
        <v>119496</v>
      </c>
      <c r="K130" s="67">
        <v>59789</v>
      </c>
      <c r="L130" s="67">
        <v>27151</v>
      </c>
      <c r="M130" s="68"/>
      <c r="N130" s="51"/>
      <c r="O130" s="51" t="str">
        <f t="shared" si="4"/>
        <v>426</v>
      </c>
      <c r="P130" s="51" t="str">
        <f t="shared" si="5"/>
        <v>42</v>
      </c>
      <c r="Q130" s="51" t="str">
        <f t="shared" si="6"/>
        <v>52</v>
      </c>
      <c r="R130" s="51" t="str">
        <f t="shared" si="7"/>
        <v>15</v>
      </c>
      <c r="S130" s="51"/>
      <c r="T130" s="51"/>
      <c r="U130" s="51"/>
      <c r="V130" s="51"/>
      <c r="W130" s="51"/>
      <c r="X130" s="51"/>
      <c r="Y130" s="82"/>
      <c r="Z130" s="51"/>
      <c r="AA130" s="51"/>
      <c r="AB130" s="69" t="s">
        <v>1021</v>
      </c>
      <c r="AC130" s="69" t="s">
        <v>1022</v>
      </c>
      <c r="AD130" s="51" t="s">
        <v>648</v>
      </c>
      <c r="AE130" s="51" t="s">
        <v>649</v>
      </c>
      <c r="AF130" s="51" t="s">
        <v>636</v>
      </c>
      <c r="AG130" s="51" t="s">
        <v>650</v>
      </c>
    </row>
    <row r="131" spans="1:33" ht="15.75" customHeight="1">
      <c r="A131" s="62" t="str">
        <f>IF(C131="","",VLOOKUP('OPĆI DIO'!$C$3,'OPĆI DIO'!$L$6:$U$120,10,FALSE))</f>
        <v>08008</v>
      </c>
      <c r="B131" s="62" t="str">
        <f>IF(C131="","",VLOOKUP('OPĆI DIO'!$C$3,'OPĆI DIO'!$L$6:$U$120,9,FALSE))</f>
        <v>Javni instituti</v>
      </c>
      <c r="C131" s="84">
        <v>52</v>
      </c>
      <c r="D131" s="79" t="str">
        <f t="shared" si="0"/>
        <v>Ostale pomoći</v>
      </c>
      <c r="E131" s="84">
        <v>3211</v>
      </c>
      <c r="F131" s="79" t="str">
        <f t="shared" si="1"/>
        <v>Službena putovanja</v>
      </c>
      <c r="G131" s="84" t="s">
        <v>779</v>
      </c>
      <c r="H131" s="79" t="str">
        <f t="shared" ref="H131:H145" si="20">IFERROR(VLOOKUP(G131,$AB$6:$AC$332,2,FALSE),"")</f>
        <v>REDOVNA DJELATNOST JAVNIH INSTITUTA (IZ EVIDENCIJSKIH PRIHODA)</v>
      </c>
      <c r="I131" s="79" t="str">
        <f t="shared" ref="I131:I151" si="21">IFERROR(VLOOKUP(G131,$AB$6:$AF$332,3,FALSE),"")</f>
        <v>0150</v>
      </c>
      <c r="J131" s="67">
        <v>17214</v>
      </c>
      <c r="K131" s="67">
        <v>18075</v>
      </c>
      <c r="L131" s="67">
        <v>18979</v>
      </c>
      <c r="M131" s="68"/>
      <c r="N131" s="51"/>
      <c r="O131" s="51" t="str">
        <f t="shared" si="4"/>
        <v>321</v>
      </c>
      <c r="P131" s="51" t="str">
        <f t="shared" si="5"/>
        <v>32</v>
      </c>
      <c r="Q131" s="51" t="str">
        <f t="shared" si="6"/>
        <v>52</v>
      </c>
      <c r="R131" s="51" t="str">
        <f t="shared" si="7"/>
        <v>15</v>
      </c>
      <c r="S131" s="51"/>
      <c r="T131" s="51"/>
      <c r="U131" s="51"/>
      <c r="V131" s="51"/>
      <c r="W131" s="51"/>
      <c r="X131" s="51"/>
      <c r="Y131" s="82"/>
      <c r="Z131" s="51"/>
      <c r="AA131" s="51"/>
      <c r="AB131" s="69" t="s">
        <v>1023</v>
      </c>
      <c r="AC131" s="69" t="s">
        <v>1024</v>
      </c>
      <c r="AD131" s="51" t="s">
        <v>668</v>
      </c>
      <c r="AE131" s="51" t="s">
        <v>669</v>
      </c>
      <c r="AF131" s="51" t="s">
        <v>636</v>
      </c>
      <c r="AG131" s="51" t="s">
        <v>670</v>
      </c>
    </row>
    <row r="132" spans="1:33" ht="15.75" customHeight="1">
      <c r="A132" s="62" t="str">
        <f>IF(C132="","",VLOOKUP('OPĆI DIO'!$C$3,'OPĆI DIO'!$L$6:$U$120,10,FALSE))</f>
        <v>08008</v>
      </c>
      <c r="B132" s="62" t="str">
        <f>IF(C132="","",VLOOKUP('OPĆI DIO'!$C$3,'OPĆI DIO'!$L$6:$U$120,9,FALSE))</f>
        <v>Javni instituti</v>
      </c>
      <c r="C132" s="84">
        <v>52</v>
      </c>
      <c r="D132" s="79" t="str">
        <f t="shared" si="0"/>
        <v>Ostale pomoći</v>
      </c>
      <c r="E132" s="84">
        <v>3213</v>
      </c>
      <c r="F132" s="79" t="str">
        <f t="shared" si="1"/>
        <v>Stručno usavršavanje zaposlenika</v>
      </c>
      <c r="G132" s="84" t="s">
        <v>779</v>
      </c>
      <c r="H132" s="79" t="str">
        <f t="shared" si="20"/>
        <v>REDOVNA DJELATNOST JAVNIH INSTITUTA (IZ EVIDENCIJSKIH PRIHODA)</v>
      </c>
      <c r="I132" s="79" t="str">
        <f t="shared" si="21"/>
        <v>0150</v>
      </c>
      <c r="J132" s="67">
        <v>2390</v>
      </c>
      <c r="K132" s="67">
        <v>2510</v>
      </c>
      <c r="L132" s="67">
        <v>2635</v>
      </c>
      <c r="M132" s="68"/>
      <c r="N132" s="51"/>
      <c r="O132" s="51" t="str">
        <f t="shared" si="4"/>
        <v>321</v>
      </c>
      <c r="P132" s="51" t="str">
        <f t="shared" si="5"/>
        <v>32</v>
      </c>
      <c r="Q132" s="51" t="str">
        <f t="shared" si="6"/>
        <v>52</v>
      </c>
      <c r="R132" s="51" t="str">
        <f t="shared" si="7"/>
        <v>15</v>
      </c>
      <c r="S132" s="51"/>
      <c r="T132" s="51"/>
      <c r="U132" s="51"/>
      <c r="V132" s="51"/>
      <c r="W132" s="51"/>
      <c r="X132" s="51"/>
      <c r="Y132" s="82"/>
      <c r="Z132" s="51"/>
      <c r="AA132" s="51"/>
      <c r="AB132" s="69" t="s">
        <v>1025</v>
      </c>
      <c r="AC132" s="69" t="s">
        <v>1026</v>
      </c>
      <c r="AD132" s="51" t="s">
        <v>641</v>
      </c>
      <c r="AE132" s="51" t="s">
        <v>642</v>
      </c>
      <c r="AF132" s="51" t="s">
        <v>643</v>
      </c>
      <c r="AG132" s="51" t="s">
        <v>644</v>
      </c>
    </row>
    <row r="133" spans="1:33" ht="15.75" customHeight="1">
      <c r="A133" s="62" t="str">
        <f>IF(C133="","",VLOOKUP('OPĆI DIO'!$C$3,'OPĆI DIO'!$L$6:$U$120,10,FALSE))</f>
        <v>08008</v>
      </c>
      <c r="B133" s="62" t="str">
        <f>IF(C133="","",VLOOKUP('OPĆI DIO'!$C$3,'OPĆI DIO'!$L$6:$U$120,9,FALSE))</f>
        <v>Javni instituti</v>
      </c>
      <c r="C133" s="84">
        <v>52</v>
      </c>
      <c r="D133" s="79" t="str">
        <f t="shared" si="0"/>
        <v>Ostale pomoći</v>
      </c>
      <c r="E133" s="84">
        <v>3214</v>
      </c>
      <c r="F133" s="79" t="str">
        <f t="shared" si="1"/>
        <v>Ostale naknade troškova zaposlenima</v>
      </c>
      <c r="G133" s="84" t="s">
        <v>779</v>
      </c>
      <c r="H133" s="79" t="str">
        <f t="shared" si="20"/>
        <v>REDOVNA DJELATNOST JAVNIH INSTITUTA (IZ EVIDENCIJSKIH PRIHODA)</v>
      </c>
      <c r="I133" s="79" t="str">
        <f t="shared" si="21"/>
        <v>0150</v>
      </c>
      <c r="J133" s="67">
        <v>1028</v>
      </c>
      <c r="K133" s="67">
        <v>1079</v>
      </c>
      <c r="L133" s="67">
        <v>1133</v>
      </c>
      <c r="M133" s="68"/>
      <c r="N133" s="51"/>
      <c r="O133" s="51" t="str">
        <f t="shared" si="4"/>
        <v>321</v>
      </c>
      <c r="P133" s="51" t="str">
        <f t="shared" si="5"/>
        <v>32</v>
      </c>
      <c r="Q133" s="51" t="str">
        <f t="shared" si="6"/>
        <v>52</v>
      </c>
      <c r="R133" s="51" t="str">
        <f t="shared" si="7"/>
        <v>15</v>
      </c>
      <c r="S133" s="51"/>
      <c r="T133" s="51"/>
      <c r="U133" s="51"/>
      <c r="V133" s="51"/>
      <c r="W133" s="51"/>
      <c r="X133" s="51"/>
      <c r="Y133" s="82"/>
      <c r="Z133" s="51"/>
      <c r="AA133" s="51"/>
      <c r="AB133" s="69" t="s">
        <v>1027</v>
      </c>
      <c r="AC133" s="69" t="s">
        <v>1028</v>
      </c>
      <c r="AD133" s="51" t="s">
        <v>770</v>
      </c>
      <c r="AE133" s="51" t="s">
        <v>771</v>
      </c>
      <c r="AF133" s="51" t="s">
        <v>636</v>
      </c>
      <c r="AG133" s="51" t="s">
        <v>772</v>
      </c>
    </row>
    <row r="134" spans="1:33" ht="15.75" customHeight="1">
      <c r="A134" s="62" t="str">
        <f>IF(C134="","",VLOOKUP('OPĆI DIO'!$C$3,'OPĆI DIO'!$L$6:$U$120,10,FALSE))</f>
        <v>08008</v>
      </c>
      <c r="B134" s="62" t="str">
        <f>IF(C134="","",VLOOKUP('OPĆI DIO'!$C$3,'OPĆI DIO'!$L$6:$U$120,9,FALSE))</f>
        <v>Javni instituti</v>
      </c>
      <c r="C134" s="84">
        <v>52</v>
      </c>
      <c r="D134" s="79" t="str">
        <f t="shared" si="0"/>
        <v>Ostale pomoći</v>
      </c>
      <c r="E134" s="84">
        <v>3222</v>
      </c>
      <c r="F134" s="79" t="str">
        <f t="shared" si="1"/>
        <v>Materijal i sirovine</v>
      </c>
      <c r="G134" s="84" t="s">
        <v>779</v>
      </c>
      <c r="H134" s="79" t="str">
        <f t="shared" si="20"/>
        <v>REDOVNA DJELATNOST JAVNIH INSTITUTA (IZ EVIDENCIJSKIH PRIHODA)</v>
      </c>
      <c r="I134" s="79" t="str">
        <f t="shared" si="21"/>
        <v>0150</v>
      </c>
      <c r="J134" s="67">
        <v>14516</v>
      </c>
      <c r="K134" s="67">
        <v>15242</v>
      </c>
      <c r="L134" s="67">
        <v>16004</v>
      </c>
      <c r="M134" s="68"/>
      <c r="N134" s="51"/>
      <c r="O134" s="51" t="str">
        <f t="shared" si="4"/>
        <v>322</v>
      </c>
      <c r="P134" s="51" t="str">
        <f t="shared" si="5"/>
        <v>32</v>
      </c>
      <c r="Q134" s="51" t="str">
        <f t="shared" si="6"/>
        <v>52</v>
      </c>
      <c r="R134" s="51" t="str">
        <f t="shared" si="7"/>
        <v>15</v>
      </c>
      <c r="S134" s="51"/>
      <c r="T134" s="51"/>
      <c r="U134" s="51"/>
      <c r="V134" s="51"/>
      <c r="W134" s="51"/>
      <c r="X134" s="51"/>
      <c r="Y134" s="82"/>
      <c r="Z134" s="51"/>
      <c r="AA134" s="51"/>
      <c r="AB134" s="69" t="s">
        <v>1029</v>
      </c>
      <c r="AC134" s="69" t="s">
        <v>1030</v>
      </c>
      <c r="AD134" s="51" t="s">
        <v>770</v>
      </c>
      <c r="AE134" s="51" t="s">
        <v>771</v>
      </c>
      <c r="AF134" s="51" t="s">
        <v>636</v>
      </c>
      <c r="AG134" s="51" t="s">
        <v>772</v>
      </c>
    </row>
    <row r="135" spans="1:33" ht="15.75" customHeight="1">
      <c r="A135" s="62" t="str">
        <f>IF(C135="","",VLOOKUP('OPĆI DIO'!$C$3,'OPĆI DIO'!$L$6:$U$120,10,FALSE))</f>
        <v>08008</v>
      </c>
      <c r="B135" s="62" t="str">
        <f>IF(C135="","",VLOOKUP('OPĆI DIO'!$C$3,'OPĆI DIO'!$L$6:$U$120,9,FALSE))</f>
        <v>Javni instituti</v>
      </c>
      <c r="C135" s="84">
        <v>52</v>
      </c>
      <c r="D135" s="79" t="str">
        <f t="shared" si="0"/>
        <v>Ostale pomoći</v>
      </c>
      <c r="E135" s="84">
        <v>3224</v>
      </c>
      <c r="F135" s="79" t="str">
        <f t="shared" si="1"/>
        <v>Materijal i dijelovi za tekuće i investicijsko održavanje</v>
      </c>
      <c r="G135" s="84" t="s">
        <v>779</v>
      </c>
      <c r="H135" s="79" t="str">
        <f t="shared" si="20"/>
        <v>REDOVNA DJELATNOST JAVNIH INSTITUTA (IZ EVIDENCIJSKIH PRIHODA)</v>
      </c>
      <c r="I135" s="79" t="str">
        <f t="shared" si="21"/>
        <v>0150</v>
      </c>
      <c r="J135" s="67">
        <v>3537</v>
      </c>
      <c r="K135" s="67">
        <v>3714</v>
      </c>
      <c r="L135" s="67">
        <v>3900</v>
      </c>
      <c r="M135" s="68"/>
      <c r="N135" s="51"/>
      <c r="O135" s="51" t="str">
        <f t="shared" si="4"/>
        <v>322</v>
      </c>
      <c r="P135" s="51" t="str">
        <f t="shared" si="5"/>
        <v>32</v>
      </c>
      <c r="Q135" s="51" t="str">
        <f t="shared" si="6"/>
        <v>52</v>
      </c>
      <c r="R135" s="51" t="str">
        <f t="shared" si="7"/>
        <v>15</v>
      </c>
      <c r="S135" s="51"/>
      <c r="T135" s="51"/>
      <c r="U135" s="51"/>
      <c r="V135" s="51"/>
      <c r="W135" s="51"/>
      <c r="X135" s="51"/>
      <c r="Y135" s="82"/>
      <c r="Z135" s="51"/>
      <c r="AA135" s="51"/>
      <c r="AB135" s="69" t="s">
        <v>1029</v>
      </c>
      <c r="AC135" s="69" t="s">
        <v>1030</v>
      </c>
      <c r="AD135" s="51" t="s">
        <v>648</v>
      </c>
      <c r="AE135" s="51" t="s">
        <v>649</v>
      </c>
      <c r="AF135" s="51" t="s">
        <v>636</v>
      </c>
      <c r="AG135" s="51" t="s">
        <v>650</v>
      </c>
    </row>
    <row r="136" spans="1:33" ht="15.75" customHeight="1">
      <c r="A136" s="62" t="str">
        <f>IF(C136="","",VLOOKUP('OPĆI DIO'!$C$3,'OPĆI DIO'!$L$6:$U$120,10,FALSE))</f>
        <v>08008</v>
      </c>
      <c r="B136" s="62" t="str">
        <f>IF(C136="","",VLOOKUP('OPĆI DIO'!$C$3,'OPĆI DIO'!$L$6:$U$120,9,FALSE))</f>
        <v>Javni instituti</v>
      </c>
      <c r="C136" s="84">
        <v>52</v>
      </c>
      <c r="D136" s="79" t="str">
        <f t="shared" si="0"/>
        <v>Ostale pomoći</v>
      </c>
      <c r="E136" s="84">
        <v>3231</v>
      </c>
      <c r="F136" s="79" t="str">
        <f t="shared" si="1"/>
        <v>Usluge telefona, pošte i prijevoza</v>
      </c>
      <c r="G136" s="84" t="s">
        <v>779</v>
      </c>
      <c r="H136" s="79" t="str">
        <f t="shared" si="20"/>
        <v>REDOVNA DJELATNOST JAVNIH INSTITUTA (IZ EVIDENCIJSKIH PRIHODA)</v>
      </c>
      <c r="I136" s="79" t="str">
        <f t="shared" si="21"/>
        <v>0150</v>
      </c>
      <c r="J136" s="67">
        <v>727</v>
      </c>
      <c r="K136" s="67">
        <v>764</v>
      </c>
      <c r="L136" s="67">
        <v>802</v>
      </c>
      <c r="M136" s="68"/>
      <c r="N136" s="51"/>
      <c r="O136" s="51" t="str">
        <f t="shared" si="4"/>
        <v>323</v>
      </c>
      <c r="P136" s="51" t="str">
        <f t="shared" si="5"/>
        <v>32</v>
      </c>
      <c r="Q136" s="51" t="str">
        <f t="shared" si="6"/>
        <v>52</v>
      </c>
      <c r="R136" s="51" t="str">
        <f t="shared" si="7"/>
        <v>15</v>
      </c>
      <c r="S136" s="51"/>
      <c r="T136" s="51"/>
      <c r="U136" s="51"/>
      <c r="V136" s="51"/>
      <c r="W136" s="51"/>
      <c r="X136" s="51"/>
      <c r="Y136" s="82"/>
      <c r="Z136" s="51"/>
      <c r="AA136" s="51"/>
      <c r="AB136" s="69" t="s">
        <v>1031</v>
      </c>
      <c r="AC136" s="69" t="s">
        <v>1032</v>
      </c>
      <c r="AD136" s="51" t="s">
        <v>648</v>
      </c>
      <c r="AE136" s="51" t="s">
        <v>649</v>
      </c>
      <c r="AF136" s="51" t="s">
        <v>636</v>
      </c>
      <c r="AG136" s="51" t="s">
        <v>650</v>
      </c>
    </row>
    <row r="137" spans="1:33" ht="15.75" customHeight="1">
      <c r="A137" s="62" t="str">
        <f>IF(C137="","",VLOOKUP('OPĆI DIO'!$C$3,'OPĆI DIO'!$L$6:$U$120,10,FALSE))</f>
        <v>08008</v>
      </c>
      <c r="B137" s="62" t="str">
        <f>IF(C137="","",VLOOKUP('OPĆI DIO'!$C$3,'OPĆI DIO'!$L$6:$U$120,9,FALSE))</f>
        <v>Javni instituti</v>
      </c>
      <c r="C137" s="84">
        <v>52</v>
      </c>
      <c r="D137" s="79" t="str">
        <f t="shared" si="0"/>
        <v>Ostale pomoći</v>
      </c>
      <c r="E137" s="84">
        <v>3233</v>
      </c>
      <c r="F137" s="79" t="str">
        <f t="shared" si="1"/>
        <v>Usluge promidžbe i informiranja</v>
      </c>
      <c r="G137" s="84" t="s">
        <v>779</v>
      </c>
      <c r="H137" s="79" t="str">
        <f t="shared" si="20"/>
        <v>REDOVNA DJELATNOST JAVNIH INSTITUTA (IZ EVIDENCIJSKIH PRIHODA)</v>
      </c>
      <c r="I137" s="79" t="str">
        <f t="shared" si="21"/>
        <v>0150</v>
      </c>
      <c r="J137" s="67">
        <v>1347</v>
      </c>
      <c r="K137" s="67">
        <v>1415</v>
      </c>
      <c r="L137" s="67">
        <v>1486</v>
      </c>
      <c r="M137" s="68"/>
      <c r="N137" s="51"/>
      <c r="O137" s="51" t="str">
        <f t="shared" si="4"/>
        <v>323</v>
      </c>
      <c r="P137" s="51" t="str">
        <f t="shared" si="5"/>
        <v>32</v>
      </c>
      <c r="Q137" s="51" t="str">
        <f t="shared" si="6"/>
        <v>52</v>
      </c>
      <c r="R137" s="51" t="str">
        <f t="shared" si="7"/>
        <v>15</v>
      </c>
      <c r="S137" s="51"/>
      <c r="T137" s="51"/>
      <c r="U137" s="51"/>
      <c r="V137" s="51"/>
      <c r="W137" s="51"/>
      <c r="X137" s="51"/>
      <c r="Y137" s="82"/>
      <c r="Z137" s="51"/>
      <c r="AA137" s="51"/>
      <c r="AB137" s="69" t="s">
        <v>1033</v>
      </c>
      <c r="AC137" s="69" t="s">
        <v>1034</v>
      </c>
      <c r="AD137" s="51" t="s">
        <v>705</v>
      </c>
      <c r="AE137" s="51" t="s">
        <v>706</v>
      </c>
      <c r="AF137" s="51" t="s">
        <v>636</v>
      </c>
      <c r="AG137" s="51" t="s">
        <v>637</v>
      </c>
    </row>
    <row r="138" spans="1:33" ht="15.75" customHeight="1">
      <c r="A138" s="62" t="str">
        <f>IF(C138="","",VLOOKUP('OPĆI DIO'!$C$3,'OPĆI DIO'!$L$6:$U$120,10,FALSE))</f>
        <v>08008</v>
      </c>
      <c r="B138" s="62" t="str">
        <f>IF(C138="","",VLOOKUP('OPĆI DIO'!$C$3,'OPĆI DIO'!$L$6:$U$120,9,FALSE))</f>
        <v>Javni instituti</v>
      </c>
      <c r="C138" s="84">
        <v>52</v>
      </c>
      <c r="D138" s="79" t="str">
        <f t="shared" si="0"/>
        <v>Ostale pomoći</v>
      </c>
      <c r="E138" s="84">
        <v>3236</v>
      </c>
      <c r="F138" s="79" t="str">
        <f t="shared" si="1"/>
        <v>Zdravstvene i veterinarske usluge</v>
      </c>
      <c r="G138" s="84" t="s">
        <v>779</v>
      </c>
      <c r="H138" s="79" t="str">
        <f t="shared" si="20"/>
        <v>REDOVNA DJELATNOST JAVNIH INSTITUTA (IZ EVIDENCIJSKIH PRIHODA)</v>
      </c>
      <c r="I138" s="79" t="str">
        <f t="shared" si="21"/>
        <v>0150</v>
      </c>
      <c r="J138" s="67">
        <v>800</v>
      </c>
      <c r="K138" s="67">
        <v>840</v>
      </c>
      <c r="L138" s="67">
        <v>882</v>
      </c>
      <c r="M138" s="68"/>
      <c r="N138" s="51"/>
      <c r="O138" s="51" t="str">
        <f t="shared" si="4"/>
        <v>323</v>
      </c>
      <c r="P138" s="51" t="str">
        <f t="shared" si="5"/>
        <v>32</v>
      </c>
      <c r="Q138" s="51" t="str">
        <f t="shared" si="6"/>
        <v>52</v>
      </c>
      <c r="R138" s="51" t="str">
        <f t="shared" si="7"/>
        <v>15</v>
      </c>
      <c r="S138" s="51"/>
      <c r="T138" s="51"/>
      <c r="U138" s="51"/>
      <c r="V138" s="51"/>
      <c r="W138" s="51"/>
      <c r="X138" s="51"/>
      <c r="Y138" s="82"/>
      <c r="Z138" s="51"/>
      <c r="AA138" s="51"/>
      <c r="AB138" s="69" t="s">
        <v>1035</v>
      </c>
      <c r="AC138" s="69" t="s">
        <v>1036</v>
      </c>
      <c r="AD138" s="51" t="s">
        <v>641</v>
      </c>
      <c r="AE138" s="51" t="s">
        <v>642</v>
      </c>
      <c r="AF138" s="51" t="s">
        <v>643</v>
      </c>
      <c r="AG138" s="51" t="s">
        <v>644</v>
      </c>
    </row>
    <row r="139" spans="1:33" ht="15.75" customHeight="1">
      <c r="A139" s="62" t="str">
        <f>IF(C139="","",VLOOKUP('OPĆI DIO'!$C$3,'OPĆI DIO'!$L$6:$U$120,10,FALSE))</f>
        <v>08008</v>
      </c>
      <c r="B139" s="62" t="str">
        <f>IF(C139="","",VLOOKUP('OPĆI DIO'!$C$3,'OPĆI DIO'!$L$6:$U$120,9,FALSE))</f>
        <v>Javni instituti</v>
      </c>
      <c r="C139" s="84">
        <v>52</v>
      </c>
      <c r="D139" s="79" t="str">
        <f t="shared" si="0"/>
        <v>Ostale pomoći</v>
      </c>
      <c r="E139" s="84">
        <v>3239</v>
      </c>
      <c r="F139" s="79" t="str">
        <f t="shared" si="1"/>
        <v>Ostale usluge</v>
      </c>
      <c r="G139" s="84" t="s">
        <v>779</v>
      </c>
      <c r="H139" s="79" t="str">
        <f t="shared" si="20"/>
        <v>REDOVNA DJELATNOST JAVNIH INSTITUTA (IZ EVIDENCIJSKIH PRIHODA)</v>
      </c>
      <c r="I139" s="79" t="str">
        <f t="shared" si="21"/>
        <v>0150</v>
      </c>
      <c r="J139" s="67">
        <v>80</v>
      </c>
      <c r="K139" s="67">
        <v>84</v>
      </c>
      <c r="L139" s="67">
        <v>88</v>
      </c>
      <c r="M139" s="68"/>
      <c r="N139" s="51"/>
      <c r="O139" s="51" t="str">
        <f t="shared" si="4"/>
        <v>323</v>
      </c>
      <c r="P139" s="51" t="str">
        <f t="shared" si="5"/>
        <v>32</v>
      </c>
      <c r="Q139" s="51" t="str">
        <f t="shared" si="6"/>
        <v>52</v>
      </c>
      <c r="R139" s="51" t="str">
        <f t="shared" si="7"/>
        <v>15</v>
      </c>
      <c r="S139" s="51"/>
      <c r="T139" s="51"/>
      <c r="U139" s="51"/>
      <c r="V139" s="51"/>
      <c r="W139" s="51"/>
      <c r="X139" s="51"/>
      <c r="Y139" s="82"/>
      <c r="Z139" s="51"/>
      <c r="AA139" s="51"/>
      <c r="AB139" s="69" t="s">
        <v>1037</v>
      </c>
      <c r="AC139" s="69" t="s">
        <v>1038</v>
      </c>
      <c r="AD139" s="51" t="s">
        <v>634</v>
      </c>
      <c r="AE139" s="51" t="s">
        <v>635</v>
      </c>
      <c r="AF139" s="51" t="s">
        <v>636</v>
      </c>
      <c r="AG139" s="51" t="s">
        <v>637</v>
      </c>
    </row>
    <row r="140" spans="1:33" ht="15.75" customHeight="1">
      <c r="A140" s="62" t="str">
        <f>IF(C140="","",VLOOKUP('OPĆI DIO'!$C$3,'OPĆI DIO'!$L$6:$U$120,10,FALSE))</f>
        <v>08008</v>
      </c>
      <c r="B140" s="62" t="str">
        <f>IF(C140="","",VLOOKUP('OPĆI DIO'!$C$3,'OPĆI DIO'!$L$6:$U$120,9,FALSE))</f>
        <v>Javni instituti</v>
      </c>
      <c r="C140" s="84">
        <v>52</v>
      </c>
      <c r="D140" s="79" t="str">
        <f t="shared" si="0"/>
        <v>Ostale pomoći</v>
      </c>
      <c r="E140" s="84">
        <v>3241</v>
      </c>
      <c r="F140" s="79" t="str">
        <f t="shared" si="1"/>
        <v>Naknade troškova osobama izvan radnog odnosa</v>
      </c>
      <c r="G140" s="84" t="s">
        <v>779</v>
      </c>
      <c r="H140" s="79" t="str">
        <f t="shared" si="20"/>
        <v>REDOVNA DJELATNOST JAVNIH INSTITUTA (IZ EVIDENCIJSKIH PRIHODA)</v>
      </c>
      <c r="I140" s="79" t="str">
        <f t="shared" si="21"/>
        <v>0150</v>
      </c>
      <c r="J140" s="67">
        <v>9817</v>
      </c>
      <c r="K140" s="67">
        <v>10308</v>
      </c>
      <c r="L140" s="67">
        <v>10823</v>
      </c>
      <c r="M140" s="68"/>
      <c r="N140" s="51"/>
      <c r="O140" s="51" t="str">
        <f t="shared" si="4"/>
        <v>324</v>
      </c>
      <c r="P140" s="51" t="str">
        <f t="shared" si="5"/>
        <v>32</v>
      </c>
      <c r="Q140" s="51" t="str">
        <f t="shared" si="6"/>
        <v>52</v>
      </c>
      <c r="R140" s="51" t="str">
        <f t="shared" si="7"/>
        <v>15</v>
      </c>
      <c r="S140" s="51"/>
      <c r="T140" s="51"/>
      <c r="U140" s="51"/>
      <c r="V140" s="51"/>
      <c r="W140" s="51"/>
      <c r="X140" s="51"/>
      <c r="Y140" s="82"/>
      <c r="Z140" s="51"/>
      <c r="AA140" s="51"/>
      <c r="AB140" s="69" t="s">
        <v>1039</v>
      </c>
      <c r="AC140" s="69" t="s">
        <v>1040</v>
      </c>
      <c r="AD140" s="51" t="s">
        <v>1041</v>
      </c>
      <c r="AE140" s="51" t="s">
        <v>1042</v>
      </c>
      <c r="AF140" s="51" t="s">
        <v>636</v>
      </c>
      <c r="AG140" s="51" t="s">
        <v>1043</v>
      </c>
    </row>
    <row r="141" spans="1:33" ht="15.75" customHeight="1">
      <c r="A141" s="62" t="str">
        <f>IF(C141="","",VLOOKUP('OPĆI DIO'!$C$3,'OPĆI DIO'!$L$6:$U$120,10,FALSE))</f>
        <v>08008</v>
      </c>
      <c r="B141" s="62" t="str">
        <f>IF(C141="","",VLOOKUP('OPĆI DIO'!$C$3,'OPĆI DIO'!$L$6:$U$120,9,FALSE))</f>
        <v>Javni instituti</v>
      </c>
      <c r="C141" s="84">
        <v>52</v>
      </c>
      <c r="D141" s="79" t="str">
        <f t="shared" si="0"/>
        <v>Ostale pomoći</v>
      </c>
      <c r="E141" s="84">
        <v>3293</v>
      </c>
      <c r="F141" s="79" t="str">
        <f t="shared" si="1"/>
        <v>Reprezentacija</v>
      </c>
      <c r="G141" s="84" t="s">
        <v>779</v>
      </c>
      <c r="H141" s="79" t="str">
        <f t="shared" si="20"/>
        <v>REDOVNA DJELATNOST JAVNIH INSTITUTA (IZ EVIDENCIJSKIH PRIHODA)</v>
      </c>
      <c r="I141" s="79" t="str">
        <f t="shared" si="21"/>
        <v>0150</v>
      </c>
      <c r="J141" s="67">
        <v>449</v>
      </c>
      <c r="K141" s="67">
        <v>472</v>
      </c>
      <c r="L141" s="67">
        <v>495</v>
      </c>
      <c r="M141" s="68"/>
      <c r="N141" s="51"/>
      <c r="O141" s="51" t="str">
        <f t="shared" si="4"/>
        <v>329</v>
      </c>
      <c r="P141" s="51" t="str">
        <f t="shared" si="5"/>
        <v>32</v>
      </c>
      <c r="Q141" s="51" t="str">
        <f t="shared" si="6"/>
        <v>52</v>
      </c>
      <c r="R141" s="51" t="str">
        <f t="shared" si="7"/>
        <v>15</v>
      </c>
      <c r="S141" s="51"/>
      <c r="T141" s="51"/>
      <c r="U141" s="51"/>
      <c r="V141" s="51"/>
      <c r="W141" s="51"/>
      <c r="X141" s="51"/>
      <c r="Y141" s="82"/>
      <c r="Z141" s="51"/>
      <c r="AA141" s="51"/>
      <c r="AB141" s="69" t="s">
        <v>1044</v>
      </c>
      <c r="AC141" s="69" t="s">
        <v>1045</v>
      </c>
      <c r="AD141" s="51" t="s">
        <v>634</v>
      </c>
      <c r="AE141" s="51" t="s">
        <v>635</v>
      </c>
      <c r="AF141" s="51" t="s">
        <v>636</v>
      </c>
      <c r="AG141" s="51" t="s">
        <v>637</v>
      </c>
    </row>
    <row r="142" spans="1:33" ht="15.75" customHeight="1">
      <c r="A142" s="62" t="str">
        <f>IF(C142="","",VLOOKUP('OPĆI DIO'!$C$3,'OPĆI DIO'!$L$6:$U$120,10,FALSE))</f>
        <v>08008</v>
      </c>
      <c r="B142" s="62" t="str">
        <f>IF(C142="","",VLOOKUP('OPĆI DIO'!$C$3,'OPĆI DIO'!$L$6:$U$120,9,FALSE))</f>
        <v>Javni instituti</v>
      </c>
      <c r="C142" s="84">
        <v>52</v>
      </c>
      <c r="D142" s="79" t="str">
        <f t="shared" si="0"/>
        <v>Ostale pomoći</v>
      </c>
      <c r="E142" s="84">
        <v>3431</v>
      </c>
      <c r="F142" s="79" t="str">
        <f t="shared" si="1"/>
        <v>Bankarske usluge i usluge platnog prometa</v>
      </c>
      <c r="G142" s="84" t="s">
        <v>779</v>
      </c>
      <c r="H142" s="79" t="str">
        <f t="shared" si="20"/>
        <v>REDOVNA DJELATNOST JAVNIH INSTITUTA (IZ EVIDENCIJSKIH PRIHODA)</v>
      </c>
      <c r="I142" s="79" t="str">
        <f t="shared" si="21"/>
        <v>0150</v>
      </c>
      <c r="J142" s="67">
        <v>14</v>
      </c>
      <c r="K142" s="67">
        <v>14</v>
      </c>
      <c r="L142" s="67">
        <v>15</v>
      </c>
      <c r="M142" s="68"/>
      <c r="N142" s="51"/>
      <c r="O142" s="51" t="str">
        <f t="shared" si="4"/>
        <v>343</v>
      </c>
      <c r="P142" s="51" t="str">
        <f t="shared" si="5"/>
        <v>34</v>
      </c>
      <c r="Q142" s="51" t="str">
        <f t="shared" si="6"/>
        <v>52</v>
      </c>
      <c r="R142" s="51" t="str">
        <f t="shared" si="7"/>
        <v>15</v>
      </c>
      <c r="S142" s="51"/>
      <c r="T142" s="51"/>
      <c r="U142" s="51"/>
      <c r="V142" s="51"/>
      <c r="W142" s="51"/>
      <c r="X142" s="51"/>
      <c r="Y142" s="82"/>
      <c r="Z142" s="51"/>
      <c r="AA142" s="51"/>
      <c r="AB142" s="69" t="s">
        <v>1046</v>
      </c>
      <c r="AC142" s="69" t="s">
        <v>1047</v>
      </c>
      <c r="AD142" s="51" t="s">
        <v>770</v>
      </c>
      <c r="AE142" s="51" t="s">
        <v>771</v>
      </c>
      <c r="AF142" s="51" t="s">
        <v>636</v>
      </c>
      <c r="AG142" s="51" t="s">
        <v>772</v>
      </c>
    </row>
    <row r="143" spans="1:33" ht="15.75" customHeight="1">
      <c r="A143" s="62" t="str">
        <f>IF(C143="","",VLOOKUP('OPĆI DIO'!$C$3,'OPĆI DIO'!$L$6:$U$120,10,FALSE))</f>
        <v>08008</v>
      </c>
      <c r="B143" s="62" t="str">
        <f>IF(C143="","",VLOOKUP('OPĆI DIO'!$C$3,'OPĆI DIO'!$L$6:$U$120,9,FALSE))</f>
        <v>Javni instituti</v>
      </c>
      <c r="C143" s="84">
        <v>52</v>
      </c>
      <c r="D143" s="79" t="str">
        <f t="shared" si="0"/>
        <v>Ostale pomoći</v>
      </c>
      <c r="E143" s="84">
        <v>4221</v>
      </c>
      <c r="F143" s="79" t="str">
        <f t="shared" si="1"/>
        <v>Uredska oprema i namještaj</v>
      </c>
      <c r="G143" s="84" t="s">
        <v>779</v>
      </c>
      <c r="H143" s="79" t="str">
        <f t="shared" si="20"/>
        <v>REDOVNA DJELATNOST JAVNIH INSTITUTA (IZ EVIDENCIJSKIH PRIHODA)</v>
      </c>
      <c r="I143" s="79" t="str">
        <f t="shared" si="21"/>
        <v>0150</v>
      </c>
      <c r="J143" s="67">
        <v>5131</v>
      </c>
      <c r="K143" s="67">
        <v>5387</v>
      </c>
      <c r="L143" s="67">
        <v>5657</v>
      </c>
      <c r="M143" s="68"/>
      <c r="N143" s="51"/>
      <c r="O143" s="51" t="str">
        <f t="shared" si="4"/>
        <v>422</v>
      </c>
      <c r="P143" s="51" t="str">
        <f t="shared" si="5"/>
        <v>42</v>
      </c>
      <c r="Q143" s="51" t="str">
        <f t="shared" si="6"/>
        <v>52</v>
      </c>
      <c r="R143" s="51" t="str">
        <f t="shared" si="7"/>
        <v>15</v>
      </c>
      <c r="S143" s="51"/>
      <c r="T143" s="51"/>
      <c r="U143" s="51"/>
      <c r="V143" s="51"/>
      <c r="W143" s="51"/>
      <c r="X143" s="51"/>
      <c r="Y143" s="82"/>
      <c r="Z143" s="51"/>
      <c r="AA143" s="51"/>
      <c r="AB143" s="69" t="s">
        <v>1048</v>
      </c>
      <c r="AC143" s="69" t="s">
        <v>1049</v>
      </c>
      <c r="AD143" s="51" t="s">
        <v>648</v>
      </c>
      <c r="AE143" s="51" t="s">
        <v>649</v>
      </c>
      <c r="AF143" s="51" t="s">
        <v>636</v>
      </c>
      <c r="AG143" s="51" t="s">
        <v>650</v>
      </c>
    </row>
    <row r="144" spans="1:33" ht="15.75" customHeight="1">
      <c r="A144" s="62" t="str">
        <f>IF(C144="","",VLOOKUP('OPĆI DIO'!$C$3,'OPĆI DIO'!$L$6:$U$120,10,FALSE))</f>
        <v>08008</v>
      </c>
      <c r="B144" s="62" t="str">
        <f>IF(C144="","",VLOOKUP('OPĆI DIO'!$C$3,'OPĆI DIO'!$L$6:$U$120,9,FALSE))</f>
        <v>Javni instituti</v>
      </c>
      <c r="C144" s="84">
        <v>52</v>
      </c>
      <c r="D144" s="79" t="str">
        <f t="shared" si="0"/>
        <v>Ostale pomoći</v>
      </c>
      <c r="E144" s="84">
        <v>4223</v>
      </c>
      <c r="F144" s="79" t="str">
        <f t="shared" si="1"/>
        <v>Oprema za održavanje i zaštitu</v>
      </c>
      <c r="G144" s="84" t="s">
        <v>779</v>
      </c>
      <c r="H144" s="79" t="str">
        <f t="shared" si="20"/>
        <v>REDOVNA DJELATNOST JAVNIH INSTITUTA (IZ EVIDENCIJSKIH PRIHODA)</v>
      </c>
      <c r="I144" s="79" t="str">
        <f t="shared" si="21"/>
        <v>0150</v>
      </c>
      <c r="J144" s="67">
        <v>1358</v>
      </c>
      <c r="K144" s="67">
        <v>1426</v>
      </c>
      <c r="L144" s="67">
        <v>1497</v>
      </c>
      <c r="M144" s="68"/>
      <c r="N144" s="51"/>
      <c r="O144" s="51" t="str">
        <f t="shared" si="4"/>
        <v>422</v>
      </c>
      <c r="P144" s="51" t="str">
        <f t="shared" si="5"/>
        <v>42</v>
      </c>
      <c r="Q144" s="51" t="str">
        <f t="shared" si="6"/>
        <v>52</v>
      </c>
      <c r="R144" s="51" t="str">
        <f t="shared" si="7"/>
        <v>15</v>
      </c>
      <c r="S144" s="51"/>
      <c r="T144" s="51"/>
      <c r="U144" s="51"/>
      <c r="V144" s="51"/>
      <c r="W144" s="51"/>
      <c r="X144" s="51"/>
      <c r="Y144" s="82"/>
      <c r="Z144" s="51"/>
      <c r="AA144" s="51"/>
      <c r="AB144" s="69" t="s">
        <v>1050</v>
      </c>
      <c r="AC144" s="69" t="s">
        <v>1051</v>
      </c>
      <c r="AD144" s="51" t="s">
        <v>634</v>
      </c>
      <c r="AE144" s="51" t="s">
        <v>635</v>
      </c>
      <c r="AF144" s="51" t="s">
        <v>636</v>
      </c>
      <c r="AG144" s="51" t="s">
        <v>637</v>
      </c>
    </row>
    <row r="145" spans="1:33" ht="15.75" customHeight="1">
      <c r="A145" s="62" t="str">
        <f>IF(C145="","",VLOOKUP('OPĆI DIO'!$C$3,'OPĆI DIO'!$L$6:$U$120,10,FALSE))</f>
        <v>08008</v>
      </c>
      <c r="B145" s="62" t="str">
        <f>IF(C145="","",VLOOKUP('OPĆI DIO'!$C$3,'OPĆI DIO'!$L$6:$U$120,9,FALSE))</f>
        <v>Javni instituti</v>
      </c>
      <c r="C145" s="84">
        <v>52</v>
      </c>
      <c r="D145" s="79" t="str">
        <f t="shared" si="0"/>
        <v>Ostale pomoći</v>
      </c>
      <c r="E145" s="84">
        <v>4224</v>
      </c>
      <c r="F145" s="79" t="str">
        <f t="shared" si="1"/>
        <v>Medicinska i laboratorijska oprema</v>
      </c>
      <c r="G145" s="84" t="s">
        <v>779</v>
      </c>
      <c r="H145" s="79" t="str">
        <f t="shared" si="20"/>
        <v>REDOVNA DJELATNOST JAVNIH INSTITUTA (IZ EVIDENCIJSKIH PRIHODA)</v>
      </c>
      <c r="I145" s="79" t="str">
        <f t="shared" si="21"/>
        <v>0150</v>
      </c>
      <c r="J145" s="67">
        <v>2018</v>
      </c>
      <c r="K145" s="67">
        <v>2119</v>
      </c>
      <c r="L145" s="67">
        <v>2225</v>
      </c>
      <c r="M145" s="68"/>
      <c r="N145" s="51"/>
      <c r="O145" s="51" t="str">
        <f t="shared" si="4"/>
        <v>422</v>
      </c>
      <c r="P145" s="51" t="str">
        <f t="shared" si="5"/>
        <v>42</v>
      </c>
      <c r="Q145" s="51" t="str">
        <f t="shared" si="6"/>
        <v>52</v>
      </c>
      <c r="R145" s="51" t="str">
        <f t="shared" si="7"/>
        <v>15</v>
      </c>
      <c r="S145" s="51"/>
      <c r="T145" s="51"/>
      <c r="U145" s="51"/>
      <c r="V145" s="51"/>
      <c r="W145" s="51"/>
      <c r="X145" s="51"/>
      <c r="Y145" s="82"/>
      <c r="Z145" s="51"/>
      <c r="AA145" s="51"/>
      <c r="AB145" s="69" t="s">
        <v>1052</v>
      </c>
      <c r="AC145" s="69" t="s">
        <v>1053</v>
      </c>
      <c r="AD145" s="51" t="s">
        <v>641</v>
      </c>
      <c r="AE145" s="51" t="s">
        <v>642</v>
      </c>
      <c r="AF145" s="51" t="s">
        <v>643</v>
      </c>
      <c r="AG145" s="51" t="s">
        <v>644</v>
      </c>
    </row>
    <row r="146" spans="1:33" s="272" customFormat="1" ht="15.75" customHeight="1">
      <c r="A146" s="280" t="str">
        <f>IF(C146="","",VLOOKUP('OPĆI DIO'!$C$3,'OPĆI DIO'!$L$6:$U$120,10,FALSE))</f>
        <v>08008</v>
      </c>
      <c r="B146" s="280" t="str">
        <f>IF(C146="","",VLOOKUP('OPĆI DIO'!$C$3,'OPĆI DIO'!$L$6:$U$120,9,FALSE))</f>
        <v>Javni instituti</v>
      </c>
      <c r="C146" s="281">
        <v>11</v>
      </c>
      <c r="D146" s="282" t="str">
        <f t="shared" si="0"/>
        <v>Opći prihodi i primici</v>
      </c>
      <c r="E146" s="281">
        <v>3224</v>
      </c>
      <c r="F146" s="282" t="str">
        <f t="shared" si="1"/>
        <v>Materijal i dijelovi za tekuće i investicijsko održavanje</v>
      </c>
      <c r="G146" s="281" t="s">
        <v>5410</v>
      </c>
      <c r="H146" s="282" t="s">
        <v>1049</v>
      </c>
      <c r="I146" s="282" t="str">
        <f t="shared" si="21"/>
        <v/>
      </c>
      <c r="J146" s="279">
        <v>2658</v>
      </c>
      <c r="K146" s="279"/>
      <c r="L146" s="279"/>
      <c r="M146" s="270"/>
      <c r="N146" s="271"/>
      <c r="O146" s="271" t="str">
        <f t="shared" si="4"/>
        <v>322</v>
      </c>
      <c r="P146" s="271" t="str">
        <f t="shared" si="5"/>
        <v>32</v>
      </c>
      <c r="Q146" s="271" t="str">
        <f t="shared" si="6"/>
        <v>11</v>
      </c>
      <c r="R146" s="271" t="str">
        <f t="shared" si="7"/>
        <v/>
      </c>
      <c r="S146" s="271"/>
      <c r="T146" s="271"/>
      <c r="U146" s="271"/>
      <c r="V146" s="271"/>
      <c r="W146" s="271"/>
      <c r="X146" s="271"/>
      <c r="Y146" s="271"/>
      <c r="Z146" s="271"/>
      <c r="AA146" s="271"/>
      <c r="AB146" s="283" t="s">
        <v>1055</v>
      </c>
      <c r="AC146" s="283" t="s">
        <v>1056</v>
      </c>
      <c r="AD146" s="271" t="s">
        <v>648</v>
      </c>
      <c r="AE146" s="271" t="s">
        <v>649</v>
      </c>
      <c r="AF146" s="271" t="s">
        <v>636</v>
      </c>
      <c r="AG146" s="271" t="s">
        <v>650</v>
      </c>
    </row>
    <row r="147" spans="1:33" s="272" customFormat="1" ht="15.75" customHeight="1">
      <c r="A147" s="280" t="str">
        <f>IF(C147="","",VLOOKUP('OPĆI DIO'!$C$3,'OPĆI DIO'!$L$6:$U$120,10,FALSE))</f>
        <v>08008</v>
      </c>
      <c r="B147" s="280" t="str">
        <f>IF(C147="","",VLOOKUP('OPĆI DIO'!$C$3,'OPĆI DIO'!$L$6:$U$120,9,FALSE))</f>
        <v>Javni instituti</v>
      </c>
      <c r="C147" s="281">
        <v>5762</v>
      </c>
      <c r="D147" s="282" t="str">
        <f t="shared" ref="D147:D148" si="22">IFERROR(VLOOKUP(C147,$S$6:$T$24,2,FALSE),"")</f>
        <v>Fond solidarnosti Europske unije – potres</v>
      </c>
      <c r="E147" s="281">
        <v>3224</v>
      </c>
      <c r="F147" s="282" t="str">
        <f t="shared" ref="F147:F148" si="23">IFERROR(VLOOKUP(E147,$V$5:$X$129,2,FALSE),"")</f>
        <v>Materijal i dijelovi za tekuće i investicijsko održavanje</v>
      </c>
      <c r="G147" s="281" t="s">
        <v>5410</v>
      </c>
      <c r="H147" s="282" t="s">
        <v>1049</v>
      </c>
      <c r="I147" s="282" t="str">
        <f t="shared" si="21"/>
        <v/>
      </c>
      <c r="J147" s="279">
        <v>13573.376298794146</v>
      </c>
      <c r="K147" s="279"/>
      <c r="L147" s="279"/>
      <c r="M147" s="270"/>
      <c r="N147" s="271"/>
      <c r="O147" s="271" t="str">
        <f t="shared" ref="O147:O148" si="24">LEFT(E147,3)</f>
        <v>322</v>
      </c>
      <c r="P147" s="271" t="str">
        <f t="shared" ref="P147:P148" si="25">LEFT(E147,2)</f>
        <v>32</v>
      </c>
      <c r="Q147" s="271" t="str">
        <f t="shared" ref="Q147:Q148" si="26">LEFT(C147,3)</f>
        <v>576</v>
      </c>
      <c r="R147" s="271" t="str">
        <f t="shared" ref="R147:R148" si="27">MID(I147,2,2)</f>
        <v/>
      </c>
      <c r="S147" s="271"/>
      <c r="T147" s="271"/>
      <c r="U147" s="271"/>
      <c r="V147" s="271"/>
      <c r="W147" s="271"/>
      <c r="X147" s="271"/>
      <c r="Y147" s="271"/>
      <c r="Z147" s="271"/>
      <c r="AA147" s="271"/>
      <c r="AB147" s="283" t="s">
        <v>1055</v>
      </c>
      <c r="AC147" s="283" t="s">
        <v>1056</v>
      </c>
      <c r="AD147" s="271" t="s">
        <v>648</v>
      </c>
      <c r="AE147" s="271" t="s">
        <v>649</v>
      </c>
      <c r="AF147" s="271" t="s">
        <v>636</v>
      </c>
      <c r="AG147" s="271" t="s">
        <v>650</v>
      </c>
    </row>
    <row r="148" spans="1:33" s="272" customFormat="1" ht="15.75" customHeight="1">
      <c r="A148" s="280" t="str">
        <f>IF(C148="","",VLOOKUP('OPĆI DIO'!$C$3,'OPĆI DIO'!$L$6:$U$120,10,FALSE))</f>
        <v>08008</v>
      </c>
      <c r="B148" s="280" t="str">
        <f>IF(C148="","",VLOOKUP('OPĆI DIO'!$C$3,'OPĆI DIO'!$L$6:$U$120,9,FALSE))</f>
        <v>Javni instituti</v>
      </c>
      <c r="C148" s="281">
        <v>5762</v>
      </c>
      <c r="D148" s="282" t="str">
        <f t="shared" si="22"/>
        <v>Fond solidarnosti Europske unije – potres</v>
      </c>
      <c r="E148" s="281">
        <v>4214</v>
      </c>
      <c r="F148" s="282" t="str">
        <f t="shared" si="23"/>
        <v>Ostali građevinski objekti</v>
      </c>
      <c r="G148" s="281" t="s">
        <v>5410</v>
      </c>
      <c r="H148" s="282" t="s">
        <v>1049</v>
      </c>
      <c r="I148" s="282" t="str">
        <f t="shared" si="21"/>
        <v/>
      </c>
      <c r="J148" s="279">
        <v>35871.237555921427</v>
      </c>
      <c r="K148" s="279"/>
      <c r="L148" s="279"/>
      <c r="M148" s="270"/>
      <c r="N148" s="271"/>
      <c r="O148" s="271" t="str">
        <f t="shared" si="24"/>
        <v>421</v>
      </c>
      <c r="P148" s="271" t="str">
        <f t="shared" si="25"/>
        <v>42</v>
      </c>
      <c r="Q148" s="271" t="str">
        <f t="shared" si="26"/>
        <v>576</v>
      </c>
      <c r="R148" s="271" t="str">
        <f t="shared" si="27"/>
        <v/>
      </c>
      <c r="S148" s="271"/>
      <c r="T148" s="271"/>
      <c r="U148" s="271"/>
      <c r="V148" s="271"/>
      <c r="W148" s="271"/>
      <c r="X148" s="271"/>
      <c r="Y148" s="271"/>
      <c r="Z148" s="271"/>
      <c r="AA148" s="271"/>
      <c r="AB148" s="283" t="s">
        <v>1055</v>
      </c>
      <c r="AC148" s="283" t="s">
        <v>1056</v>
      </c>
      <c r="AD148" s="271" t="s">
        <v>648</v>
      </c>
      <c r="AE148" s="271" t="s">
        <v>649</v>
      </c>
      <c r="AF148" s="271" t="s">
        <v>636</v>
      </c>
      <c r="AG148" s="271" t="s">
        <v>650</v>
      </c>
    </row>
    <row r="149" spans="1:33" s="272" customFormat="1" ht="15.75" customHeight="1">
      <c r="A149" s="280" t="str">
        <f>IF(C149="","",VLOOKUP('OPĆI DIO'!$C$3,'OPĆI DIO'!$L$6:$U$120,10,FALSE))</f>
        <v>08008</v>
      </c>
      <c r="B149" s="280" t="str">
        <f>IF(C149="","",VLOOKUP('OPĆI DIO'!$C$3,'OPĆI DIO'!$L$6:$U$120,9,FALSE))</f>
        <v>Javni instituti</v>
      </c>
      <c r="C149" s="281">
        <v>5762</v>
      </c>
      <c r="D149" s="282" t="str">
        <f t="shared" ref="D149:D151" si="28">IFERROR(VLOOKUP(C149,$S$6:$T$24,2,FALSE),"")</f>
        <v>Fond solidarnosti Europske unije – potres</v>
      </c>
      <c r="E149" s="281">
        <v>4214</v>
      </c>
      <c r="F149" s="282" t="str">
        <f t="shared" ref="F149:F151" si="29">IFERROR(VLOOKUP(E149,$V$5:$X$129,2,FALSE),"")</f>
        <v>Ostali građevinski objekti</v>
      </c>
      <c r="G149" s="281" t="s">
        <v>5410</v>
      </c>
      <c r="H149" s="282" t="s">
        <v>1049</v>
      </c>
      <c r="I149" s="282" t="str">
        <f t="shared" si="21"/>
        <v/>
      </c>
      <c r="J149" s="279">
        <v>22530.005195026824</v>
      </c>
      <c r="K149" s="279"/>
      <c r="L149" s="279"/>
      <c r="M149" s="270"/>
      <c r="N149" s="271"/>
      <c r="O149" s="271" t="str">
        <f t="shared" ref="O149:O151" si="30">LEFT(E149,3)</f>
        <v>421</v>
      </c>
      <c r="P149" s="271" t="str">
        <f t="shared" ref="P149:P151" si="31">LEFT(E149,2)</f>
        <v>42</v>
      </c>
      <c r="Q149" s="271" t="str">
        <f t="shared" ref="Q149:Q151" si="32">LEFT(C149,3)</f>
        <v>576</v>
      </c>
      <c r="R149" s="271" t="str">
        <f t="shared" ref="R149:R151" si="33">MID(I149,2,2)</f>
        <v/>
      </c>
      <c r="S149" s="271"/>
      <c r="T149" s="271"/>
      <c r="U149" s="271"/>
      <c r="V149" s="271"/>
      <c r="W149" s="271"/>
      <c r="X149" s="271"/>
      <c r="Y149" s="271"/>
      <c r="Z149" s="271"/>
      <c r="AA149" s="271"/>
      <c r="AB149" s="283" t="s">
        <v>1055</v>
      </c>
      <c r="AC149" s="283" t="s">
        <v>1056</v>
      </c>
      <c r="AD149" s="271" t="s">
        <v>648</v>
      </c>
      <c r="AE149" s="271" t="s">
        <v>649</v>
      </c>
      <c r="AF149" s="271" t="s">
        <v>636</v>
      </c>
      <c r="AG149" s="271" t="s">
        <v>650</v>
      </c>
    </row>
    <row r="150" spans="1:33" s="272" customFormat="1" ht="15.75" customHeight="1">
      <c r="A150" s="280" t="str">
        <f>IF(C150="","",VLOOKUP('OPĆI DIO'!$C$3,'OPĆI DIO'!$L$6:$U$120,10,FALSE))</f>
        <v>08008</v>
      </c>
      <c r="B150" s="280" t="str">
        <f>IF(C150="","",VLOOKUP('OPĆI DIO'!$C$3,'OPĆI DIO'!$L$6:$U$120,9,FALSE))</f>
        <v>Javni instituti</v>
      </c>
      <c r="C150" s="281">
        <v>5762</v>
      </c>
      <c r="D150" s="282" t="str">
        <f t="shared" si="28"/>
        <v>Fond solidarnosti Europske unije – potres</v>
      </c>
      <c r="E150" s="281">
        <v>4214</v>
      </c>
      <c r="F150" s="282" t="str">
        <f t="shared" si="29"/>
        <v>Ostali građevinski objekti</v>
      </c>
      <c r="G150" s="281" t="s">
        <v>5410</v>
      </c>
      <c r="H150" s="282" t="s">
        <v>1049</v>
      </c>
      <c r="I150" s="282" t="str">
        <f t="shared" si="21"/>
        <v/>
      </c>
      <c r="J150" s="279">
        <v>40229.527026917873</v>
      </c>
      <c r="K150" s="279"/>
      <c r="L150" s="279"/>
      <c r="M150" s="270"/>
      <c r="N150" s="271"/>
      <c r="O150" s="271" t="str">
        <f t="shared" si="30"/>
        <v>421</v>
      </c>
      <c r="P150" s="271" t="str">
        <f t="shared" si="31"/>
        <v>42</v>
      </c>
      <c r="Q150" s="271" t="str">
        <f t="shared" si="32"/>
        <v>576</v>
      </c>
      <c r="R150" s="271" t="str">
        <f t="shared" si="33"/>
        <v/>
      </c>
      <c r="S150" s="271"/>
      <c r="T150" s="271"/>
      <c r="U150" s="271"/>
      <c r="V150" s="271"/>
      <c r="W150" s="271"/>
      <c r="X150" s="271"/>
      <c r="Y150" s="271"/>
      <c r="Z150" s="271"/>
      <c r="AA150" s="271"/>
      <c r="AB150" s="283" t="s">
        <v>1055</v>
      </c>
      <c r="AC150" s="283" t="s">
        <v>1056</v>
      </c>
      <c r="AD150" s="271" t="s">
        <v>648</v>
      </c>
      <c r="AE150" s="271" t="s">
        <v>649</v>
      </c>
      <c r="AF150" s="271" t="s">
        <v>636</v>
      </c>
      <c r="AG150" s="271" t="s">
        <v>650</v>
      </c>
    </row>
    <row r="151" spans="1:33" s="272" customFormat="1" ht="15.75" customHeight="1">
      <c r="A151" s="280" t="str">
        <f>IF(C151="","",VLOOKUP('OPĆI DIO'!$C$3,'OPĆI DIO'!$L$6:$U$120,10,FALSE))</f>
        <v>08008</v>
      </c>
      <c r="B151" s="280" t="str">
        <f>IF(C151="","",VLOOKUP('OPĆI DIO'!$C$3,'OPĆI DIO'!$L$6:$U$120,9,FALSE))</f>
        <v>Javni instituti</v>
      </c>
      <c r="C151" s="281">
        <v>5762</v>
      </c>
      <c r="D151" s="282" t="str">
        <f t="shared" si="28"/>
        <v>Fond solidarnosti Europske unije – potres</v>
      </c>
      <c r="E151" s="281">
        <v>4214</v>
      </c>
      <c r="F151" s="282" t="str">
        <f t="shared" si="29"/>
        <v>Ostali građevinski objekti</v>
      </c>
      <c r="G151" s="281" t="s">
        <v>5410</v>
      </c>
      <c r="H151" s="282" t="s">
        <v>1049</v>
      </c>
      <c r="I151" s="282" t="str">
        <f t="shared" si="21"/>
        <v/>
      </c>
      <c r="J151" s="279">
        <v>111997.85392333989</v>
      </c>
      <c r="K151" s="279"/>
      <c r="L151" s="279"/>
      <c r="M151" s="270"/>
      <c r="N151" s="271"/>
      <c r="O151" s="271" t="str">
        <f t="shared" si="30"/>
        <v>421</v>
      </c>
      <c r="P151" s="271" t="str">
        <f t="shared" si="31"/>
        <v>42</v>
      </c>
      <c r="Q151" s="271" t="str">
        <f t="shared" si="32"/>
        <v>576</v>
      </c>
      <c r="R151" s="271" t="str">
        <f t="shared" si="33"/>
        <v/>
      </c>
      <c r="S151" s="271"/>
      <c r="T151" s="271"/>
      <c r="U151" s="271"/>
      <c r="V151" s="271"/>
      <c r="W151" s="271"/>
      <c r="X151" s="271"/>
      <c r="Y151" s="271"/>
      <c r="Z151" s="271"/>
      <c r="AA151" s="271"/>
      <c r="AB151" s="283" t="s">
        <v>1055</v>
      </c>
      <c r="AC151" s="283" t="s">
        <v>1056</v>
      </c>
      <c r="AD151" s="271" t="s">
        <v>648</v>
      </c>
      <c r="AE151" s="271" t="s">
        <v>649</v>
      </c>
      <c r="AF151" s="271" t="s">
        <v>636</v>
      </c>
      <c r="AG151" s="271" t="s">
        <v>650</v>
      </c>
    </row>
    <row r="152" spans="1:33" ht="15.75" customHeight="1">
      <c r="A152" s="62" t="str">
        <f>IF(C152="","",VLOOKUP('OPĆI DIO'!$C$3,'OPĆI DIO'!$L$6:$U$120,10,FALSE))</f>
        <v>08008</v>
      </c>
      <c r="B152" s="62" t="str">
        <f>IF(C152="","",VLOOKUP('OPĆI DIO'!$C$3,'OPĆI DIO'!$L$6:$U$120,9,FALSE))</f>
        <v>Javni instituti</v>
      </c>
      <c r="C152" s="84">
        <v>61</v>
      </c>
      <c r="D152" s="79" t="str">
        <f t="shared" ref="D152:D183" si="34">IFERROR(VLOOKUP(C152,$S$6:$T$24,2,FALSE),"")</f>
        <v>Donacije</v>
      </c>
      <c r="E152" s="84">
        <v>3111</v>
      </c>
      <c r="F152" s="79" t="str">
        <f t="shared" ref="F152:F183" si="35">IFERROR(VLOOKUP(E152,$V$5:$X$129,2,FALSE),"")</f>
        <v>Plaće za redovan rad</v>
      </c>
      <c r="G152" s="84" t="s">
        <v>779</v>
      </c>
      <c r="H152" s="79" t="str">
        <f t="shared" ref="H152:H183" si="36">IFERROR(VLOOKUP(G152,$AB$6:$AC$332,2,FALSE),"")</f>
        <v>REDOVNA DJELATNOST JAVNIH INSTITUTA (IZ EVIDENCIJSKIH PRIHODA)</v>
      </c>
      <c r="I152" s="79" t="str">
        <f t="shared" ref="I152:I183" si="37">IFERROR(VLOOKUP(G152,$AB$6:$AF$332,3,FALSE),"")</f>
        <v>0150</v>
      </c>
      <c r="J152" s="67">
        <v>28350</v>
      </c>
      <c r="K152" s="67">
        <v>16689</v>
      </c>
      <c r="L152" s="67">
        <v>28859</v>
      </c>
      <c r="M152" s="68"/>
      <c r="N152" s="51"/>
      <c r="O152" s="51" t="str">
        <f t="shared" si="4"/>
        <v>311</v>
      </c>
      <c r="P152" s="51" t="str">
        <f t="shared" si="5"/>
        <v>31</v>
      </c>
      <c r="Q152" s="51" t="str">
        <f t="shared" si="6"/>
        <v>61</v>
      </c>
      <c r="R152" s="51" t="str">
        <f t="shared" si="7"/>
        <v>15</v>
      </c>
      <c r="S152" s="51"/>
      <c r="T152" s="51"/>
      <c r="U152" s="51"/>
      <c r="V152" s="51"/>
      <c r="W152" s="51"/>
      <c r="X152" s="51"/>
      <c r="Y152" s="82"/>
      <c r="Z152" s="51"/>
      <c r="AA152" s="51"/>
      <c r="AB152" s="69" t="s">
        <v>1057</v>
      </c>
      <c r="AC152" s="69" t="s">
        <v>1058</v>
      </c>
      <c r="AD152" s="51" t="s">
        <v>1041</v>
      </c>
      <c r="AE152" s="51" t="s">
        <v>1042</v>
      </c>
      <c r="AF152" s="51" t="s">
        <v>636</v>
      </c>
      <c r="AG152" s="51" t="s">
        <v>1043</v>
      </c>
    </row>
    <row r="153" spans="1:33" ht="15.75" customHeight="1">
      <c r="A153" s="62" t="str">
        <f>IF(C153="","",VLOOKUP('OPĆI DIO'!$C$3,'OPĆI DIO'!$L$6:$U$120,10,FALSE))</f>
        <v>08008</v>
      </c>
      <c r="B153" s="62" t="str">
        <f>IF(C153="","",VLOOKUP('OPĆI DIO'!$C$3,'OPĆI DIO'!$L$6:$U$120,9,FALSE))</f>
        <v>Javni instituti</v>
      </c>
      <c r="C153" s="84">
        <v>61</v>
      </c>
      <c r="D153" s="79" t="str">
        <f t="shared" si="34"/>
        <v>Donacije</v>
      </c>
      <c r="E153" s="84">
        <v>3222</v>
      </c>
      <c r="F153" s="79" t="str">
        <f t="shared" si="35"/>
        <v>Materijal i sirovine</v>
      </c>
      <c r="G153" s="84" t="s">
        <v>779</v>
      </c>
      <c r="H153" s="79" t="str">
        <f t="shared" si="36"/>
        <v>REDOVNA DJELATNOST JAVNIH INSTITUTA (IZ EVIDENCIJSKIH PRIHODA)</v>
      </c>
      <c r="I153" s="79" t="str">
        <f t="shared" si="37"/>
        <v>0150</v>
      </c>
      <c r="J153" s="67">
        <v>14842</v>
      </c>
      <c r="K153" s="67">
        <v>8737</v>
      </c>
      <c r="L153" s="67">
        <v>15108</v>
      </c>
      <c r="M153" s="68"/>
      <c r="N153" s="51"/>
      <c r="O153" s="51" t="str">
        <f t="shared" si="4"/>
        <v>322</v>
      </c>
      <c r="P153" s="51" t="str">
        <f t="shared" si="5"/>
        <v>32</v>
      </c>
      <c r="Q153" s="51" t="str">
        <f t="shared" si="6"/>
        <v>61</v>
      </c>
      <c r="R153" s="51" t="str">
        <f t="shared" si="7"/>
        <v>15</v>
      </c>
      <c r="S153" s="51"/>
      <c r="T153" s="51"/>
      <c r="U153" s="51"/>
      <c r="V153" s="51"/>
      <c r="W153" s="51"/>
      <c r="X153" s="51"/>
      <c r="Y153" s="82"/>
      <c r="Z153" s="51"/>
      <c r="AA153" s="51"/>
      <c r="AB153" s="69" t="s">
        <v>1059</v>
      </c>
      <c r="AC153" s="69" t="s">
        <v>1060</v>
      </c>
      <c r="AD153" s="51" t="s">
        <v>648</v>
      </c>
      <c r="AE153" s="51" t="s">
        <v>649</v>
      </c>
      <c r="AF153" s="51" t="s">
        <v>636</v>
      </c>
      <c r="AG153" s="51" t="s">
        <v>650</v>
      </c>
    </row>
    <row r="154" spans="1:33" ht="15.75" customHeight="1">
      <c r="A154" s="62" t="str">
        <f>IF(C154="","",VLOOKUP('OPĆI DIO'!$C$3,'OPĆI DIO'!$L$6:$U$120,10,FALSE))</f>
        <v>08008</v>
      </c>
      <c r="B154" s="62" t="str">
        <f>IF(C154="","",VLOOKUP('OPĆI DIO'!$C$3,'OPĆI DIO'!$L$6:$U$120,9,FALSE))</f>
        <v>Javni instituti</v>
      </c>
      <c r="C154" s="84">
        <v>61</v>
      </c>
      <c r="D154" s="79" t="str">
        <f t="shared" si="34"/>
        <v>Donacije</v>
      </c>
      <c r="E154" s="84">
        <v>3222</v>
      </c>
      <c r="F154" s="79" t="str">
        <f t="shared" si="35"/>
        <v>Materijal i sirovine</v>
      </c>
      <c r="G154" s="84" t="s">
        <v>779</v>
      </c>
      <c r="H154" s="79" t="str">
        <f t="shared" si="36"/>
        <v>REDOVNA DJELATNOST JAVNIH INSTITUTA (IZ EVIDENCIJSKIH PRIHODA)</v>
      </c>
      <c r="I154" s="79" t="str">
        <f t="shared" si="37"/>
        <v>0150</v>
      </c>
      <c r="J154" s="67">
        <v>6636</v>
      </c>
      <c r="K154" s="67">
        <v>7300</v>
      </c>
      <c r="L154" s="67">
        <v>8030</v>
      </c>
      <c r="M154" s="68"/>
      <c r="N154" s="51"/>
      <c r="O154" s="51" t="str">
        <f t="shared" si="4"/>
        <v>322</v>
      </c>
      <c r="P154" s="51" t="str">
        <f t="shared" si="5"/>
        <v>32</v>
      </c>
      <c r="Q154" s="51" t="str">
        <f t="shared" si="6"/>
        <v>61</v>
      </c>
      <c r="R154" s="51" t="str">
        <f t="shared" si="7"/>
        <v>15</v>
      </c>
      <c r="S154" s="51"/>
      <c r="T154" s="51"/>
      <c r="U154" s="51"/>
      <c r="V154" s="51"/>
      <c r="W154" s="51"/>
      <c r="X154" s="51"/>
      <c r="Y154" s="82"/>
      <c r="Z154" s="51"/>
      <c r="AA154" s="51"/>
      <c r="AB154" s="69" t="s">
        <v>1061</v>
      </c>
      <c r="AC154" s="69" t="s">
        <v>1062</v>
      </c>
      <c r="AD154" s="51" t="s">
        <v>668</v>
      </c>
      <c r="AE154" s="51" t="s">
        <v>669</v>
      </c>
      <c r="AF154" s="51" t="s">
        <v>636</v>
      </c>
      <c r="AG154" s="51" t="s">
        <v>670</v>
      </c>
    </row>
    <row r="155" spans="1:33" ht="15.75" customHeight="1">
      <c r="A155" s="62" t="str">
        <f>IF(C155="","",VLOOKUP('OPĆI DIO'!$C$3,'OPĆI DIO'!$L$6:$U$120,10,FALSE))</f>
        <v>08008</v>
      </c>
      <c r="B155" s="62" t="str">
        <f>IF(C155="","",VLOOKUP('OPĆI DIO'!$C$3,'OPĆI DIO'!$L$6:$U$120,9,FALSE))</f>
        <v>Javni instituti</v>
      </c>
      <c r="C155" s="84">
        <v>61</v>
      </c>
      <c r="D155" s="79" t="str">
        <f t="shared" si="34"/>
        <v>Donacije</v>
      </c>
      <c r="E155" s="84">
        <v>4224</v>
      </c>
      <c r="F155" s="79" t="str">
        <f t="shared" si="35"/>
        <v>Medicinska i laboratorijska oprema</v>
      </c>
      <c r="G155" s="84" t="s">
        <v>779</v>
      </c>
      <c r="H155" s="79" t="str">
        <f t="shared" si="36"/>
        <v>REDOVNA DJELATNOST JAVNIH INSTITUTA (IZ EVIDENCIJSKIH PRIHODA)</v>
      </c>
      <c r="I155" s="79" t="str">
        <f t="shared" si="37"/>
        <v>0150</v>
      </c>
      <c r="J155" s="67">
        <v>6520</v>
      </c>
      <c r="K155" s="67">
        <v>3838</v>
      </c>
      <c r="L155" s="67">
        <v>6637</v>
      </c>
      <c r="M155" s="68"/>
      <c r="N155" s="80"/>
      <c r="O155" s="51" t="str">
        <f t="shared" si="4"/>
        <v>422</v>
      </c>
      <c r="P155" s="51" t="str">
        <f t="shared" si="5"/>
        <v>42</v>
      </c>
      <c r="Q155" s="51" t="str">
        <f t="shared" si="6"/>
        <v>61</v>
      </c>
      <c r="R155" s="51" t="str">
        <f t="shared" si="7"/>
        <v>15</v>
      </c>
      <c r="S155" s="51"/>
      <c r="T155" s="51"/>
      <c r="U155" s="51"/>
      <c r="V155" s="51"/>
      <c r="W155" s="51"/>
      <c r="X155" s="51"/>
      <c r="Y155" s="82"/>
      <c r="Z155" s="51"/>
      <c r="AA155" s="51"/>
      <c r="AB155" s="69" t="s">
        <v>1063</v>
      </c>
      <c r="AC155" s="69" t="s">
        <v>1064</v>
      </c>
      <c r="AD155" s="51" t="s">
        <v>668</v>
      </c>
      <c r="AE155" s="51" t="s">
        <v>669</v>
      </c>
      <c r="AF155" s="51" t="s">
        <v>636</v>
      </c>
      <c r="AG155" s="51" t="s">
        <v>670</v>
      </c>
    </row>
    <row r="156" spans="1:33" ht="15.75" customHeight="1">
      <c r="A156" s="62" t="str">
        <f>IF(C156="","",VLOOKUP('OPĆI DIO'!$C$3,'OPĆI DIO'!$L$6:$U$120,10,FALSE))</f>
        <v>08008</v>
      </c>
      <c r="B156" s="62" t="str">
        <f>IF(C156="","",VLOOKUP('OPĆI DIO'!$C$3,'OPĆI DIO'!$L$6:$U$120,9,FALSE))</f>
        <v>Javni instituti</v>
      </c>
      <c r="C156" s="84">
        <v>61</v>
      </c>
      <c r="D156" s="79" t="str">
        <f t="shared" si="34"/>
        <v>Donacije</v>
      </c>
      <c r="E156" s="84">
        <v>3132</v>
      </c>
      <c r="F156" s="79" t="str">
        <f t="shared" si="35"/>
        <v>Doprinosi za obvezno zdravstveno osiguranje</v>
      </c>
      <c r="G156" s="84" t="s">
        <v>779</v>
      </c>
      <c r="H156" s="79" t="str">
        <f t="shared" si="36"/>
        <v>REDOVNA DJELATNOST JAVNIH INSTITUTA (IZ EVIDENCIJSKIH PRIHODA)</v>
      </c>
      <c r="I156" s="79" t="str">
        <f t="shared" si="37"/>
        <v>0150</v>
      </c>
      <c r="J156" s="67">
        <v>3713</v>
      </c>
      <c r="K156" s="67">
        <v>2186</v>
      </c>
      <c r="L156" s="67">
        <v>3780</v>
      </c>
      <c r="M156" s="68"/>
      <c r="N156" s="80"/>
      <c r="O156" s="51" t="str">
        <f t="shared" si="4"/>
        <v>313</v>
      </c>
      <c r="P156" s="51" t="str">
        <f t="shared" si="5"/>
        <v>31</v>
      </c>
      <c r="Q156" s="51" t="str">
        <f t="shared" si="6"/>
        <v>61</v>
      </c>
      <c r="R156" s="51" t="str">
        <f t="shared" si="7"/>
        <v>15</v>
      </c>
      <c r="S156" s="51"/>
      <c r="T156" s="51"/>
      <c r="U156" s="51"/>
      <c r="V156" s="51"/>
      <c r="W156" s="51"/>
      <c r="X156" s="51"/>
      <c r="Y156" s="82"/>
      <c r="Z156" s="51"/>
      <c r="AA156" s="51"/>
      <c r="AB156" s="69" t="s">
        <v>1065</v>
      </c>
      <c r="AC156" s="69" t="s">
        <v>1066</v>
      </c>
      <c r="AD156" s="51" t="s">
        <v>668</v>
      </c>
      <c r="AE156" s="51" t="s">
        <v>669</v>
      </c>
      <c r="AF156" s="51" t="s">
        <v>636</v>
      </c>
      <c r="AG156" s="51" t="s">
        <v>670</v>
      </c>
    </row>
    <row r="157" spans="1:33" ht="15.75" customHeight="1">
      <c r="A157" s="62" t="str">
        <f>IF(C157="","",VLOOKUP('OPĆI DIO'!$C$3,'OPĆI DIO'!$L$6:$U$120,10,FALSE))</f>
        <v>08008</v>
      </c>
      <c r="B157" s="62" t="str">
        <f>IF(C157="","",VLOOKUP('OPĆI DIO'!$C$3,'OPĆI DIO'!$L$6:$U$120,9,FALSE))</f>
        <v>Javni instituti</v>
      </c>
      <c r="C157" s="84">
        <v>61</v>
      </c>
      <c r="D157" s="79" t="str">
        <f t="shared" si="34"/>
        <v>Donacije</v>
      </c>
      <c r="E157" s="84">
        <v>3237</v>
      </c>
      <c r="F157" s="79" t="str">
        <f t="shared" si="35"/>
        <v>Intelektualne i osobne usluge</v>
      </c>
      <c r="G157" s="84" t="s">
        <v>779</v>
      </c>
      <c r="H157" s="79" t="str">
        <f t="shared" si="36"/>
        <v>REDOVNA DJELATNOST JAVNIH INSTITUTA (IZ EVIDENCIJSKIH PRIHODA)</v>
      </c>
      <c r="I157" s="79" t="str">
        <f t="shared" si="37"/>
        <v>0150</v>
      </c>
      <c r="J157" s="67">
        <v>3184</v>
      </c>
      <c r="K157" s="67">
        <v>1875</v>
      </c>
      <c r="L157" s="67">
        <v>3242</v>
      </c>
      <c r="M157" s="68"/>
      <c r="N157" s="80"/>
      <c r="O157" s="51" t="str">
        <f t="shared" si="4"/>
        <v>323</v>
      </c>
      <c r="P157" s="51" t="str">
        <f t="shared" si="5"/>
        <v>32</v>
      </c>
      <c r="Q157" s="51" t="str">
        <f t="shared" si="6"/>
        <v>61</v>
      </c>
      <c r="R157" s="51" t="str">
        <f t="shared" si="7"/>
        <v>15</v>
      </c>
      <c r="S157" s="51"/>
      <c r="T157" s="51"/>
      <c r="U157" s="51"/>
      <c r="V157" s="51"/>
      <c r="W157" s="51"/>
      <c r="X157" s="51"/>
      <c r="Y157" s="82"/>
      <c r="Z157" s="51"/>
      <c r="AA157" s="51"/>
      <c r="AB157" s="69" t="s">
        <v>1067</v>
      </c>
      <c r="AC157" s="69" t="s">
        <v>1068</v>
      </c>
      <c r="AD157" s="51" t="s">
        <v>668</v>
      </c>
      <c r="AE157" s="51" t="s">
        <v>669</v>
      </c>
      <c r="AF157" s="51" t="s">
        <v>636</v>
      </c>
      <c r="AG157" s="51" t="s">
        <v>670</v>
      </c>
    </row>
    <row r="158" spans="1:33" ht="15.75" customHeight="1">
      <c r="A158" s="62" t="str">
        <f>IF(C158="","",VLOOKUP('OPĆI DIO'!$C$3,'OPĆI DIO'!$L$6:$U$120,10,FALSE))</f>
        <v>08008</v>
      </c>
      <c r="B158" s="62" t="str">
        <f>IF(C158="","",VLOOKUP('OPĆI DIO'!$C$3,'OPĆI DIO'!$L$6:$U$120,9,FALSE))</f>
        <v>Javni instituti</v>
      </c>
      <c r="C158" s="84">
        <v>61</v>
      </c>
      <c r="D158" s="79" t="str">
        <f t="shared" si="34"/>
        <v>Donacije</v>
      </c>
      <c r="E158" s="84">
        <v>3111</v>
      </c>
      <c r="F158" s="79" t="str">
        <f t="shared" si="35"/>
        <v>Plaće za redovan rad</v>
      </c>
      <c r="G158" s="84" t="s">
        <v>779</v>
      </c>
      <c r="H158" s="79" t="str">
        <f t="shared" si="36"/>
        <v>REDOVNA DJELATNOST JAVNIH INSTITUTA (IZ EVIDENCIJSKIH PRIHODA)</v>
      </c>
      <c r="I158" s="79" t="str">
        <f t="shared" si="37"/>
        <v>0150</v>
      </c>
      <c r="J158" s="67">
        <v>1327</v>
      </c>
      <c r="K158" s="67">
        <v>1460</v>
      </c>
      <c r="L158" s="67">
        <v>1606</v>
      </c>
      <c r="M158" s="68"/>
      <c r="N158" s="80"/>
      <c r="O158" s="51" t="str">
        <f t="shared" si="4"/>
        <v>311</v>
      </c>
      <c r="P158" s="51" t="str">
        <f t="shared" si="5"/>
        <v>31</v>
      </c>
      <c r="Q158" s="51" t="str">
        <f t="shared" si="6"/>
        <v>61</v>
      </c>
      <c r="R158" s="51" t="str">
        <f t="shared" si="7"/>
        <v>15</v>
      </c>
      <c r="S158" s="51"/>
      <c r="T158" s="51"/>
      <c r="U158" s="51"/>
      <c r="V158" s="51"/>
      <c r="W158" s="51"/>
      <c r="X158" s="51"/>
      <c r="Y158" s="82"/>
      <c r="Z158" s="51"/>
      <c r="AA158" s="51"/>
      <c r="AB158" s="69" t="s">
        <v>1069</v>
      </c>
      <c r="AC158" s="69" t="s">
        <v>1070</v>
      </c>
      <c r="AD158" s="51" t="s">
        <v>668</v>
      </c>
      <c r="AE158" s="51" t="s">
        <v>669</v>
      </c>
      <c r="AF158" s="51" t="s">
        <v>636</v>
      </c>
      <c r="AG158" s="51" t="s">
        <v>670</v>
      </c>
    </row>
    <row r="159" spans="1:33" ht="15.75" customHeight="1">
      <c r="A159" s="62" t="str">
        <f>IF(C159="","",VLOOKUP('OPĆI DIO'!$C$3,'OPĆI DIO'!$L$6:$U$120,10,FALSE))</f>
        <v>08008</v>
      </c>
      <c r="B159" s="62" t="str">
        <f>IF(C159="","",VLOOKUP('OPĆI DIO'!$C$3,'OPĆI DIO'!$L$6:$U$120,9,FALSE))</f>
        <v>Javni instituti</v>
      </c>
      <c r="C159" s="84">
        <v>61</v>
      </c>
      <c r="D159" s="79" t="str">
        <f t="shared" si="34"/>
        <v>Donacije</v>
      </c>
      <c r="E159" s="84">
        <v>3211</v>
      </c>
      <c r="F159" s="79" t="str">
        <f t="shared" si="35"/>
        <v>Službena putovanja</v>
      </c>
      <c r="G159" s="84" t="s">
        <v>779</v>
      </c>
      <c r="H159" s="79" t="str">
        <f t="shared" si="36"/>
        <v>REDOVNA DJELATNOST JAVNIH INSTITUTA (IZ EVIDENCIJSKIH PRIHODA)</v>
      </c>
      <c r="I159" s="79" t="str">
        <f t="shared" si="37"/>
        <v>0150</v>
      </c>
      <c r="J159" s="67">
        <v>1146</v>
      </c>
      <c r="K159" s="67">
        <v>674</v>
      </c>
      <c r="L159" s="67">
        <v>1166</v>
      </c>
      <c r="M159" s="68"/>
      <c r="N159" s="80"/>
      <c r="O159" s="51" t="str">
        <f t="shared" si="4"/>
        <v>321</v>
      </c>
      <c r="P159" s="51" t="str">
        <f t="shared" si="5"/>
        <v>32</v>
      </c>
      <c r="Q159" s="51" t="str">
        <f t="shared" si="6"/>
        <v>61</v>
      </c>
      <c r="R159" s="51" t="str">
        <f t="shared" si="7"/>
        <v>15</v>
      </c>
      <c r="S159" s="51"/>
      <c r="T159" s="51"/>
      <c r="U159" s="51"/>
      <c r="V159" s="51"/>
      <c r="W159" s="51"/>
      <c r="X159" s="51"/>
      <c r="Y159" s="82"/>
      <c r="Z159" s="51"/>
      <c r="AA159" s="51"/>
      <c r="AB159" s="69" t="s">
        <v>1071</v>
      </c>
      <c r="AC159" s="69" t="s">
        <v>1072</v>
      </c>
      <c r="AD159" s="51" t="s">
        <v>668</v>
      </c>
      <c r="AE159" s="51" t="s">
        <v>669</v>
      </c>
      <c r="AF159" s="51" t="s">
        <v>636</v>
      </c>
      <c r="AG159" s="51" t="s">
        <v>670</v>
      </c>
    </row>
    <row r="160" spans="1:33" ht="15.75" customHeight="1">
      <c r="A160" s="62" t="str">
        <f>IF(C160="","",VLOOKUP('OPĆI DIO'!$C$3,'OPĆI DIO'!$L$6:$U$120,10,FALSE))</f>
        <v>08008</v>
      </c>
      <c r="B160" s="62" t="str">
        <f>IF(C160="","",VLOOKUP('OPĆI DIO'!$C$3,'OPĆI DIO'!$L$6:$U$120,9,FALSE))</f>
        <v>Javni instituti</v>
      </c>
      <c r="C160" s="84">
        <v>61</v>
      </c>
      <c r="D160" s="79" t="str">
        <f t="shared" si="34"/>
        <v>Donacije</v>
      </c>
      <c r="E160" s="84">
        <v>3212</v>
      </c>
      <c r="F160" s="79" t="str">
        <f t="shared" si="35"/>
        <v>Naknade za prijevoz, za rad na terenu i odvojeni život</v>
      </c>
      <c r="G160" s="84" t="s">
        <v>779</v>
      </c>
      <c r="H160" s="79" t="str">
        <f t="shared" si="36"/>
        <v>REDOVNA DJELATNOST JAVNIH INSTITUTA (IZ EVIDENCIJSKIH PRIHODA)</v>
      </c>
      <c r="I160" s="79" t="str">
        <f t="shared" si="37"/>
        <v>0150</v>
      </c>
      <c r="J160" s="67">
        <v>1036</v>
      </c>
      <c r="K160" s="67">
        <v>610</v>
      </c>
      <c r="L160" s="67">
        <v>1055</v>
      </c>
      <c r="M160" s="68"/>
      <c r="N160" s="51"/>
      <c r="O160" s="51" t="str">
        <f t="shared" si="4"/>
        <v>321</v>
      </c>
      <c r="P160" s="51" t="str">
        <f t="shared" si="5"/>
        <v>32</v>
      </c>
      <c r="Q160" s="51" t="str">
        <f t="shared" si="6"/>
        <v>61</v>
      </c>
      <c r="R160" s="51" t="str">
        <f t="shared" si="7"/>
        <v>15</v>
      </c>
      <c r="S160" s="51"/>
      <c r="T160" s="51"/>
      <c r="U160" s="51"/>
      <c r="V160" s="51"/>
      <c r="W160" s="51"/>
      <c r="X160" s="51"/>
      <c r="Y160" s="82"/>
      <c r="Z160" s="51"/>
      <c r="AA160" s="51"/>
      <c r="AB160" s="69" t="s">
        <v>1073</v>
      </c>
      <c r="AC160" s="69" t="s">
        <v>1074</v>
      </c>
      <c r="AD160" s="51" t="s">
        <v>668</v>
      </c>
      <c r="AE160" s="51" t="s">
        <v>669</v>
      </c>
      <c r="AF160" s="51" t="s">
        <v>636</v>
      </c>
      <c r="AG160" s="51" t="s">
        <v>670</v>
      </c>
    </row>
    <row r="161" spans="1:33" ht="15.75" customHeight="1">
      <c r="A161" s="62" t="str">
        <f>IF(C161="","",VLOOKUP('OPĆI DIO'!$C$3,'OPĆI DIO'!$L$6:$U$120,10,FALSE))</f>
        <v>08008</v>
      </c>
      <c r="B161" s="62" t="str">
        <f>IF(C161="","",VLOOKUP('OPĆI DIO'!$C$3,'OPĆI DIO'!$L$6:$U$120,9,FALSE))</f>
        <v>Javni instituti</v>
      </c>
      <c r="C161" s="84">
        <v>61</v>
      </c>
      <c r="D161" s="79" t="str">
        <f t="shared" si="34"/>
        <v>Donacije</v>
      </c>
      <c r="E161" s="84">
        <v>3224</v>
      </c>
      <c r="F161" s="79" t="str">
        <f t="shared" si="35"/>
        <v>Materijal i dijelovi za tekuće i investicijsko održavanje</v>
      </c>
      <c r="G161" s="84" t="s">
        <v>779</v>
      </c>
      <c r="H161" s="79" t="str">
        <f t="shared" si="36"/>
        <v>REDOVNA DJELATNOST JAVNIH INSTITUTA (IZ EVIDENCIJSKIH PRIHODA)</v>
      </c>
      <c r="I161" s="79" t="str">
        <f t="shared" si="37"/>
        <v>0150</v>
      </c>
      <c r="J161" s="67">
        <v>1024</v>
      </c>
      <c r="K161" s="67">
        <v>603</v>
      </c>
      <c r="L161" s="67">
        <v>1042</v>
      </c>
      <c r="M161" s="68"/>
      <c r="N161" s="51"/>
      <c r="O161" s="51" t="str">
        <f t="shared" si="4"/>
        <v>322</v>
      </c>
      <c r="P161" s="51" t="str">
        <f t="shared" si="5"/>
        <v>32</v>
      </c>
      <c r="Q161" s="51" t="str">
        <f t="shared" si="6"/>
        <v>61</v>
      </c>
      <c r="R161" s="51" t="str">
        <f t="shared" si="7"/>
        <v>15</v>
      </c>
      <c r="S161" s="51"/>
      <c r="T161" s="51"/>
      <c r="U161" s="51"/>
      <c r="V161" s="51"/>
      <c r="W161" s="51"/>
      <c r="X161" s="51"/>
      <c r="Y161" s="82"/>
      <c r="Z161" s="51"/>
      <c r="AA161" s="51"/>
      <c r="AB161" s="51" t="s">
        <v>1075</v>
      </c>
      <c r="AC161" s="51" t="s">
        <v>1076</v>
      </c>
      <c r="AD161" s="51" t="s">
        <v>668</v>
      </c>
      <c r="AE161" s="51" t="s">
        <v>669</v>
      </c>
      <c r="AF161" s="51" t="s">
        <v>636</v>
      </c>
      <c r="AG161" s="51" t="s">
        <v>670</v>
      </c>
    </row>
    <row r="162" spans="1:33" ht="15.75" customHeight="1">
      <c r="A162" s="62" t="str">
        <f>IF(C162="","",VLOOKUP('OPĆI DIO'!$C$3,'OPĆI DIO'!$L$6:$U$120,10,FALSE))</f>
        <v>08008</v>
      </c>
      <c r="B162" s="62" t="str">
        <f>IF(C162="","",VLOOKUP('OPĆI DIO'!$C$3,'OPĆI DIO'!$L$6:$U$120,9,FALSE))</f>
        <v>Javni instituti</v>
      </c>
      <c r="C162" s="84">
        <v>61</v>
      </c>
      <c r="D162" s="79" t="str">
        <f t="shared" si="34"/>
        <v>Donacije</v>
      </c>
      <c r="E162" s="84">
        <v>4221</v>
      </c>
      <c r="F162" s="79" t="str">
        <f t="shared" si="35"/>
        <v>Uredska oprema i namještaj</v>
      </c>
      <c r="G162" s="84" t="s">
        <v>779</v>
      </c>
      <c r="H162" s="79" t="str">
        <f t="shared" si="36"/>
        <v>REDOVNA DJELATNOST JAVNIH INSTITUTA (IZ EVIDENCIJSKIH PRIHODA)</v>
      </c>
      <c r="I162" s="79" t="str">
        <f t="shared" si="37"/>
        <v>0150</v>
      </c>
      <c r="J162" s="67">
        <v>664</v>
      </c>
      <c r="K162" s="67">
        <v>730</v>
      </c>
      <c r="L162" s="67">
        <v>803</v>
      </c>
      <c r="M162" s="68"/>
      <c r="N162" s="80"/>
      <c r="O162" s="51" t="str">
        <f t="shared" si="4"/>
        <v>422</v>
      </c>
      <c r="P162" s="51" t="str">
        <f t="shared" si="5"/>
        <v>42</v>
      </c>
      <c r="Q162" s="51" t="str">
        <f t="shared" si="6"/>
        <v>61</v>
      </c>
      <c r="R162" s="51" t="str">
        <f t="shared" si="7"/>
        <v>15</v>
      </c>
      <c r="S162" s="51"/>
      <c r="T162" s="51"/>
      <c r="U162" s="51"/>
      <c r="V162" s="51"/>
      <c r="W162" s="51"/>
      <c r="X162" s="51"/>
      <c r="Y162" s="82"/>
      <c r="Z162" s="51"/>
      <c r="AA162" s="51"/>
      <c r="AB162" s="51" t="s">
        <v>1077</v>
      </c>
      <c r="AC162" s="51" t="s">
        <v>1078</v>
      </c>
      <c r="AD162" s="51" t="s">
        <v>668</v>
      </c>
      <c r="AE162" s="51" t="s">
        <v>669</v>
      </c>
      <c r="AF162" s="51" t="s">
        <v>636</v>
      </c>
      <c r="AG162" s="51" t="s">
        <v>670</v>
      </c>
    </row>
    <row r="163" spans="1:33" ht="15.75" customHeight="1">
      <c r="A163" s="62" t="str">
        <f>IF(C163="","",VLOOKUP('OPĆI DIO'!$C$3,'OPĆI DIO'!$L$6:$U$120,10,FALSE))</f>
        <v>08008</v>
      </c>
      <c r="B163" s="62" t="str">
        <f>IF(C163="","",VLOOKUP('OPĆI DIO'!$C$3,'OPĆI DIO'!$L$6:$U$120,9,FALSE))</f>
        <v>Javni instituti</v>
      </c>
      <c r="C163" s="84">
        <v>61</v>
      </c>
      <c r="D163" s="79" t="str">
        <f t="shared" si="34"/>
        <v>Donacije</v>
      </c>
      <c r="E163" s="84">
        <v>3233</v>
      </c>
      <c r="F163" s="79" t="str">
        <f t="shared" si="35"/>
        <v>Usluge promidžbe i informiranja</v>
      </c>
      <c r="G163" s="84" t="s">
        <v>779</v>
      </c>
      <c r="H163" s="79" t="str">
        <f t="shared" si="36"/>
        <v>REDOVNA DJELATNOST JAVNIH INSTITUTA (IZ EVIDENCIJSKIH PRIHODA)</v>
      </c>
      <c r="I163" s="79" t="str">
        <f t="shared" si="37"/>
        <v>0150</v>
      </c>
      <c r="J163" s="67">
        <v>569</v>
      </c>
      <c r="K163" s="67">
        <v>335</v>
      </c>
      <c r="L163" s="67">
        <v>580</v>
      </c>
      <c r="M163" s="68"/>
      <c r="N163" s="51"/>
      <c r="O163" s="51" t="str">
        <f t="shared" si="4"/>
        <v>323</v>
      </c>
      <c r="P163" s="51" t="str">
        <f t="shared" si="5"/>
        <v>32</v>
      </c>
      <c r="Q163" s="51" t="str">
        <f t="shared" si="6"/>
        <v>61</v>
      </c>
      <c r="R163" s="51" t="str">
        <f t="shared" si="7"/>
        <v>15</v>
      </c>
      <c r="S163" s="51"/>
      <c r="T163" s="51"/>
      <c r="U163" s="51"/>
      <c r="V163" s="51"/>
      <c r="W163" s="51"/>
      <c r="X163" s="51"/>
      <c r="Y163" s="82"/>
      <c r="Z163" s="51"/>
      <c r="AA163" s="51"/>
      <c r="AB163" s="51" t="s">
        <v>1079</v>
      </c>
      <c r="AC163" s="51" t="s">
        <v>1080</v>
      </c>
      <c r="AD163" s="51" t="s">
        <v>668</v>
      </c>
      <c r="AE163" s="51" t="s">
        <v>669</v>
      </c>
      <c r="AF163" s="51" t="s">
        <v>636</v>
      </c>
      <c r="AG163" s="51" t="s">
        <v>670</v>
      </c>
    </row>
    <row r="164" spans="1:33" ht="15.75" customHeight="1">
      <c r="A164" s="62" t="str">
        <f>IF(C164="","",VLOOKUP('OPĆI DIO'!$C$3,'OPĆI DIO'!$L$6:$U$120,10,FALSE))</f>
        <v>08008</v>
      </c>
      <c r="B164" s="62" t="str">
        <f>IF(C164="","",VLOOKUP('OPĆI DIO'!$C$3,'OPĆI DIO'!$L$6:$U$120,9,FALSE))</f>
        <v>Javni instituti</v>
      </c>
      <c r="C164" s="84">
        <v>61</v>
      </c>
      <c r="D164" s="79" t="str">
        <f t="shared" si="34"/>
        <v>Donacije</v>
      </c>
      <c r="E164" s="84">
        <v>3236</v>
      </c>
      <c r="F164" s="79" t="str">
        <f t="shared" si="35"/>
        <v>Zdravstvene i veterinarske usluge</v>
      </c>
      <c r="G164" s="84" t="s">
        <v>779</v>
      </c>
      <c r="H164" s="79" t="str">
        <f t="shared" si="36"/>
        <v>REDOVNA DJELATNOST JAVNIH INSTITUTA (IZ EVIDENCIJSKIH PRIHODA)</v>
      </c>
      <c r="I164" s="79" t="str">
        <f t="shared" si="37"/>
        <v>0150</v>
      </c>
      <c r="J164" s="67">
        <v>481</v>
      </c>
      <c r="K164" s="67">
        <v>283</v>
      </c>
      <c r="L164" s="67">
        <v>490</v>
      </c>
      <c r="M164" s="68"/>
      <c r="N164" s="80"/>
      <c r="O164" s="51" t="str">
        <f t="shared" si="4"/>
        <v>323</v>
      </c>
      <c r="P164" s="51" t="str">
        <f t="shared" si="5"/>
        <v>32</v>
      </c>
      <c r="Q164" s="51" t="str">
        <f t="shared" si="6"/>
        <v>61</v>
      </c>
      <c r="R164" s="51" t="str">
        <f t="shared" si="7"/>
        <v>15</v>
      </c>
      <c r="S164" s="51"/>
      <c r="T164" s="51"/>
      <c r="U164" s="51"/>
      <c r="V164" s="51"/>
      <c r="W164" s="51"/>
      <c r="X164" s="51"/>
      <c r="Y164" s="82"/>
      <c r="Z164" s="51"/>
      <c r="AA164" s="51"/>
      <c r="AB164" s="51" t="s">
        <v>1081</v>
      </c>
      <c r="AC164" s="51" t="s">
        <v>760</v>
      </c>
      <c r="AD164" s="51" t="s">
        <v>668</v>
      </c>
      <c r="AE164" s="51" t="s">
        <v>669</v>
      </c>
      <c r="AF164" s="51" t="s">
        <v>636</v>
      </c>
      <c r="AG164" s="51" t="s">
        <v>670</v>
      </c>
    </row>
    <row r="165" spans="1:33" ht="15.75" customHeight="1">
      <c r="A165" s="62" t="str">
        <f>IF(C165="","",VLOOKUP('OPĆI DIO'!$C$3,'OPĆI DIO'!$L$6:$U$120,10,FALSE))</f>
        <v>08008</v>
      </c>
      <c r="B165" s="62" t="str">
        <f>IF(C165="","",VLOOKUP('OPĆI DIO'!$C$3,'OPĆI DIO'!$L$6:$U$120,9,FALSE))</f>
        <v>Javni instituti</v>
      </c>
      <c r="C165" s="84">
        <v>61</v>
      </c>
      <c r="D165" s="79" t="str">
        <f t="shared" si="34"/>
        <v>Donacije</v>
      </c>
      <c r="E165" s="84">
        <v>3221</v>
      </c>
      <c r="F165" s="79" t="str">
        <f t="shared" si="35"/>
        <v>Uredski materijal i ostali materijalni rashodi</v>
      </c>
      <c r="G165" s="84" t="s">
        <v>779</v>
      </c>
      <c r="H165" s="79" t="str">
        <f t="shared" si="36"/>
        <v>REDOVNA DJELATNOST JAVNIH INSTITUTA (IZ EVIDENCIJSKIH PRIHODA)</v>
      </c>
      <c r="I165" s="79" t="str">
        <f t="shared" si="37"/>
        <v>0150</v>
      </c>
      <c r="J165" s="67">
        <v>398</v>
      </c>
      <c r="K165" s="67">
        <v>438</v>
      </c>
      <c r="L165" s="67">
        <v>482</v>
      </c>
      <c r="M165" s="68"/>
      <c r="N165" s="51"/>
      <c r="O165" s="51" t="str">
        <f t="shared" si="4"/>
        <v>322</v>
      </c>
      <c r="P165" s="51" t="str">
        <f t="shared" si="5"/>
        <v>32</v>
      </c>
      <c r="Q165" s="51" t="str">
        <f t="shared" si="6"/>
        <v>61</v>
      </c>
      <c r="R165" s="51" t="str">
        <f t="shared" si="7"/>
        <v>15</v>
      </c>
      <c r="S165" s="51"/>
      <c r="T165" s="51"/>
      <c r="U165" s="51"/>
      <c r="V165" s="51"/>
      <c r="W165" s="51"/>
      <c r="X165" s="51"/>
      <c r="Y165" s="82"/>
      <c r="Z165" s="51"/>
      <c r="AA165" s="51"/>
      <c r="AB165" s="51" t="s">
        <v>1082</v>
      </c>
      <c r="AC165" s="51" t="s">
        <v>1083</v>
      </c>
      <c r="AD165" s="51" t="s">
        <v>668</v>
      </c>
      <c r="AE165" s="51" t="s">
        <v>669</v>
      </c>
      <c r="AF165" s="51" t="s">
        <v>636</v>
      </c>
      <c r="AG165" s="51" t="s">
        <v>670</v>
      </c>
    </row>
    <row r="166" spans="1:33" ht="15.75" customHeight="1">
      <c r="A166" s="62" t="str">
        <f>IF(C166="","",VLOOKUP('OPĆI DIO'!$C$3,'OPĆI DIO'!$L$6:$U$120,10,FALSE))</f>
        <v>08008</v>
      </c>
      <c r="B166" s="62" t="str">
        <f>IF(C166="","",VLOOKUP('OPĆI DIO'!$C$3,'OPĆI DIO'!$L$6:$U$120,9,FALSE))</f>
        <v>Javni instituti</v>
      </c>
      <c r="C166" s="84">
        <v>61</v>
      </c>
      <c r="D166" s="79" t="str">
        <f t="shared" si="34"/>
        <v>Donacije</v>
      </c>
      <c r="E166" s="84">
        <v>3232</v>
      </c>
      <c r="F166" s="79" t="str">
        <f t="shared" si="35"/>
        <v>Usluge tekućeg i investicijskog održavanja</v>
      </c>
      <c r="G166" s="84" t="s">
        <v>779</v>
      </c>
      <c r="H166" s="79" t="str">
        <f t="shared" si="36"/>
        <v>REDOVNA DJELATNOST JAVNIH INSTITUTA (IZ EVIDENCIJSKIH PRIHODA)</v>
      </c>
      <c r="I166" s="79" t="str">
        <f t="shared" si="37"/>
        <v>0150</v>
      </c>
      <c r="J166" s="67">
        <v>398</v>
      </c>
      <c r="K166" s="67">
        <v>438</v>
      </c>
      <c r="L166" s="67">
        <v>482</v>
      </c>
      <c r="M166" s="68"/>
      <c r="N166" s="51"/>
      <c r="O166" s="51" t="str">
        <f t="shared" si="4"/>
        <v>323</v>
      </c>
      <c r="P166" s="51" t="str">
        <f t="shared" si="5"/>
        <v>32</v>
      </c>
      <c r="Q166" s="51" t="str">
        <f t="shared" si="6"/>
        <v>61</v>
      </c>
      <c r="R166" s="51" t="str">
        <f t="shared" si="7"/>
        <v>15</v>
      </c>
      <c r="S166" s="51"/>
      <c r="T166" s="51"/>
      <c r="U166" s="51"/>
      <c r="V166" s="51"/>
      <c r="W166" s="51"/>
      <c r="X166" s="51"/>
      <c r="Y166" s="82"/>
      <c r="Z166" s="51"/>
      <c r="AA166" s="51"/>
      <c r="AB166" s="51" t="s">
        <v>1084</v>
      </c>
      <c r="AC166" s="51" t="s">
        <v>1085</v>
      </c>
      <c r="AD166" s="51" t="s">
        <v>668</v>
      </c>
      <c r="AE166" s="51" t="s">
        <v>669</v>
      </c>
      <c r="AF166" s="51" t="s">
        <v>636</v>
      </c>
      <c r="AG166" s="51" t="s">
        <v>670</v>
      </c>
    </row>
    <row r="167" spans="1:33" ht="15.75" customHeight="1">
      <c r="A167" s="62" t="str">
        <f>IF(C167="","",VLOOKUP('OPĆI DIO'!$C$3,'OPĆI DIO'!$L$6:$U$120,10,FALSE))</f>
        <v>08008</v>
      </c>
      <c r="B167" s="62" t="str">
        <f>IF(C167="","",VLOOKUP('OPĆI DIO'!$C$3,'OPĆI DIO'!$L$6:$U$120,9,FALSE))</f>
        <v>Javni instituti</v>
      </c>
      <c r="C167" s="84">
        <v>61</v>
      </c>
      <c r="D167" s="79" t="str">
        <f t="shared" si="34"/>
        <v>Donacije</v>
      </c>
      <c r="E167" s="84">
        <v>4225</v>
      </c>
      <c r="F167" s="79" t="str">
        <f t="shared" si="35"/>
        <v>Instrumenti, uređaji i strojevi</v>
      </c>
      <c r="G167" s="84" t="s">
        <v>779</v>
      </c>
      <c r="H167" s="79" t="str">
        <f t="shared" si="36"/>
        <v>REDOVNA DJELATNOST JAVNIH INSTITUTA (IZ EVIDENCIJSKIH PRIHODA)</v>
      </c>
      <c r="I167" s="79" t="str">
        <f t="shared" si="37"/>
        <v>0150</v>
      </c>
      <c r="J167" s="67">
        <v>398</v>
      </c>
      <c r="K167" s="67">
        <v>438</v>
      </c>
      <c r="L167" s="67">
        <v>482</v>
      </c>
      <c r="M167" s="68"/>
      <c r="N167" s="51"/>
      <c r="O167" s="51" t="str">
        <f t="shared" si="4"/>
        <v>422</v>
      </c>
      <c r="P167" s="51" t="str">
        <f t="shared" si="5"/>
        <v>42</v>
      </c>
      <c r="Q167" s="51" t="str">
        <f t="shared" si="6"/>
        <v>61</v>
      </c>
      <c r="R167" s="51" t="str">
        <f t="shared" si="7"/>
        <v>15</v>
      </c>
      <c r="S167" s="51"/>
      <c r="T167" s="51"/>
      <c r="U167" s="51"/>
      <c r="V167" s="51"/>
      <c r="W167" s="51"/>
      <c r="X167" s="51"/>
      <c r="Y167" s="82"/>
      <c r="Z167" s="51"/>
      <c r="AA167" s="51"/>
      <c r="AB167" s="51" t="s">
        <v>1086</v>
      </c>
      <c r="AC167" s="51" t="s">
        <v>1087</v>
      </c>
      <c r="AD167" s="51" t="s">
        <v>668</v>
      </c>
      <c r="AE167" s="51" t="s">
        <v>669</v>
      </c>
      <c r="AF167" s="51" t="s">
        <v>636</v>
      </c>
      <c r="AG167" s="51" t="s">
        <v>670</v>
      </c>
    </row>
    <row r="168" spans="1:33" ht="15.75" customHeight="1">
      <c r="A168" s="62" t="str">
        <f>IF(C168="","",VLOOKUP('OPĆI DIO'!$C$3,'OPĆI DIO'!$L$6:$U$120,10,FALSE))</f>
        <v>08008</v>
      </c>
      <c r="B168" s="62" t="str">
        <f>IF(C168="","",VLOOKUP('OPĆI DIO'!$C$3,'OPĆI DIO'!$L$6:$U$120,9,FALSE))</f>
        <v>Javni instituti</v>
      </c>
      <c r="C168" s="84">
        <v>61</v>
      </c>
      <c r="D168" s="79" t="str">
        <f t="shared" si="34"/>
        <v>Donacije</v>
      </c>
      <c r="E168" s="84">
        <v>3214</v>
      </c>
      <c r="F168" s="79" t="str">
        <f t="shared" si="35"/>
        <v>Ostale naknade troškova zaposlenima</v>
      </c>
      <c r="G168" s="84" t="s">
        <v>779</v>
      </c>
      <c r="H168" s="79" t="str">
        <f t="shared" si="36"/>
        <v>REDOVNA DJELATNOST JAVNIH INSTITUTA (IZ EVIDENCIJSKIH PRIHODA)</v>
      </c>
      <c r="I168" s="79" t="str">
        <f t="shared" si="37"/>
        <v>0150</v>
      </c>
      <c r="J168" s="67">
        <v>351</v>
      </c>
      <c r="K168" s="67">
        <v>207</v>
      </c>
      <c r="L168" s="67">
        <v>358</v>
      </c>
      <c r="M168" s="68"/>
      <c r="N168" s="51"/>
      <c r="O168" s="51" t="str">
        <f t="shared" si="4"/>
        <v>321</v>
      </c>
      <c r="P168" s="51" t="str">
        <f t="shared" si="5"/>
        <v>32</v>
      </c>
      <c r="Q168" s="51" t="str">
        <f t="shared" si="6"/>
        <v>61</v>
      </c>
      <c r="R168" s="51" t="str">
        <f t="shared" si="7"/>
        <v>15</v>
      </c>
      <c r="S168" s="51"/>
      <c r="T168" s="51"/>
      <c r="U168" s="51"/>
      <c r="V168" s="51"/>
      <c r="W168" s="51"/>
      <c r="X168" s="51"/>
      <c r="Y168" s="82"/>
      <c r="Z168" s="51"/>
      <c r="AA168" s="51"/>
      <c r="AB168" s="51" t="s">
        <v>1088</v>
      </c>
      <c r="AC168" s="51" t="s">
        <v>1089</v>
      </c>
      <c r="AD168" s="51" t="s">
        <v>668</v>
      </c>
      <c r="AE168" s="51" t="s">
        <v>669</v>
      </c>
      <c r="AF168" s="51" t="s">
        <v>636</v>
      </c>
      <c r="AG168" s="51" t="s">
        <v>670</v>
      </c>
    </row>
    <row r="169" spans="1:33" ht="15.75" customHeight="1">
      <c r="A169" s="62" t="str">
        <f>IF(C169="","",VLOOKUP('OPĆI DIO'!$C$3,'OPĆI DIO'!$L$6:$U$120,10,FALSE))</f>
        <v>08008</v>
      </c>
      <c r="B169" s="62" t="str">
        <f>IF(C169="","",VLOOKUP('OPĆI DIO'!$C$3,'OPĆI DIO'!$L$6:$U$120,9,FALSE))</f>
        <v>Javni instituti</v>
      </c>
      <c r="C169" s="84">
        <v>61</v>
      </c>
      <c r="D169" s="79" t="str">
        <f t="shared" si="34"/>
        <v>Donacije</v>
      </c>
      <c r="E169" s="84">
        <v>3232</v>
      </c>
      <c r="F169" s="79" t="str">
        <f t="shared" si="35"/>
        <v>Usluge tekućeg i investicijskog održavanja</v>
      </c>
      <c r="G169" s="84" t="s">
        <v>779</v>
      </c>
      <c r="H169" s="79" t="str">
        <f t="shared" si="36"/>
        <v>REDOVNA DJELATNOST JAVNIH INSTITUTA (IZ EVIDENCIJSKIH PRIHODA)</v>
      </c>
      <c r="I169" s="79" t="str">
        <f t="shared" si="37"/>
        <v>0150</v>
      </c>
      <c r="J169" s="67">
        <v>323</v>
      </c>
      <c r="K169" s="67">
        <v>190</v>
      </c>
      <c r="L169" s="67">
        <v>329</v>
      </c>
      <c r="M169" s="68"/>
      <c r="N169" s="51"/>
      <c r="O169" s="51" t="str">
        <f t="shared" si="4"/>
        <v>323</v>
      </c>
      <c r="P169" s="51" t="str">
        <f t="shared" si="5"/>
        <v>32</v>
      </c>
      <c r="Q169" s="51" t="str">
        <f t="shared" si="6"/>
        <v>61</v>
      </c>
      <c r="R169" s="51" t="str">
        <f t="shared" si="7"/>
        <v>15</v>
      </c>
      <c r="S169" s="51"/>
      <c r="T169" s="51"/>
      <c r="U169" s="51"/>
      <c r="V169" s="51"/>
      <c r="W169" s="51"/>
      <c r="X169" s="51"/>
      <c r="Y169" s="82"/>
      <c r="Z169" s="51"/>
      <c r="AA169" s="51"/>
      <c r="AB169" s="51" t="s">
        <v>1090</v>
      </c>
      <c r="AC169" s="51" t="s">
        <v>1091</v>
      </c>
      <c r="AD169" s="51" t="s">
        <v>668</v>
      </c>
      <c r="AE169" s="51" t="s">
        <v>669</v>
      </c>
      <c r="AF169" s="51" t="s">
        <v>636</v>
      </c>
      <c r="AG169" s="51" t="s">
        <v>670</v>
      </c>
    </row>
    <row r="170" spans="1:33" ht="15.75" customHeight="1">
      <c r="A170" s="62" t="str">
        <f>IF(C170="","",VLOOKUP('OPĆI DIO'!$C$3,'OPĆI DIO'!$L$6:$U$120,10,FALSE))</f>
        <v>08008</v>
      </c>
      <c r="B170" s="62" t="str">
        <f>IF(C170="","",VLOOKUP('OPĆI DIO'!$C$3,'OPĆI DIO'!$L$6:$U$120,9,FALSE))</f>
        <v>Javni instituti</v>
      </c>
      <c r="C170" s="84">
        <v>61</v>
      </c>
      <c r="D170" s="79" t="str">
        <f t="shared" si="34"/>
        <v>Donacije</v>
      </c>
      <c r="E170" s="84">
        <v>4221</v>
      </c>
      <c r="F170" s="79" t="str">
        <f t="shared" si="35"/>
        <v>Uredska oprema i namještaj</v>
      </c>
      <c r="G170" s="84" t="s">
        <v>779</v>
      </c>
      <c r="H170" s="79" t="str">
        <f t="shared" si="36"/>
        <v>REDOVNA DJELATNOST JAVNIH INSTITUTA (IZ EVIDENCIJSKIH PRIHODA)</v>
      </c>
      <c r="I170" s="79" t="str">
        <f t="shared" si="37"/>
        <v>0150</v>
      </c>
      <c r="J170" s="67">
        <v>292</v>
      </c>
      <c r="K170" s="67">
        <v>172</v>
      </c>
      <c r="L170" s="67">
        <v>297</v>
      </c>
      <c r="M170" s="68"/>
      <c r="N170" s="51"/>
      <c r="O170" s="51" t="str">
        <f t="shared" si="4"/>
        <v>422</v>
      </c>
      <c r="P170" s="51" t="str">
        <f t="shared" si="5"/>
        <v>42</v>
      </c>
      <c r="Q170" s="51" t="str">
        <f t="shared" si="6"/>
        <v>61</v>
      </c>
      <c r="R170" s="51" t="str">
        <f t="shared" si="7"/>
        <v>15</v>
      </c>
      <c r="S170" s="51"/>
      <c r="T170" s="51"/>
      <c r="U170" s="51"/>
      <c r="V170" s="51"/>
      <c r="W170" s="51"/>
      <c r="X170" s="51"/>
      <c r="Y170" s="82"/>
      <c r="Z170" s="51"/>
      <c r="AA170" s="51"/>
      <c r="AB170" s="51" t="s">
        <v>1092</v>
      </c>
      <c r="AC170" s="51" t="s">
        <v>1093</v>
      </c>
      <c r="AD170" s="51" t="s">
        <v>668</v>
      </c>
      <c r="AE170" s="51" t="s">
        <v>669</v>
      </c>
      <c r="AF170" s="51" t="s">
        <v>636</v>
      </c>
      <c r="AG170" s="51" t="s">
        <v>670</v>
      </c>
    </row>
    <row r="171" spans="1:33" ht="15.75" customHeight="1">
      <c r="A171" s="62" t="str">
        <f>IF(C171="","",VLOOKUP('OPĆI DIO'!$C$3,'OPĆI DIO'!$L$6:$U$120,10,FALSE))</f>
        <v>08008</v>
      </c>
      <c r="B171" s="62" t="str">
        <f>IF(C171="","",VLOOKUP('OPĆI DIO'!$C$3,'OPĆI DIO'!$L$6:$U$120,9,FALSE))</f>
        <v>Javni instituti</v>
      </c>
      <c r="C171" s="84">
        <v>61</v>
      </c>
      <c r="D171" s="79" t="str">
        <f t="shared" si="34"/>
        <v>Donacije</v>
      </c>
      <c r="E171" s="84">
        <v>3213</v>
      </c>
      <c r="F171" s="79" t="str">
        <f t="shared" si="35"/>
        <v>Stručno usavršavanje zaposlenika</v>
      </c>
      <c r="G171" s="84" t="s">
        <v>779</v>
      </c>
      <c r="H171" s="79" t="str">
        <f t="shared" si="36"/>
        <v>REDOVNA DJELATNOST JAVNIH INSTITUTA (IZ EVIDENCIJSKIH PRIHODA)</v>
      </c>
      <c r="I171" s="79" t="str">
        <f t="shared" si="37"/>
        <v>0150</v>
      </c>
      <c r="J171" s="67">
        <v>256</v>
      </c>
      <c r="K171" s="67">
        <v>151</v>
      </c>
      <c r="L171" s="67">
        <v>260</v>
      </c>
      <c r="M171" s="68"/>
      <c r="N171" s="51"/>
      <c r="O171" s="51" t="str">
        <f t="shared" si="4"/>
        <v>321</v>
      </c>
      <c r="P171" s="51" t="str">
        <f t="shared" si="5"/>
        <v>32</v>
      </c>
      <c r="Q171" s="51" t="str">
        <f t="shared" si="6"/>
        <v>61</v>
      </c>
      <c r="R171" s="51" t="str">
        <f t="shared" si="7"/>
        <v>15</v>
      </c>
      <c r="S171" s="51"/>
      <c r="T171" s="51"/>
      <c r="U171" s="51"/>
      <c r="V171" s="51"/>
      <c r="W171" s="51"/>
      <c r="X171" s="51"/>
      <c r="Y171" s="82"/>
      <c r="Z171" s="51"/>
      <c r="AA171" s="51"/>
      <c r="AB171" s="51" t="s">
        <v>1094</v>
      </c>
      <c r="AC171" s="51" t="s">
        <v>1095</v>
      </c>
      <c r="AD171" s="51" t="s">
        <v>668</v>
      </c>
      <c r="AE171" s="51" t="s">
        <v>669</v>
      </c>
      <c r="AF171" s="51" t="s">
        <v>636</v>
      </c>
      <c r="AG171" s="51" t="s">
        <v>670</v>
      </c>
    </row>
    <row r="172" spans="1:33" ht="15.75" customHeight="1">
      <c r="A172" s="62" t="str">
        <f>IF(C172="","",VLOOKUP('OPĆI DIO'!$C$3,'OPĆI DIO'!$L$6:$U$120,10,FALSE))</f>
        <v>08008</v>
      </c>
      <c r="B172" s="62" t="str">
        <f>IF(C172="","",VLOOKUP('OPĆI DIO'!$C$3,'OPĆI DIO'!$L$6:$U$120,9,FALSE))</f>
        <v>Javni instituti</v>
      </c>
      <c r="C172" s="84">
        <v>61</v>
      </c>
      <c r="D172" s="79" t="str">
        <f t="shared" si="34"/>
        <v>Donacije</v>
      </c>
      <c r="E172" s="84">
        <v>3132</v>
      </c>
      <c r="F172" s="79" t="str">
        <f t="shared" si="35"/>
        <v>Doprinosi za obvezno zdravstveno osiguranje</v>
      </c>
      <c r="G172" s="84" t="s">
        <v>779</v>
      </c>
      <c r="H172" s="79" t="str">
        <f t="shared" si="36"/>
        <v>REDOVNA DJELATNOST JAVNIH INSTITUTA (IZ EVIDENCIJSKIH PRIHODA)</v>
      </c>
      <c r="I172" s="79" t="str">
        <f t="shared" si="37"/>
        <v>0150</v>
      </c>
      <c r="J172" s="67">
        <v>228</v>
      </c>
      <c r="K172" s="67">
        <v>251</v>
      </c>
      <c r="L172" s="67">
        <v>276</v>
      </c>
      <c r="M172" s="68"/>
      <c r="N172" s="51"/>
      <c r="O172" s="51" t="str">
        <f t="shared" si="4"/>
        <v>313</v>
      </c>
      <c r="P172" s="51" t="str">
        <f t="shared" si="5"/>
        <v>31</v>
      </c>
      <c r="Q172" s="51" t="str">
        <f t="shared" si="6"/>
        <v>61</v>
      </c>
      <c r="R172" s="51" t="str">
        <f t="shared" si="7"/>
        <v>15</v>
      </c>
      <c r="S172" s="51"/>
      <c r="T172" s="51"/>
      <c r="U172" s="51"/>
      <c r="V172" s="51"/>
      <c r="W172" s="51"/>
      <c r="X172" s="51"/>
      <c r="Y172" s="82"/>
      <c r="Z172" s="51"/>
      <c r="AA172" s="51"/>
      <c r="AB172" s="51" t="s">
        <v>1096</v>
      </c>
      <c r="AC172" s="51" t="s">
        <v>1097</v>
      </c>
      <c r="AD172" s="51" t="s">
        <v>668</v>
      </c>
      <c r="AE172" s="51" t="s">
        <v>669</v>
      </c>
      <c r="AF172" s="51" t="s">
        <v>636</v>
      </c>
      <c r="AG172" s="51" t="s">
        <v>670</v>
      </c>
    </row>
    <row r="173" spans="1:33" ht="15.75" customHeight="1">
      <c r="A173" s="62" t="str">
        <f>IF(C173="","",VLOOKUP('OPĆI DIO'!$C$3,'OPĆI DIO'!$L$6:$U$120,10,FALSE))</f>
        <v>08008</v>
      </c>
      <c r="B173" s="62" t="str">
        <f>IF(C173="","",VLOOKUP('OPĆI DIO'!$C$3,'OPĆI DIO'!$L$6:$U$120,9,FALSE))</f>
        <v>Javni instituti</v>
      </c>
      <c r="C173" s="84">
        <v>61</v>
      </c>
      <c r="D173" s="79" t="str">
        <f t="shared" si="34"/>
        <v>Donacije</v>
      </c>
      <c r="E173" s="84">
        <v>3721</v>
      </c>
      <c r="F173" s="79" t="str">
        <f t="shared" si="35"/>
        <v>Naknade građanima i kućanstvima u novcu</v>
      </c>
      <c r="G173" s="84" t="s">
        <v>779</v>
      </c>
      <c r="H173" s="79" t="str">
        <f t="shared" si="36"/>
        <v>REDOVNA DJELATNOST JAVNIH INSTITUTA (IZ EVIDENCIJSKIH PRIHODA)</v>
      </c>
      <c r="I173" s="79" t="str">
        <f t="shared" si="37"/>
        <v>0150</v>
      </c>
      <c r="J173" s="67">
        <v>160</v>
      </c>
      <c r="K173" s="67">
        <v>94</v>
      </c>
      <c r="L173" s="67">
        <v>163</v>
      </c>
      <c r="M173" s="68"/>
      <c r="N173" s="51"/>
      <c r="O173" s="51" t="str">
        <f t="shared" si="4"/>
        <v>372</v>
      </c>
      <c r="P173" s="51" t="str">
        <f t="shared" si="5"/>
        <v>37</v>
      </c>
      <c r="Q173" s="51" t="str">
        <f t="shared" si="6"/>
        <v>61</v>
      </c>
      <c r="R173" s="51" t="str">
        <f t="shared" si="7"/>
        <v>15</v>
      </c>
      <c r="S173" s="51"/>
      <c r="T173" s="51"/>
      <c r="U173" s="51"/>
      <c r="V173" s="51"/>
      <c r="W173" s="51"/>
      <c r="X173" s="51"/>
      <c r="Y173" s="82"/>
      <c r="Z173" s="51"/>
      <c r="AA173" s="51"/>
      <c r="AB173" s="51" t="s">
        <v>1098</v>
      </c>
      <c r="AC173" s="51" t="s">
        <v>1099</v>
      </c>
      <c r="AD173" s="51" t="s">
        <v>668</v>
      </c>
      <c r="AE173" s="51" t="s">
        <v>669</v>
      </c>
      <c r="AF173" s="51" t="s">
        <v>636</v>
      </c>
      <c r="AG173" s="51" t="s">
        <v>670</v>
      </c>
    </row>
    <row r="174" spans="1:33" ht="15.75" customHeight="1">
      <c r="A174" s="62" t="str">
        <f>IF(C174="","",VLOOKUP('OPĆI DIO'!$C$3,'OPĆI DIO'!$L$6:$U$120,10,FALSE))</f>
        <v>08008</v>
      </c>
      <c r="B174" s="62" t="str">
        <f>IF(C174="","",VLOOKUP('OPĆI DIO'!$C$3,'OPĆI DIO'!$L$6:$U$120,9,FALSE))</f>
        <v>Javni instituti</v>
      </c>
      <c r="C174" s="84">
        <v>61</v>
      </c>
      <c r="D174" s="79" t="str">
        <f t="shared" si="34"/>
        <v>Donacije</v>
      </c>
      <c r="E174" s="84">
        <v>3227</v>
      </c>
      <c r="F174" s="79" t="str">
        <f t="shared" si="35"/>
        <v>Službena, radna i zaštitna odjeća i obuća</v>
      </c>
      <c r="G174" s="84" t="s">
        <v>779</v>
      </c>
      <c r="H174" s="79" t="str">
        <f t="shared" si="36"/>
        <v>REDOVNA DJELATNOST JAVNIH INSTITUTA (IZ EVIDENCIJSKIH PRIHODA)</v>
      </c>
      <c r="I174" s="79" t="str">
        <f t="shared" si="37"/>
        <v>0150</v>
      </c>
      <c r="J174" s="67">
        <v>118</v>
      </c>
      <c r="K174" s="67">
        <v>70</v>
      </c>
      <c r="L174" s="67">
        <v>120</v>
      </c>
      <c r="M174" s="68"/>
      <c r="N174" s="51"/>
      <c r="O174" s="51" t="str">
        <f t="shared" si="4"/>
        <v>322</v>
      </c>
      <c r="P174" s="51" t="str">
        <f t="shared" si="5"/>
        <v>32</v>
      </c>
      <c r="Q174" s="51" t="str">
        <f t="shared" si="6"/>
        <v>61</v>
      </c>
      <c r="R174" s="51" t="str">
        <f t="shared" si="7"/>
        <v>15</v>
      </c>
      <c r="S174" s="51"/>
      <c r="T174" s="51"/>
      <c r="U174" s="51"/>
      <c r="V174" s="51"/>
      <c r="W174" s="51"/>
      <c r="X174" s="51"/>
      <c r="Y174" s="82"/>
      <c r="Z174" s="51"/>
      <c r="AA174" s="51"/>
      <c r="AB174" s="51" t="s">
        <v>1100</v>
      </c>
      <c r="AC174" s="51" t="s">
        <v>1101</v>
      </c>
      <c r="AD174" s="51" t="s">
        <v>668</v>
      </c>
      <c r="AE174" s="51" t="s">
        <v>669</v>
      </c>
      <c r="AF174" s="51" t="s">
        <v>636</v>
      </c>
      <c r="AG174" s="51" t="s">
        <v>670</v>
      </c>
    </row>
    <row r="175" spans="1:33" ht="15.75" customHeight="1">
      <c r="A175" s="62" t="str">
        <f>IF(C175="","",VLOOKUP('OPĆI DIO'!$C$3,'OPĆI DIO'!$L$6:$U$120,10,FALSE))</f>
        <v>08008</v>
      </c>
      <c r="B175" s="62" t="str">
        <f>IF(C175="","",VLOOKUP('OPĆI DIO'!$C$3,'OPĆI DIO'!$L$6:$U$120,9,FALSE))</f>
        <v>Javni instituti</v>
      </c>
      <c r="C175" s="84">
        <v>61</v>
      </c>
      <c r="D175" s="79" t="str">
        <f t="shared" si="34"/>
        <v>Donacije</v>
      </c>
      <c r="E175" s="84">
        <v>3221</v>
      </c>
      <c r="F175" s="79" t="str">
        <f t="shared" si="35"/>
        <v>Uredski materijal i ostali materijalni rashodi</v>
      </c>
      <c r="G175" s="84" t="s">
        <v>779</v>
      </c>
      <c r="H175" s="79" t="str">
        <f t="shared" si="36"/>
        <v>REDOVNA DJELATNOST JAVNIH INSTITUTA (IZ EVIDENCIJSKIH PRIHODA)</v>
      </c>
      <c r="I175" s="79" t="str">
        <f t="shared" si="37"/>
        <v>0150</v>
      </c>
      <c r="J175" s="67">
        <v>100</v>
      </c>
      <c r="K175" s="67">
        <v>59</v>
      </c>
      <c r="L175" s="67">
        <v>101</v>
      </c>
      <c r="M175" s="68"/>
      <c r="N175" s="51"/>
      <c r="O175" s="51" t="str">
        <f t="shared" si="4"/>
        <v>322</v>
      </c>
      <c r="P175" s="51" t="str">
        <f t="shared" si="5"/>
        <v>32</v>
      </c>
      <c r="Q175" s="51" t="str">
        <f t="shared" si="6"/>
        <v>61</v>
      </c>
      <c r="R175" s="51" t="str">
        <f t="shared" si="7"/>
        <v>15</v>
      </c>
      <c r="S175" s="51"/>
      <c r="T175" s="51"/>
      <c r="U175" s="51"/>
      <c r="V175" s="51"/>
      <c r="W175" s="51"/>
      <c r="X175" s="51"/>
      <c r="Y175" s="82"/>
      <c r="Z175" s="51"/>
      <c r="AA175" s="51"/>
      <c r="AB175" s="51" t="s">
        <v>1102</v>
      </c>
      <c r="AC175" s="51" t="s">
        <v>1103</v>
      </c>
      <c r="AD175" s="51" t="s">
        <v>668</v>
      </c>
      <c r="AE175" s="51" t="s">
        <v>669</v>
      </c>
      <c r="AF175" s="51" t="s">
        <v>636</v>
      </c>
      <c r="AG175" s="51" t="s">
        <v>670</v>
      </c>
    </row>
    <row r="176" spans="1:33" ht="15.75" customHeight="1">
      <c r="A176" s="62" t="str">
        <f>IF(C176="","",VLOOKUP('OPĆI DIO'!$C$3,'OPĆI DIO'!$L$6:$U$120,10,FALSE))</f>
        <v>08008</v>
      </c>
      <c r="B176" s="62" t="str">
        <f>IF(C176="","",VLOOKUP('OPĆI DIO'!$C$3,'OPĆI DIO'!$L$6:$U$120,9,FALSE))</f>
        <v>Javni instituti</v>
      </c>
      <c r="C176" s="84">
        <v>61</v>
      </c>
      <c r="D176" s="79" t="str">
        <f t="shared" si="34"/>
        <v>Donacije</v>
      </c>
      <c r="E176" s="84">
        <v>3231</v>
      </c>
      <c r="F176" s="79" t="str">
        <f t="shared" si="35"/>
        <v>Usluge telefona, pošte i prijevoza</v>
      </c>
      <c r="G176" s="84" t="s">
        <v>779</v>
      </c>
      <c r="H176" s="79" t="str">
        <f t="shared" si="36"/>
        <v>REDOVNA DJELATNOST JAVNIH INSTITUTA (IZ EVIDENCIJSKIH PRIHODA)</v>
      </c>
      <c r="I176" s="79" t="str">
        <f t="shared" si="37"/>
        <v>0150</v>
      </c>
      <c r="J176" s="67">
        <v>93</v>
      </c>
      <c r="K176" s="67">
        <v>102</v>
      </c>
      <c r="L176" s="67">
        <v>112</v>
      </c>
      <c r="M176" s="68"/>
      <c r="N176" s="51"/>
      <c r="O176" s="51" t="str">
        <f t="shared" si="4"/>
        <v>323</v>
      </c>
      <c r="P176" s="51" t="str">
        <f t="shared" si="5"/>
        <v>32</v>
      </c>
      <c r="Q176" s="51" t="str">
        <f t="shared" si="6"/>
        <v>61</v>
      </c>
      <c r="R176" s="51" t="str">
        <f t="shared" si="7"/>
        <v>15</v>
      </c>
      <c r="S176" s="51"/>
      <c r="T176" s="51"/>
      <c r="U176" s="51"/>
      <c r="V176" s="51"/>
      <c r="W176" s="51"/>
      <c r="X176" s="51"/>
      <c r="Y176" s="82"/>
      <c r="Z176" s="51"/>
      <c r="AA176" s="51"/>
      <c r="AB176" s="51" t="s">
        <v>1104</v>
      </c>
      <c r="AC176" s="51" t="s">
        <v>1105</v>
      </c>
      <c r="AD176" s="51" t="s">
        <v>668</v>
      </c>
      <c r="AE176" s="51" t="s">
        <v>669</v>
      </c>
      <c r="AF176" s="51" t="s">
        <v>636</v>
      </c>
      <c r="AG176" s="51" t="s">
        <v>670</v>
      </c>
    </row>
    <row r="177" spans="1:33" ht="15.75" customHeight="1">
      <c r="A177" s="62" t="str">
        <f>IF(C177="","",VLOOKUP('OPĆI DIO'!$C$3,'OPĆI DIO'!$L$6:$U$120,10,FALSE))</f>
        <v>08008</v>
      </c>
      <c r="B177" s="62" t="str">
        <f>IF(C177="","",VLOOKUP('OPĆI DIO'!$C$3,'OPĆI DIO'!$L$6:$U$120,9,FALSE))</f>
        <v>Javni instituti</v>
      </c>
      <c r="C177" s="84">
        <v>61</v>
      </c>
      <c r="D177" s="79" t="str">
        <f t="shared" si="34"/>
        <v>Donacije</v>
      </c>
      <c r="E177" s="84">
        <v>3239</v>
      </c>
      <c r="F177" s="79" t="str">
        <f t="shared" si="35"/>
        <v>Ostale usluge</v>
      </c>
      <c r="G177" s="84" t="s">
        <v>779</v>
      </c>
      <c r="H177" s="79" t="str">
        <f t="shared" si="36"/>
        <v>REDOVNA DJELATNOST JAVNIH INSTITUTA (IZ EVIDENCIJSKIH PRIHODA)</v>
      </c>
      <c r="I177" s="79" t="str">
        <f t="shared" si="37"/>
        <v>0150</v>
      </c>
      <c r="J177" s="67">
        <v>76</v>
      </c>
      <c r="K177" s="67">
        <v>44</v>
      </c>
      <c r="L177" s="67">
        <v>77</v>
      </c>
      <c r="M177" s="68"/>
      <c r="N177" s="51"/>
      <c r="O177" s="51" t="str">
        <f t="shared" si="4"/>
        <v>323</v>
      </c>
      <c r="P177" s="51" t="str">
        <f t="shared" si="5"/>
        <v>32</v>
      </c>
      <c r="Q177" s="51" t="str">
        <f t="shared" si="6"/>
        <v>61</v>
      </c>
      <c r="R177" s="51" t="str">
        <f t="shared" si="7"/>
        <v>15</v>
      </c>
      <c r="S177" s="51"/>
      <c r="T177" s="51"/>
      <c r="U177" s="51"/>
      <c r="V177" s="51"/>
      <c r="W177" s="51"/>
      <c r="X177" s="51"/>
      <c r="Y177" s="82"/>
      <c r="Z177" s="51"/>
      <c r="AA177" s="51"/>
      <c r="AB177" s="51" t="s">
        <v>1106</v>
      </c>
      <c r="AC177" s="51" t="s">
        <v>1107</v>
      </c>
      <c r="AD177" s="51" t="s">
        <v>668</v>
      </c>
      <c r="AE177" s="51" t="s">
        <v>669</v>
      </c>
      <c r="AF177" s="51" t="s">
        <v>636</v>
      </c>
      <c r="AG177" s="51" t="s">
        <v>670</v>
      </c>
    </row>
    <row r="178" spans="1:33" ht="15.75" customHeight="1">
      <c r="A178" s="62" t="str">
        <f>IF(C178="","",VLOOKUP('OPĆI DIO'!$C$3,'OPĆI DIO'!$L$6:$U$120,10,FALSE))</f>
        <v>08008</v>
      </c>
      <c r="B178" s="62" t="str">
        <f>IF(C178="","",VLOOKUP('OPĆI DIO'!$C$3,'OPĆI DIO'!$L$6:$U$120,9,FALSE))</f>
        <v>Javni instituti</v>
      </c>
      <c r="C178" s="84">
        <v>61</v>
      </c>
      <c r="D178" s="79" t="str">
        <f t="shared" si="34"/>
        <v>Donacije</v>
      </c>
      <c r="E178" s="84">
        <v>4223</v>
      </c>
      <c r="F178" s="79" t="str">
        <f t="shared" si="35"/>
        <v>Oprema za održavanje i zaštitu</v>
      </c>
      <c r="G178" s="84" t="s">
        <v>779</v>
      </c>
      <c r="H178" s="79" t="str">
        <f t="shared" si="36"/>
        <v>REDOVNA DJELATNOST JAVNIH INSTITUTA (IZ EVIDENCIJSKIH PRIHODA)</v>
      </c>
      <c r="I178" s="79" t="str">
        <f t="shared" si="37"/>
        <v>0150</v>
      </c>
      <c r="J178" s="67">
        <v>76</v>
      </c>
      <c r="K178" s="67">
        <v>45</v>
      </c>
      <c r="L178" s="67">
        <v>78</v>
      </c>
      <c r="M178" s="68"/>
      <c r="N178" s="51"/>
      <c r="O178" s="51" t="str">
        <f t="shared" si="4"/>
        <v>422</v>
      </c>
      <c r="P178" s="51" t="str">
        <f t="shared" si="5"/>
        <v>42</v>
      </c>
      <c r="Q178" s="51" t="str">
        <f t="shared" si="6"/>
        <v>61</v>
      </c>
      <c r="R178" s="51" t="str">
        <f t="shared" si="7"/>
        <v>15</v>
      </c>
      <c r="S178" s="51"/>
      <c r="T178" s="51"/>
      <c r="U178" s="51"/>
      <c r="V178" s="51"/>
      <c r="W178" s="51"/>
      <c r="X178" s="51"/>
      <c r="Y178" s="82"/>
      <c r="Z178" s="51"/>
      <c r="AA178" s="51"/>
      <c r="AB178" s="51" t="s">
        <v>1106</v>
      </c>
      <c r="AC178" s="51" t="s">
        <v>1107</v>
      </c>
      <c r="AD178" s="51" t="s">
        <v>794</v>
      </c>
      <c r="AE178" s="51" t="s">
        <v>795</v>
      </c>
      <c r="AF178" s="51" t="s">
        <v>636</v>
      </c>
      <c r="AG178" s="51" t="s">
        <v>796</v>
      </c>
    </row>
    <row r="179" spans="1:33" ht="15.75" customHeight="1">
      <c r="A179" s="62" t="str">
        <f>IF(C179="","",VLOOKUP('OPĆI DIO'!$C$3,'OPĆI DIO'!$L$6:$U$120,10,FALSE))</f>
        <v>08008</v>
      </c>
      <c r="B179" s="62" t="str">
        <f>IF(C179="","",VLOOKUP('OPĆI DIO'!$C$3,'OPĆI DIO'!$L$6:$U$120,9,FALSE))</f>
        <v>Javni instituti</v>
      </c>
      <c r="C179" s="84">
        <v>61</v>
      </c>
      <c r="D179" s="79" t="str">
        <f t="shared" si="34"/>
        <v>Donacije</v>
      </c>
      <c r="E179" s="84">
        <v>3432</v>
      </c>
      <c r="F179" s="79" t="str">
        <f t="shared" si="35"/>
        <v>Negativne tečajne razlike i razlike zbog primjene valutne kl</v>
      </c>
      <c r="G179" s="84" t="s">
        <v>779</v>
      </c>
      <c r="H179" s="79" t="str">
        <f t="shared" si="36"/>
        <v>REDOVNA DJELATNOST JAVNIH INSTITUTA (IZ EVIDENCIJSKIH PRIHODA)</v>
      </c>
      <c r="I179" s="79" t="str">
        <f t="shared" si="37"/>
        <v>0150</v>
      </c>
      <c r="J179" s="67">
        <v>44</v>
      </c>
      <c r="K179" s="67">
        <v>26</v>
      </c>
      <c r="L179" s="67">
        <v>45</v>
      </c>
      <c r="M179" s="68"/>
      <c r="N179" s="51"/>
      <c r="O179" s="51" t="str">
        <f t="shared" si="4"/>
        <v>343</v>
      </c>
      <c r="P179" s="51" t="str">
        <f t="shared" si="5"/>
        <v>34</v>
      </c>
      <c r="Q179" s="51" t="str">
        <f t="shared" si="6"/>
        <v>61</v>
      </c>
      <c r="R179" s="51" t="str">
        <f t="shared" si="7"/>
        <v>15</v>
      </c>
      <c r="S179" s="51"/>
      <c r="T179" s="51"/>
      <c r="U179" s="51"/>
      <c r="V179" s="51"/>
      <c r="W179" s="51"/>
      <c r="X179" s="51"/>
      <c r="Y179" s="82"/>
      <c r="Z179" s="51"/>
      <c r="AA179" s="51"/>
      <c r="AB179" s="51" t="s">
        <v>1108</v>
      </c>
      <c r="AC179" s="51" t="s">
        <v>1109</v>
      </c>
      <c r="AD179" s="51" t="s">
        <v>668</v>
      </c>
      <c r="AE179" s="51" t="s">
        <v>669</v>
      </c>
      <c r="AF179" s="51" t="s">
        <v>636</v>
      </c>
      <c r="AG179" s="51" t="s">
        <v>670</v>
      </c>
    </row>
    <row r="180" spans="1:33" ht="15.75" customHeight="1">
      <c r="A180" s="62" t="str">
        <f>IF(C180="","",VLOOKUP('OPĆI DIO'!$C$3,'OPĆI DIO'!$L$6:$U$120,10,FALSE))</f>
        <v>08008</v>
      </c>
      <c r="B180" s="62" t="str">
        <f>IF(C180="","",VLOOKUP('OPĆI DIO'!$C$3,'OPĆI DIO'!$L$6:$U$120,9,FALSE))</f>
        <v>Javni instituti</v>
      </c>
      <c r="C180" s="84">
        <v>61</v>
      </c>
      <c r="D180" s="79" t="str">
        <f t="shared" si="34"/>
        <v>Donacije</v>
      </c>
      <c r="E180" s="84">
        <v>3231</v>
      </c>
      <c r="F180" s="79" t="str">
        <f t="shared" si="35"/>
        <v>Usluge telefona, pošte i prijevoza</v>
      </c>
      <c r="G180" s="84" t="s">
        <v>779</v>
      </c>
      <c r="H180" s="79" t="str">
        <f t="shared" si="36"/>
        <v>REDOVNA DJELATNOST JAVNIH INSTITUTA (IZ EVIDENCIJSKIH PRIHODA)</v>
      </c>
      <c r="I180" s="79" t="str">
        <f t="shared" si="37"/>
        <v>0150</v>
      </c>
      <c r="J180" s="67">
        <v>43</v>
      </c>
      <c r="K180" s="67">
        <v>25</v>
      </c>
      <c r="L180" s="67">
        <v>44</v>
      </c>
      <c r="M180" s="68"/>
      <c r="N180" s="51"/>
      <c r="O180" s="51" t="str">
        <f t="shared" si="4"/>
        <v>323</v>
      </c>
      <c r="P180" s="51" t="str">
        <f t="shared" si="5"/>
        <v>32</v>
      </c>
      <c r="Q180" s="51" t="str">
        <f t="shared" si="6"/>
        <v>61</v>
      </c>
      <c r="R180" s="51" t="str">
        <f t="shared" si="7"/>
        <v>15</v>
      </c>
      <c r="S180" s="51"/>
      <c r="T180" s="51"/>
      <c r="U180" s="51"/>
      <c r="V180" s="51"/>
      <c r="W180" s="51"/>
      <c r="X180" s="51"/>
      <c r="Y180" s="82"/>
      <c r="Z180" s="51"/>
      <c r="AA180" s="51"/>
      <c r="AB180" s="51" t="s">
        <v>1110</v>
      </c>
      <c r="AC180" s="51" t="s">
        <v>1111</v>
      </c>
      <c r="AD180" s="51" t="s">
        <v>668</v>
      </c>
      <c r="AE180" s="51" t="s">
        <v>669</v>
      </c>
      <c r="AF180" s="51" t="s">
        <v>636</v>
      </c>
      <c r="AG180" s="51" t="s">
        <v>670</v>
      </c>
    </row>
    <row r="181" spans="1:33" ht="15.75" customHeight="1">
      <c r="A181" s="62" t="str">
        <f>IF(C181="","",VLOOKUP('OPĆI DIO'!$C$3,'OPĆI DIO'!$L$6:$U$120,10,FALSE))</f>
        <v>08008</v>
      </c>
      <c r="B181" s="62" t="str">
        <f>IF(C181="","",VLOOKUP('OPĆI DIO'!$C$3,'OPĆI DIO'!$L$6:$U$120,9,FALSE))</f>
        <v>Javni instituti</v>
      </c>
      <c r="C181" s="84">
        <v>61</v>
      </c>
      <c r="D181" s="79" t="str">
        <f t="shared" si="34"/>
        <v>Donacije</v>
      </c>
      <c r="E181" s="84">
        <v>3223</v>
      </c>
      <c r="F181" s="79" t="str">
        <f t="shared" si="35"/>
        <v>Energija</v>
      </c>
      <c r="G181" s="84" t="s">
        <v>779</v>
      </c>
      <c r="H181" s="79" t="str">
        <f t="shared" si="36"/>
        <v>REDOVNA DJELATNOST JAVNIH INSTITUTA (IZ EVIDENCIJSKIH PRIHODA)</v>
      </c>
      <c r="I181" s="79" t="str">
        <f t="shared" si="37"/>
        <v>0150</v>
      </c>
      <c r="J181" s="67">
        <v>12</v>
      </c>
      <c r="K181" s="67">
        <v>7</v>
      </c>
      <c r="L181" s="67">
        <v>12</v>
      </c>
      <c r="M181" s="68"/>
      <c r="N181" s="51"/>
      <c r="O181" s="51" t="str">
        <f t="shared" si="4"/>
        <v>322</v>
      </c>
      <c r="P181" s="51" t="str">
        <f t="shared" si="5"/>
        <v>32</v>
      </c>
      <c r="Q181" s="51" t="str">
        <f t="shared" si="6"/>
        <v>61</v>
      </c>
      <c r="R181" s="51" t="str">
        <f t="shared" si="7"/>
        <v>15</v>
      </c>
      <c r="S181" s="51"/>
      <c r="T181" s="51"/>
      <c r="U181" s="51"/>
      <c r="V181" s="51"/>
      <c r="W181" s="51"/>
      <c r="X181" s="51"/>
      <c r="Y181" s="82"/>
      <c r="Z181" s="51"/>
      <c r="AA181" s="51"/>
      <c r="AB181" s="51" t="s">
        <v>1112</v>
      </c>
      <c r="AC181" s="51" t="s">
        <v>1113</v>
      </c>
      <c r="AD181" s="51" t="s">
        <v>668</v>
      </c>
      <c r="AE181" s="51" t="s">
        <v>669</v>
      </c>
      <c r="AF181" s="51" t="s">
        <v>636</v>
      </c>
      <c r="AG181" s="51" t="s">
        <v>670</v>
      </c>
    </row>
    <row r="182" spans="1:33" ht="15.75" customHeight="1">
      <c r="A182" s="62" t="str">
        <f>IF(C182="","",VLOOKUP('OPĆI DIO'!$C$3,'OPĆI DIO'!$L$6:$U$120,10,FALSE))</f>
        <v>08008</v>
      </c>
      <c r="B182" s="62" t="str">
        <f>IF(C182="","",VLOOKUP('OPĆI DIO'!$C$3,'OPĆI DIO'!$L$6:$U$120,9,FALSE))</f>
        <v>Javni instituti</v>
      </c>
      <c r="C182" s="84">
        <v>61</v>
      </c>
      <c r="D182" s="79" t="str">
        <f t="shared" si="34"/>
        <v>Donacije</v>
      </c>
      <c r="E182" s="84">
        <v>3241</v>
      </c>
      <c r="F182" s="79" t="str">
        <f t="shared" si="35"/>
        <v>Naknade troškova osobama izvan radnog odnosa</v>
      </c>
      <c r="G182" s="84" t="s">
        <v>779</v>
      </c>
      <c r="H182" s="79" t="str">
        <f t="shared" si="36"/>
        <v>REDOVNA DJELATNOST JAVNIH INSTITUTA (IZ EVIDENCIJSKIH PRIHODA)</v>
      </c>
      <c r="I182" s="79" t="str">
        <f t="shared" si="37"/>
        <v>0150</v>
      </c>
      <c r="J182" s="67">
        <v>5</v>
      </c>
      <c r="K182" s="67">
        <v>3</v>
      </c>
      <c r="L182" s="67">
        <v>5</v>
      </c>
      <c r="M182" s="68"/>
      <c r="N182" s="51"/>
      <c r="O182" s="51" t="str">
        <f t="shared" si="4"/>
        <v>324</v>
      </c>
      <c r="P182" s="51" t="str">
        <f t="shared" si="5"/>
        <v>32</v>
      </c>
      <c r="Q182" s="51" t="str">
        <f t="shared" si="6"/>
        <v>61</v>
      </c>
      <c r="R182" s="51" t="str">
        <f t="shared" si="7"/>
        <v>15</v>
      </c>
      <c r="S182" s="51"/>
      <c r="T182" s="51"/>
      <c r="U182" s="51"/>
      <c r="V182" s="51"/>
      <c r="W182" s="51"/>
      <c r="X182" s="51"/>
      <c r="Y182" s="82"/>
      <c r="Z182" s="51"/>
      <c r="AA182" s="51"/>
      <c r="AB182" s="51" t="s">
        <v>1114</v>
      </c>
      <c r="AC182" s="51" t="s">
        <v>1115</v>
      </c>
      <c r="AD182" s="51" t="s">
        <v>668</v>
      </c>
      <c r="AE182" s="51" t="s">
        <v>669</v>
      </c>
      <c r="AF182" s="51" t="s">
        <v>636</v>
      </c>
      <c r="AG182" s="51" t="s">
        <v>670</v>
      </c>
    </row>
    <row r="183" spans="1:33" ht="15.75" customHeight="1">
      <c r="A183" s="62" t="str">
        <f>IF(C183="","",VLOOKUP('OPĆI DIO'!$C$3,'OPĆI DIO'!$L$6:$U$120,10,FALSE))</f>
        <v>08008</v>
      </c>
      <c r="B183" s="62" t="str">
        <f>IF(C183="","",VLOOKUP('OPĆI DIO'!$C$3,'OPĆI DIO'!$L$6:$U$120,9,FALSE))</f>
        <v>Javni instituti</v>
      </c>
      <c r="C183" s="84">
        <v>61</v>
      </c>
      <c r="D183" s="79" t="str">
        <f t="shared" si="34"/>
        <v>Donacije</v>
      </c>
      <c r="E183" s="84">
        <v>3431</v>
      </c>
      <c r="F183" s="79" t="str">
        <f t="shared" si="35"/>
        <v>Bankarske usluge i usluge platnog prometa</v>
      </c>
      <c r="G183" s="84" t="s">
        <v>779</v>
      </c>
      <c r="H183" s="79" t="str">
        <f t="shared" si="36"/>
        <v>REDOVNA DJELATNOST JAVNIH INSTITUTA (IZ EVIDENCIJSKIH PRIHODA)</v>
      </c>
      <c r="I183" s="79" t="str">
        <f t="shared" si="37"/>
        <v>0150</v>
      </c>
      <c r="J183" s="67">
        <v>4</v>
      </c>
      <c r="K183" s="67">
        <v>2</v>
      </c>
      <c r="L183" s="67">
        <v>4</v>
      </c>
      <c r="M183" s="68"/>
      <c r="N183" s="51"/>
      <c r="O183" s="51" t="str">
        <f t="shared" si="4"/>
        <v>343</v>
      </c>
      <c r="P183" s="51" t="str">
        <f t="shared" si="5"/>
        <v>34</v>
      </c>
      <c r="Q183" s="51" t="str">
        <f t="shared" si="6"/>
        <v>61</v>
      </c>
      <c r="R183" s="51" t="str">
        <f t="shared" si="7"/>
        <v>15</v>
      </c>
      <c r="S183" s="51"/>
      <c r="T183" s="51"/>
      <c r="U183" s="51"/>
      <c r="V183" s="51"/>
      <c r="W183" s="51"/>
      <c r="X183" s="51"/>
      <c r="Y183" s="82"/>
      <c r="Z183" s="51"/>
      <c r="AA183" s="51"/>
      <c r="AB183" s="51" t="s">
        <v>1116</v>
      </c>
      <c r="AC183" s="51" t="s">
        <v>1117</v>
      </c>
      <c r="AD183" s="51" t="s">
        <v>668</v>
      </c>
      <c r="AE183" s="51" t="s">
        <v>669</v>
      </c>
      <c r="AF183" s="51" t="s">
        <v>636</v>
      </c>
      <c r="AG183" s="51" t="s">
        <v>670</v>
      </c>
    </row>
    <row r="184" spans="1:33" s="275" customFormat="1" ht="15.75" customHeight="1">
      <c r="A184" s="263"/>
      <c r="B184" s="263"/>
      <c r="C184" s="262"/>
      <c r="D184" s="263"/>
      <c r="E184" s="262"/>
      <c r="F184" s="263"/>
      <c r="G184" s="262"/>
      <c r="H184" s="263"/>
      <c r="I184" s="263"/>
      <c r="J184" s="264"/>
      <c r="K184" s="264"/>
      <c r="L184" s="264"/>
      <c r="M184" s="274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</row>
    <row r="185" spans="1:33" s="275" customFormat="1" ht="15.75" customHeight="1">
      <c r="A185" s="263"/>
      <c r="B185" s="263"/>
      <c r="C185" s="262"/>
      <c r="D185" s="263"/>
      <c r="E185" s="262"/>
      <c r="F185" s="263"/>
      <c r="G185" s="262"/>
      <c r="H185" s="263"/>
      <c r="I185" s="263"/>
      <c r="J185" s="276"/>
      <c r="K185" s="276"/>
      <c r="L185" s="276"/>
      <c r="M185" s="274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</row>
    <row r="186" spans="1:33" s="275" customFormat="1" ht="15.75" customHeight="1">
      <c r="A186" s="263"/>
      <c r="B186" s="263"/>
      <c r="C186" s="262"/>
      <c r="D186" s="263"/>
      <c r="E186" s="262"/>
      <c r="F186" s="263"/>
      <c r="G186" s="262"/>
      <c r="H186" s="263"/>
      <c r="I186" s="263"/>
      <c r="J186" s="264"/>
      <c r="K186" s="264"/>
      <c r="L186" s="264"/>
      <c r="M186" s="274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</row>
    <row r="187" spans="1:33" s="275" customFormat="1" ht="15.75" customHeight="1">
      <c r="A187" s="263"/>
      <c r="B187" s="263"/>
      <c r="C187" s="262"/>
      <c r="D187" s="263"/>
      <c r="E187" s="262"/>
      <c r="F187" s="263"/>
      <c r="G187" s="262"/>
      <c r="H187" s="263"/>
      <c r="I187" s="263"/>
      <c r="J187" s="264"/>
      <c r="K187" s="264"/>
      <c r="L187" s="264"/>
      <c r="M187" s="274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</row>
    <row r="188" spans="1:33" s="275" customFormat="1" ht="15.75" customHeight="1">
      <c r="A188" s="263"/>
      <c r="B188" s="263"/>
      <c r="C188" s="262"/>
      <c r="D188" s="263"/>
      <c r="E188" s="262"/>
      <c r="F188" s="263"/>
      <c r="G188" s="262"/>
      <c r="H188" s="263"/>
      <c r="I188" s="263"/>
      <c r="J188" s="264"/>
      <c r="K188" s="264"/>
      <c r="L188" s="264"/>
      <c r="M188" s="274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</row>
    <row r="189" spans="1:33" ht="15.75" customHeight="1">
      <c r="A189" s="79" t="str">
        <f>IF(C189="","",VLOOKUP('OPĆI DIO'!$C$3,'OPĆI DIO'!$L$6:$U$120,10,FALSE))</f>
        <v/>
      </c>
      <c r="B189" s="79" t="str">
        <f>IF(C189="","",VLOOKUP('OPĆI DIO'!$C$3,'OPĆI DIO'!$L$6:$U$120,9,FALSE))</f>
        <v/>
      </c>
      <c r="C189" s="84"/>
      <c r="D189" s="79" t="str">
        <f t="shared" si="0"/>
        <v/>
      </c>
      <c r="E189" s="84"/>
      <c r="F189" s="79" t="str">
        <f t="shared" si="1"/>
        <v/>
      </c>
      <c r="G189" s="84"/>
      <c r="H189" s="79" t="str">
        <f t="shared" ref="H189:H252" si="38">IFERROR(VLOOKUP(G189,$AB$6:$AC$332,2,FALSE),"")</f>
        <v/>
      </c>
      <c r="I189" s="79" t="str">
        <f t="shared" ref="I189:I252" si="39">IFERROR(VLOOKUP(G189,$AB$6:$AF$332,3,FALSE),"")</f>
        <v/>
      </c>
      <c r="J189" s="67"/>
      <c r="K189" s="67"/>
      <c r="L189" s="67"/>
      <c r="M189" s="68"/>
      <c r="N189" s="51"/>
      <c r="O189" s="51" t="str">
        <f t="shared" si="4"/>
        <v/>
      </c>
      <c r="P189" s="51" t="str">
        <f t="shared" si="5"/>
        <v/>
      </c>
      <c r="Q189" s="51" t="str">
        <f t="shared" si="6"/>
        <v/>
      </c>
      <c r="R189" s="51" t="str">
        <f t="shared" si="7"/>
        <v/>
      </c>
      <c r="S189" s="51"/>
      <c r="T189" s="51"/>
      <c r="U189" s="51"/>
      <c r="V189" s="51"/>
      <c r="W189" s="51"/>
      <c r="X189" s="51"/>
      <c r="Y189" s="82"/>
      <c r="Z189" s="51"/>
      <c r="AA189" s="51"/>
      <c r="AB189" s="51" t="s">
        <v>1128</v>
      </c>
      <c r="AC189" s="51" t="s">
        <v>1129</v>
      </c>
      <c r="AD189" s="51" t="s">
        <v>668</v>
      </c>
      <c r="AE189" s="51" t="s">
        <v>669</v>
      </c>
      <c r="AF189" s="51" t="s">
        <v>636</v>
      </c>
      <c r="AG189" s="51" t="s">
        <v>670</v>
      </c>
    </row>
    <row r="190" spans="1:33" ht="15.75" customHeight="1">
      <c r="A190" s="79" t="str">
        <f>IF(C190="","",VLOOKUP('OPĆI DIO'!$C$3,'OPĆI DIO'!$L$6:$U$120,10,FALSE))</f>
        <v/>
      </c>
      <c r="B190" s="79" t="str">
        <f>IF(C190="","",VLOOKUP('OPĆI DIO'!$C$3,'OPĆI DIO'!$L$6:$U$120,9,FALSE))</f>
        <v/>
      </c>
      <c r="C190" s="84"/>
      <c r="D190" s="79" t="str">
        <f t="shared" si="0"/>
        <v/>
      </c>
      <c r="E190" s="84"/>
      <c r="F190" s="79" t="str">
        <f t="shared" si="1"/>
        <v/>
      </c>
      <c r="G190" s="84"/>
      <c r="H190" s="79" t="str">
        <f t="shared" si="38"/>
        <v/>
      </c>
      <c r="I190" s="79" t="str">
        <f t="shared" si="39"/>
        <v/>
      </c>
      <c r="J190" s="67"/>
      <c r="K190" s="67"/>
      <c r="L190" s="67"/>
      <c r="M190" s="68"/>
      <c r="N190" s="51"/>
      <c r="O190" s="51" t="str">
        <f t="shared" si="4"/>
        <v/>
      </c>
      <c r="P190" s="51" t="str">
        <f t="shared" si="5"/>
        <v/>
      </c>
      <c r="Q190" s="51" t="str">
        <f t="shared" si="6"/>
        <v/>
      </c>
      <c r="R190" s="51" t="str">
        <f t="shared" si="7"/>
        <v/>
      </c>
      <c r="S190" s="51"/>
      <c r="T190" s="51"/>
      <c r="U190" s="51"/>
      <c r="V190" s="51"/>
      <c r="W190" s="51"/>
      <c r="X190" s="51"/>
      <c r="Y190" s="82"/>
      <c r="Z190" s="51"/>
      <c r="AA190" s="51"/>
      <c r="AB190" s="51" t="s">
        <v>1130</v>
      </c>
      <c r="AC190" s="51" t="s">
        <v>1131</v>
      </c>
      <c r="AD190" s="51" t="s">
        <v>668</v>
      </c>
      <c r="AE190" s="51" t="s">
        <v>669</v>
      </c>
      <c r="AF190" s="51" t="s">
        <v>636</v>
      </c>
      <c r="AG190" s="51" t="s">
        <v>670</v>
      </c>
    </row>
    <row r="191" spans="1:33" ht="15.75" customHeight="1">
      <c r="A191" s="79" t="str">
        <f>IF(C191="","",VLOOKUP('OPĆI DIO'!$C$3,'OPĆI DIO'!$L$6:$U$120,10,FALSE))</f>
        <v/>
      </c>
      <c r="B191" s="79" t="str">
        <f>IF(C191="","",VLOOKUP('OPĆI DIO'!$C$3,'OPĆI DIO'!$L$6:$U$120,9,FALSE))</f>
        <v/>
      </c>
      <c r="C191" s="84"/>
      <c r="D191" s="79" t="str">
        <f t="shared" si="0"/>
        <v/>
      </c>
      <c r="E191" s="84"/>
      <c r="F191" s="79" t="str">
        <f t="shared" si="1"/>
        <v/>
      </c>
      <c r="G191" s="84"/>
      <c r="H191" s="79" t="str">
        <f t="shared" si="38"/>
        <v/>
      </c>
      <c r="I191" s="79" t="str">
        <f t="shared" si="39"/>
        <v/>
      </c>
      <c r="J191" s="67"/>
      <c r="K191" s="67"/>
      <c r="L191" s="67"/>
      <c r="M191" s="68"/>
      <c r="N191" s="51"/>
      <c r="O191" s="51" t="str">
        <f t="shared" si="4"/>
        <v/>
      </c>
      <c r="P191" s="51" t="str">
        <f t="shared" si="5"/>
        <v/>
      </c>
      <c r="Q191" s="51" t="str">
        <f t="shared" si="6"/>
        <v/>
      </c>
      <c r="R191" s="51" t="str">
        <f t="shared" si="7"/>
        <v/>
      </c>
      <c r="S191" s="51"/>
      <c r="T191" s="51"/>
      <c r="U191" s="51"/>
      <c r="V191" s="51"/>
      <c r="W191" s="51"/>
      <c r="X191" s="51"/>
      <c r="Y191" s="82"/>
      <c r="Z191" s="51"/>
      <c r="AA191" s="51"/>
      <c r="AB191" s="51" t="s">
        <v>1132</v>
      </c>
      <c r="AC191" s="51" t="s">
        <v>1133</v>
      </c>
      <c r="AD191" s="51" t="s">
        <v>668</v>
      </c>
      <c r="AE191" s="51" t="s">
        <v>669</v>
      </c>
      <c r="AF191" s="51" t="s">
        <v>636</v>
      </c>
      <c r="AG191" s="51" t="s">
        <v>670</v>
      </c>
    </row>
    <row r="192" spans="1:33" ht="15.75" customHeight="1">
      <c r="A192" s="79" t="str">
        <f>IF(C192="","",VLOOKUP('OPĆI DIO'!$C$3,'OPĆI DIO'!$L$6:$U$120,10,FALSE))</f>
        <v/>
      </c>
      <c r="B192" s="79" t="str">
        <f>IF(C192="","",VLOOKUP('OPĆI DIO'!$C$3,'OPĆI DIO'!$L$6:$U$120,9,FALSE))</f>
        <v/>
      </c>
      <c r="C192" s="84"/>
      <c r="D192" s="79" t="str">
        <f t="shared" si="0"/>
        <v/>
      </c>
      <c r="E192" s="84"/>
      <c r="F192" s="79" t="str">
        <f t="shared" si="1"/>
        <v/>
      </c>
      <c r="G192" s="84"/>
      <c r="H192" s="79" t="str">
        <f t="shared" si="38"/>
        <v/>
      </c>
      <c r="I192" s="79" t="str">
        <f t="shared" si="39"/>
        <v/>
      </c>
      <c r="J192" s="67"/>
      <c r="K192" s="67"/>
      <c r="L192" s="67"/>
      <c r="M192" s="68"/>
      <c r="N192" s="51"/>
      <c r="O192" s="51" t="str">
        <f t="shared" si="4"/>
        <v/>
      </c>
      <c r="P192" s="51" t="str">
        <f t="shared" si="5"/>
        <v/>
      </c>
      <c r="Q192" s="51" t="str">
        <f t="shared" si="6"/>
        <v/>
      </c>
      <c r="R192" s="51" t="str">
        <f t="shared" si="7"/>
        <v/>
      </c>
      <c r="S192" s="51"/>
      <c r="T192" s="51"/>
      <c r="U192" s="51"/>
      <c r="V192" s="51"/>
      <c r="W192" s="51"/>
      <c r="X192" s="51"/>
      <c r="Y192" s="82"/>
      <c r="Z192" s="51"/>
      <c r="AA192" s="51"/>
      <c r="AB192" s="51" t="s">
        <v>1134</v>
      </c>
      <c r="AC192" s="51" t="s">
        <v>1135</v>
      </c>
      <c r="AD192" s="51" t="s">
        <v>668</v>
      </c>
      <c r="AE192" s="51" t="s">
        <v>669</v>
      </c>
      <c r="AF192" s="51" t="s">
        <v>636</v>
      </c>
      <c r="AG192" s="51" t="s">
        <v>670</v>
      </c>
    </row>
    <row r="193" spans="1:33" ht="15.75" customHeight="1">
      <c r="A193" s="79" t="str">
        <f>IF(C193="","",VLOOKUP('OPĆI DIO'!$C$3,'OPĆI DIO'!$L$6:$U$120,10,FALSE))</f>
        <v/>
      </c>
      <c r="B193" s="79" t="str">
        <f>IF(C193="","",VLOOKUP('OPĆI DIO'!$C$3,'OPĆI DIO'!$L$6:$U$120,9,FALSE))</f>
        <v/>
      </c>
      <c r="C193" s="84"/>
      <c r="D193" s="79" t="str">
        <f t="shared" si="0"/>
        <v/>
      </c>
      <c r="E193" s="84"/>
      <c r="F193" s="79" t="str">
        <f t="shared" si="1"/>
        <v/>
      </c>
      <c r="G193" s="84"/>
      <c r="H193" s="79" t="str">
        <f t="shared" si="38"/>
        <v/>
      </c>
      <c r="I193" s="79" t="str">
        <f t="shared" si="39"/>
        <v/>
      </c>
      <c r="J193" s="67"/>
      <c r="K193" s="67"/>
      <c r="L193" s="67"/>
      <c r="M193" s="68"/>
      <c r="N193" s="51"/>
      <c r="O193" s="51" t="str">
        <f t="shared" si="4"/>
        <v/>
      </c>
      <c r="P193" s="51" t="str">
        <f t="shared" si="5"/>
        <v/>
      </c>
      <c r="Q193" s="51" t="str">
        <f t="shared" si="6"/>
        <v/>
      </c>
      <c r="R193" s="51" t="str">
        <f t="shared" si="7"/>
        <v/>
      </c>
      <c r="S193" s="51"/>
      <c r="T193" s="51"/>
      <c r="U193" s="51"/>
      <c r="V193" s="51"/>
      <c r="W193" s="51"/>
      <c r="X193" s="51"/>
      <c r="Y193" s="82"/>
      <c r="Z193" s="51"/>
      <c r="AA193" s="51"/>
      <c r="AB193" s="51" t="s">
        <v>1136</v>
      </c>
      <c r="AC193" s="51" t="s">
        <v>1137</v>
      </c>
      <c r="AD193" s="51" t="s">
        <v>668</v>
      </c>
      <c r="AE193" s="51" t="s">
        <v>669</v>
      </c>
      <c r="AF193" s="51" t="s">
        <v>636</v>
      </c>
      <c r="AG193" s="51" t="s">
        <v>670</v>
      </c>
    </row>
    <row r="194" spans="1:33" ht="15.75" customHeight="1">
      <c r="A194" s="79" t="str">
        <f>IF(C194="","",VLOOKUP('OPĆI DIO'!$C$3,'OPĆI DIO'!$L$6:$U$120,10,FALSE))</f>
        <v/>
      </c>
      <c r="B194" s="79" t="str">
        <f>IF(C194="","",VLOOKUP('OPĆI DIO'!$C$3,'OPĆI DIO'!$L$6:$U$120,9,FALSE))</f>
        <v/>
      </c>
      <c r="C194" s="84"/>
      <c r="D194" s="79" t="str">
        <f t="shared" si="0"/>
        <v/>
      </c>
      <c r="E194" s="84"/>
      <c r="F194" s="79" t="str">
        <f t="shared" si="1"/>
        <v/>
      </c>
      <c r="G194" s="84"/>
      <c r="H194" s="79" t="str">
        <f t="shared" si="38"/>
        <v/>
      </c>
      <c r="I194" s="79" t="str">
        <f t="shared" si="39"/>
        <v/>
      </c>
      <c r="J194" s="67"/>
      <c r="K194" s="67"/>
      <c r="L194" s="67"/>
      <c r="M194" s="68"/>
      <c r="N194" s="51"/>
      <c r="O194" s="51" t="str">
        <f t="shared" si="4"/>
        <v/>
      </c>
      <c r="P194" s="51" t="str">
        <f t="shared" si="5"/>
        <v/>
      </c>
      <c r="Q194" s="51" t="str">
        <f t="shared" si="6"/>
        <v/>
      </c>
      <c r="R194" s="51" t="str">
        <f t="shared" si="7"/>
        <v/>
      </c>
      <c r="S194" s="51"/>
      <c r="T194" s="51"/>
      <c r="U194" s="51"/>
      <c r="V194" s="51"/>
      <c r="W194" s="51"/>
      <c r="X194" s="51"/>
      <c r="Y194" s="82"/>
      <c r="Z194" s="51"/>
      <c r="AA194" s="51"/>
      <c r="AB194" s="51" t="s">
        <v>1138</v>
      </c>
      <c r="AC194" s="51" t="s">
        <v>1139</v>
      </c>
      <c r="AD194" s="51" t="s">
        <v>668</v>
      </c>
      <c r="AE194" s="51" t="s">
        <v>669</v>
      </c>
      <c r="AF194" s="51" t="s">
        <v>636</v>
      </c>
      <c r="AG194" s="51" t="s">
        <v>670</v>
      </c>
    </row>
    <row r="195" spans="1:33" ht="15.75" customHeight="1">
      <c r="A195" s="79" t="str">
        <f>IF(C195="","",VLOOKUP('OPĆI DIO'!$C$3,'OPĆI DIO'!$L$6:$U$120,10,FALSE))</f>
        <v/>
      </c>
      <c r="B195" s="79" t="str">
        <f>IF(C195="","",VLOOKUP('OPĆI DIO'!$C$3,'OPĆI DIO'!$L$6:$U$120,9,FALSE))</f>
        <v/>
      </c>
      <c r="C195" s="84"/>
      <c r="D195" s="79" t="str">
        <f t="shared" si="0"/>
        <v/>
      </c>
      <c r="E195" s="84"/>
      <c r="F195" s="79" t="str">
        <f t="shared" si="1"/>
        <v/>
      </c>
      <c r="G195" s="84"/>
      <c r="H195" s="79" t="str">
        <f t="shared" si="38"/>
        <v/>
      </c>
      <c r="I195" s="79" t="str">
        <f t="shared" si="39"/>
        <v/>
      </c>
      <c r="J195" s="67"/>
      <c r="K195" s="67"/>
      <c r="L195" s="67"/>
      <c r="M195" s="68"/>
      <c r="N195" s="51"/>
      <c r="O195" s="51" t="str">
        <f t="shared" si="4"/>
        <v/>
      </c>
      <c r="P195" s="51" t="str">
        <f t="shared" si="5"/>
        <v/>
      </c>
      <c r="Q195" s="51" t="str">
        <f t="shared" si="6"/>
        <v/>
      </c>
      <c r="R195" s="51" t="str">
        <f t="shared" si="7"/>
        <v/>
      </c>
      <c r="S195" s="51"/>
      <c r="T195" s="51"/>
      <c r="U195" s="51"/>
      <c r="V195" s="51"/>
      <c r="W195" s="51"/>
      <c r="X195" s="51"/>
      <c r="Y195" s="82"/>
      <c r="Z195" s="51"/>
      <c r="AA195" s="51"/>
      <c r="AB195" s="51" t="s">
        <v>1140</v>
      </c>
      <c r="AC195" s="51" t="s">
        <v>1141</v>
      </c>
      <c r="AD195" s="51" t="s">
        <v>668</v>
      </c>
      <c r="AE195" s="51" t="s">
        <v>669</v>
      </c>
      <c r="AF195" s="51" t="s">
        <v>636</v>
      </c>
      <c r="AG195" s="51" t="s">
        <v>670</v>
      </c>
    </row>
    <row r="196" spans="1:33" ht="15.75" customHeight="1">
      <c r="A196" s="79" t="str">
        <f>IF(C196="","",VLOOKUP('OPĆI DIO'!$C$3,'OPĆI DIO'!$L$6:$U$120,10,FALSE))</f>
        <v/>
      </c>
      <c r="B196" s="79" t="str">
        <f>IF(C196="","",VLOOKUP('OPĆI DIO'!$C$3,'OPĆI DIO'!$L$6:$U$120,9,FALSE))</f>
        <v/>
      </c>
      <c r="C196" s="84"/>
      <c r="D196" s="79" t="str">
        <f t="shared" si="0"/>
        <v/>
      </c>
      <c r="E196" s="84"/>
      <c r="F196" s="79" t="str">
        <f t="shared" si="1"/>
        <v/>
      </c>
      <c r="G196" s="84"/>
      <c r="H196" s="79" t="str">
        <f t="shared" si="38"/>
        <v/>
      </c>
      <c r="I196" s="79" t="str">
        <f t="shared" si="39"/>
        <v/>
      </c>
      <c r="J196" s="67"/>
      <c r="K196" s="67"/>
      <c r="L196" s="67"/>
      <c r="M196" s="68"/>
      <c r="N196" s="51"/>
      <c r="O196" s="51" t="str">
        <f t="shared" si="4"/>
        <v/>
      </c>
      <c r="P196" s="51" t="str">
        <f t="shared" si="5"/>
        <v/>
      </c>
      <c r="Q196" s="51" t="str">
        <f t="shared" si="6"/>
        <v/>
      </c>
      <c r="R196" s="51" t="str">
        <f t="shared" si="7"/>
        <v/>
      </c>
      <c r="S196" s="51"/>
      <c r="T196" s="51"/>
      <c r="U196" s="51"/>
      <c r="V196" s="51"/>
      <c r="W196" s="51"/>
      <c r="X196" s="51"/>
      <c r="Y196" s="82"/>
      <c r="Z196" s="51"/>
      <c r="AA196" s="51"/>
      <c r="AB196" s="51" t="s">
        <v>1142</v>
      </c>
      <c r="AC196" s="51" t="s">
        <v>1143</v>
      </c>
      <c r="AD196" s="51" t="s">
        <v>668</v>
      </c>
      <c r="AE196" s="51" t="s">
        <v>669</v>
      </c>
      <c r="AF196" s="51" t="s">
        <v>636</v>
      </c>
      <c r="AG196" s="51" t="s">
        <v>670</v>
      </c>
    </row>
    <row r="197" spans="1:33" ht="15.75" customHeight="1">
      <c r="A197" s="79" t="str">
        <f>IF(C197="","",VLOOKUP('OPĆI DIO'!$C$3,'OPĆI DIO'!$L$6:$U$120,10,FALSE))</f>
        <v/>
      </c>
      <c r="B197" s="79" t="str">
        <f>IF(C197="","",VLOOKUP('OPĆI DIO'!$C$3,'OPĆI DIO'!$L$6:$U$120,9,FALSE))</f>
        <v/>
      </c>
      <c r="C197" s="84"/>
      <c r="D197" s="79" t="str">
        <f t="shared" si="0"/>
        <v/>
      </c>
      <c r="E197" s="84"/>
      <c r="F197" s="79" t="str">
        <f t="shared" si="1"/>
        <v/>
      </c>
      <c r="G197" s="84"/>
      <c r="H197" s="79" t="str">
        <f t="shared" si="38"/>
        <v/>
      </c>
      <c r="I197" s="79" t="str">
        <f t="shared" si="39"/>
        <v/>
      </c>
      <c r="J197" s="67"/>
      <c r="K197" s="67"/>
      <c r="L197" s="67"/>
      <c r="M197" s="68"/>
      <c r="N197" s="51"/>
      <c r="O197" s="51" t="str">
        <f t="shared" si="4"/>
        <v/>
      </c>
      <c r="P197" s="51" t="str">
        <f t="shared" si="5"/>
        <v/>
      </c>
      <c r="Q197" s="51" t="str">
        <f t="shared" si="6"/>
        <v/>
      </c>
      <c r="R197" s="51" t="str">
        <f t="shared" si="7"/>
        <v/>
      </c>
      <c r="S197" s="51"/>
      <c r="T197" s="51"/>
      <c r="U197" s="51"/>
      <c r="V197" s="51"/>
      <c r="W197" s="51"/>
      <c r="X197" s="51"/>
      <c r="Y197" s="82"/>
      <c r="Z197" s="51"/>
      <c r="AA197" s="51"/>
      <c r="AB197" s="51" t="s">
        <v>1144</v>
      </c>
      <c r="AC197" s="51" t="s">
        <v>1008</v>
      </c>
      <c r="AD197" s="51" t="s">
        <v>668</v>
      </c>
      <c r="AE197" s="51" t="s">
        <v>669</v>
      </c>
      <c r="AF197" s="51" t="s">
        <v>636</v>
      </c>
      <c r="AG197" s="51" t="s">
        <v>670</v>
      </c>
    </row>
    <row r="198" spans="1:33" ht="15.75" customHeight="1">
      <c r="A198" s="79" t="str">
        <f>IF(C198="","",VLOOKUP('OPĆI DIO'!$C$3,'OPĆI DIO'!$L$6:$U$120,10,FALSE))</f>
        <v/>
      </c>
      <c r="B198" s="79" t="str">
        <f>IF(C198="","",VLOOKUP('OPĆI DIO'!$C$3,'OPĆI DIO'!$L$6:$U$120,9,FALSE))</f>
        <v/>
      </c>
      <c r="C198" s="84"/>
      <c r="D198" s="79"/>
      <c r="E198" s="84"/>
      <c r="F198" s="79" t="str">
        <f t="shared" si="1"/>
        <v/>
      </c>
      <c r="G198" s="84"/>
      <c r="H198" s="79" t="str">
        <f t="shared" si="38"/>
        <v/>
      </c>
      <c r="I198" s="79" t="str">
        <f t="shared" si="39"/>
        <v/>
      </c>
      <c r="J198" s="67"/>
      <c r="K198" s="67"/>
      <c r="L198" s="67"/>
      <c r="M198" s="68"/>
      <c r="N198" s="51"/>
      <c r="O198" s="51" t="str">
        <f t="shared" si="4"/>
        <v/>
      </c>
      <c r="P198" s="51" t="str">
        <f t="shared" si="5"/>
        <v/>
      </c>
      <c r="Q198" s="51" t="str">
        <f t="shared" si="6"/>
        <v/>
      </c>
      <c r="R198" s="51" t="str">
        <f t="shared" si="7"/>
        <v/>
      </c>
      <c r="S198" s="51"/>
      <c r="T198" s="51"/>
      <c r="U198" s="51"/>
      <c r="V198" s="51"/>
      <c r="W198" s="51"/>
      <c r="X198" s="51"/>
      <c r="Y198" s="82"/>
      <c r="Z198" s="51"/>
      <c r="AA198" s="51"/>
      <c r="AB198" s="51" t="s">
        <v>1145</v>
      </c>
      <c r="AC198" s="51" t="s">
        <v>1146</v>
      </c>
      <c r="AD198" s="51" t="s">
        <v>668</v>
      </c>
      <c r="AE198" s="51" t="s">
        <v>669</v>
      </c>
      <c r="AF198" s="51" t="s">
        <v>636</v>
      </c>
      <c r="AG198" s="51" t="s">
        <v>670</v>
      </c>
    </row>
    <row r="199" spans="1:33" ht="15.75" customHeight="1">
      <c r="A199" s="79" t="str">
        <f>IF(C199="","",VLOOKUP('OPĆI DIO'!$C$3,'OPĆI DIO'!$L$6:$U$120,10,FALSE))</f>
        <v/>
      </c>
      <c r="B199" s="79" t="str">
        <f>IF(C199="","",VLOOKUP('OPĆI DIO'!$C$3,'OPĆI DIO'!$L$6:$U$120,9,FALSE))</f>
        <v/>
      </c>
      <c r="C199" s="84"/>
      <c r="D199" s="79" t="str">
        <f t="shared" si="0"/>
        <v/>
      </c>
      <c r="E199" s="84"/>
      <c r="F199" s="79" t="str">
        <f t="shared" si="1"/>
        <v/>
      </c>
      <c r="G199" s="84"/>
      <c r="H199" s="79" t="str">
        <f t="shared" si="38"/>
        <v/>
      </c>
      <c r="I199" s="79" t="str">
        <f t="shared" si="39"/>
        <v/>
      </c>
      <c r="J199" s="67"/>
      <c r="K199" s="67"/>
      <c r="L199" s="67"/>
      <c r="M199" s="68"/>
      <c r="N199" s="51"/>
      <c r="O199" s="51" t="str">
        <f t="shared" si="4"/>
        <v/>
      </c>
      <c r="P199" s="51" t="str">
        <f t="shared" si="5"/>
        <v/>
      </c>
      <c r="Q199" s="51" t="str">
        <f t="shared" si="6"/>
        <v/>
      </c>
      <c r="R199" s="51" t="str">
        <f t="shared" si="7"/>
        <v/>
      </c>
      <c r="S199" s="51"/>
      <c r="T199" s="51"/>
      <c r="U199" s="51"/>
      <c r="V199" s="51"/>
      <c r="W199" s="51"/>
      <c r="X199" s="51"/>
      <c r="Y199" s="82"/>
      <c r="Z199" s="51"/>
      <c r="AA199" s="51"/>
      <c r="AB199" s="51" t="s">
        <v>1147</v>
      </c>
      <c r="AC199" s="51" t="s">
        <v>1049</v>
      </c>
      <c r="AD199" s="51" t="s">
        <v>668</v>
      </c>
      <c r="AE199" s="51" t="s">
        <v>669</v>
      </c>
      <c r="AF199" s="51" t="s">
        <v>636</v>
      </c>
      <c r="AG199" s="51" t="s">
        <v>670</v>
      </c>
    </row>
    <row r="200" spans="1:33" ht="15.75" customHeight="1">
      <c r="A200" s="79" t="str">
        <f>IF(C200="","",VLOOKUP('OPĆI DIO'!$C$3,'OPĆI DIO'!$L$6:$U$120,10,FALSE))</f>
        <v/>
      </c>
      <c r="B200" s="79" t="str">
        <f>IF(C200="","",VLOOKUP('OPĆI DIO'!$C$3,'OPĆI DIO'!$L$6:$U$120,9,FALSE))</f>
        <v/>
      </c>
      <c r="C200" s="84"/>
      <c r="D200" s="79" t="str">
        <f t="shared" si="0"/>
        <v/>
      </c>
      <c r="E200" s="84"/>
      <c r="F200" s="79" t="str">
        <f t="shared" si="1"/>
        <v/>
      </c>
      <c r="G200" s="84"/>
      <c r="H200" s="79" t="str">
        <f t="shared" si="38"/>
        <v/>
      </c>
      <c r="I200" s="79" t="str">
        <f t="shared" si="39"/>
        <v/>
      </c>
      <c r="J200" s="67"/>
      <c r="K200" s="67"/>
      <c r="L200" s="67"/>
      <c r="M200" s="68"/>
      <c r="N200" s="51"/>
      <c r="O200" s="51" t="str">
        <f t="shared" si="4"/>
        <v/>
      </c>
      <c r="P200" s="51" t="str">
        <f t="shared" si="5"/>
        <v/>
      </c>
      <c r="Q200" s="51" t="str">
        <f t="shared" si="6"/>
        <v/>
      </c>
      <c r="R200" s="51" t="str">
        <f t="shared" si="7"/>
        <v/>
      </c>
      <c r="S200" s="51"/>
      <c r="T200" s="51"/>
      <c r="U200" s="51"/>
      <c r="V200" s="51"/>
      <c r="W200" s="51"/>
      <c r="X200" s="51"/>
      <c r="Y200" s="82"/>
      <c r="Z200" s="51"/>
      <c r="AA200" s="51"/>
      <c r="AB200" s="51" t="s">
        <v>1148</v>
      </c>
      <c r="AC200" s="51" t="s">
        <v>1032</v>
      </c>
      <c r="AD200" s="51" t="s">
        <v>668</v>
      </c>
      <c r="AE200" s="51" t="s">
        <v>669</v>
      </c>
      <c r="AF200" s="51" t="s">
        <v>636</v>
      </c>
      <c r="AG200" s="51" t="s">
        <v>670</v>
      </c>
    </row>
    <row r="201" spans="1:33" ht="15.75" customHeight="1">
      <c r="A201" s="79" t="str">
        <f>IF(C201="","",VLOOKUP('OPĆI DIO'!$C$3,'OPĆI DIO'!$L$6:$U$120,10,FALSE))</f>
        <v/>
      </c>
      <c r="B201" s="79" t="str">
        <f>IF(C201="","",VLOOKUP('OPĆI DIO'!$C$3,'OPĆI DIO'!$L$6:$U$120,9,FALSE))</f>
        <v/>
      </c>
      <c r="C201" s="84"/>
      <c r="D201" s="79" t="str">
        <f t="shared" si="0"/>
        <v/>
      </c>
      <c r="E201" s="84"/>
      <c r="F201" s="79" t="str">
        <f t="shared" si="1"/>
        <v/>
      </c>
      <c r="G201" s="84"/>
      <c r="H201" s="79" t="str">
        <f t="shared" si="38"/>
        <v/>
      </c>
      <c r="I201" s="79" t="str">
        <f t="shared" si="39"/>
        <v/>
      </c>
      <c r="J201" s="67"/>
      <c r="K201" s="67"/>
      <c r="L201" s="67"/>
      <c r="M201" s="68"/>
      <c r="N201" s="51"/>
      <c r="O201" s="51" t="str">
        <f t="shared" si="4"/>
        <v/>
      </c>
      <c r="P201" s="51" t="str">
        <f t="shared" si="5"/>
        <v/>
      </c>
      <c r="Q201" s="51" t="str">
        <f t="shared" si="6"/>
        <v/>
      </c>
      <c r="R201" s="51" t="str">
        <f t="shared" si="7"/>
        <v/>
      </c>
      <c r="S201" s="51"/>
      <c r="T201" s="51"/>
      <c r="U201" s="51"/>
      <c r="V201" s="51"/>
      <c r="W201" s="51"/>
      <c r="X201" s="51"/>
      <c r="Y201" s="82"/>
      <c r="Z201" s="51"/>
      <c r="AA201" s="51"/>
      <c r="AB201" s="51" t="s">
        <v>1149</v>
      </c>
      <c r="AC201" s="51" t="s">
        <v>1150</v>
      </c>
      <c r="AD201" s="51" t="s">
        <v>668</v>
      </c>
      <c r="AE201" s="51" t="s">
        <v>669</v>
      </c>
      <c r="AF201" s="51" t="s">
        <v>636</v>
      </c>
      <c r="AG201" s="51" t="s">
        <v>670</v>
      </c>
    </row>
    <row r="202" spans="1:33" ht="15.75" customHeight="1">
      <c r="A202" s="79" t="str">
        <f>IF(C202="","",VLOOKUP('OPĆI DIO'!$C$3,'OPĆI DIO'!$L$6:$U$120,10,FALSE))</f>
        <v/>
      </c>
      <c r="B202" s="79" t="str">
        <f>IF(C202="","",VLOOKUP('OPĆI DIO'!$C$3,'OPĆI DIO'!$L$6:$U$120,9,FALSE))</f>
        <v/>
      </c>
      <c r="C202" s="84"/>
      <c r="D202" s="79" t="str">
        <f t="shared" si="0"/>
        <v/>
      </c>
      <c r="E202" s="84"/>
      <c r="F202" s="79" t="str">
        <f t="shared" si="1"/>
        <v/>
      </c>
      <c r="G202" s="84"/>
      <c r="H202" s="79" t="str">
        <f t="shared" si="38"/>
        <v/>
      </c>
      <c r="I202" s="79" t="str">
        <f t="shared" si="39"/>
        <v/>
      </c>
      <c r="J202" s="67"/>
      <c r="K202" s="67"/>
      <c r="L202" s="67"/>
      <c r="M202" s="68"/>
      <c r="N202" s="51"/>
      <c r="O202" s="51" t="str">
        <f t="shared" si="4"/>
        <v/>
      </c>
      <c r="P202" s="51" t="str">
        <f t="shared" si="5"/>
        <v/>
      </c>
      <c r="Q202" s="51" t="str">
        <f t="shared" si="6"/>
        <v/>
      </c>
      <c r="R202" s="51" t="str">
        <f t="shared" si="7"/>
        <v/>
      </c>
      <c r="S202" s="51"/>
      <c r="T202" s="51"/>
      <c r="U202" s="51"/>
      <c r="V202" s="51"/>
      <c r="W202" s="51"/>
      <c r="X202" s="51"/>
      <c r="Y202" s="82"/>
      <c r="Z202" s="51"/>
      <c r="AA202" s="51"/>
      <c r="AB202" s="51" t="s">
        <v>625</v>
      </c>
      <c r="AC202" s="51" t="s">
        <v>1151</v>
      </c>
      <c r="AD202" s="51" t="s">
        <v>641</v>
      </c>
      <c r="AE202" s="51" t="s">
        <v>642</v>
      </c>
      <c r="AF202" s="51" t="s">
        <v>643</v>
      </c>
      <c r="AG202" s="51" t="s">
        <v>644</v>
      </c>
    </row>
    <row r="203" spans="1:33" ht="15.75" customHeight="1">
      <c r="A203" s="79" t="str">
        <f>IF(C203="","",VLOOKUP('OPĆI DIO'!$C$3,'OPĆI DIO'!$L$6:$U$120,10,FALSE))</f>
        <v/>
      </c>
      <c r="B203" s="79" t="str">
        <f>IF(C203="","",VLOOKUP('OPĆI DIO'!$C$3,'OPĆI DIO'!$L$6:$U$120,9,FALSE))</f>
        <v/>
      </c>
      <c r="C203" s="84"/>
      <c r="D203" s="79" t="str">
        <f t="shared" si="0"/>
        <v/>
      </c>
      <c r="E203" s="84"/>
      <c r="F203" s="79" t="str">
        <f t="shared" si="1"/>
        <v/>
      </c>
      <c r="G203" s="84"/>
      <c r="H203" s="79" t="str">
        <f t="shared" si="38"/>
        <v/>
      </c>
      <c r="I203" s="79" t="str">
        <f t="shared" si="39"/>
        <v/>
      </c>
      <c r="J203" s="67"/>
      <c r="K203" s="67"/>
      <c r="L203" s="67"/>
      <c r="M203" s="68"/>
      <c r="N203" s="51"/>
      <c r="O203" s="51" t="str">
        <f t="shared" si="4"/>
        <v/>
      </c>
      <c r="P203" s="51" t="str">
        <f t="shared" si="5"/>
        <v/>
      </c>
      <c r="Q203" s="51" t="str">
        <f t="shared" si="6"/>
        <v/>
      </c>
      <c r="R203" s="51" t="str">
        <f t="shared" si="7"/>
        <v/>
      </c>
      <c r="S203" s="51"/>
      <c r="T203" s="51"/>
      <c r="U203" s="51"/>
      <c r="V203" s="51"/>
      <c r="W203" s="51"/>
      <c r="X203" s="51"/>
      <c r="Y203" s="82"/>
      <c r="Z203" s="51"/>
      <c r="AA203" s="51"/>
      <c r="AB203" s="51" t="s">
        <v>630</v>
      </c>
      <c r="AC203" s="51" t="s">
        <v>1152</v>
      </c>
      <c r="AD203" s="51" t="s">
        <v>641</v>
      </c>
      <c r="AE203" s="51" t="s">
        <v>642</v>
      </c>
      <c r="AF203" s="51" t="s">
        <v>643</v>
      </c>
      <c r="AG203" s="51" t="s">
        <v>644</v>
      </c>
    </row>
    <row r="204" spans="1:33" ht="15.75" customHeight="1">
      <c r="A204" s="79" t="str">
        <f>IF(C204="","",VLOOKUP('OPĆI DIO'!$C$3,'OPĆI DIO'!$L$6:$U$120,10,FALSE))</f>
        <v/>
      </c>
      <c r="B204" s="79" t="str">
        <f>IF(C204="","",VLOOKUP('OPĆI DIO'!$C$3,'OPĆI DIO'!$L$6:$U$120,9,FALSE))</f>
        <v/>
      </c>
      <c r="C204" s="84"/>
      <c r="D204" s="79" t="str">
        <f t="shared" si="0"/>
        <v/>
      </c>
      <c r="E204" s="84"/>
      <c r="F204" s="79" t="str">
        <f t="shared" si="1"/>
        <v/>
      </c>
      <c r="G204" s="84"/>
      <c r="H204" s="79" t="str">
        <f t="shared" si="38"/>
        <v/>
      </c>
      <c r="I204" s="79" t="str">
        <f t="shared" si="39"/>
        <v/>
      </c>
      <c r="J204" s="67"/>
      <c r="K204" s="67"/>
      <c r="L204" s="67"/>
      <c r="M204" s="68"/>
      <c r="N204" s="51"/>
      <c r="O204" s="51" t="str">
        <f t="shared" si="4"/>
        <v/>
      </c>
      <c r="P204" s="51" t="str">
        <f t="shared" si="5"/>
        <v/>
      </c>
      <c r="Q204" s="51" t="str">
        <f t="shared" si="6"/>
        <v/>
      </c>
      <c r="R204" s="51" t="str">
        <f t="shared" si="7"/>
        <v/>
      </c>
      <c r="S204" s="51"/>
      <c r="T204" s="51"/>
      <c r="U204" s="51"/>
      <c r="V204" s="51"/>
      <c r="W204" s="51"/>
      <c r="X204" s="51"/>
      <c r="Y204" s="82"/>
      <c r="Z204" s="51"/>
      <c r="AA204" s="51"/>
      <c r="AB204" s="51" t="s">
        <v>1153</v>
      </c>
      <c r="AC204" s="51" t="s">
        <v>1154</v>
      </c>
      <c r="AD204" s="51" t="s">
        <v>641</v>
      </c>
      <c r="AE204" s="51" t="s">
        <v>642</v>
      </c>
      <c r="AF204" s="51" t="s">
        <v>643</v>
      </c>
      <c r="AG204" s="51" t="s">
        <v>644</v>
      </c>
    </row>
    <row r="205" spans="1:33" ht="15.75" customHeight="1">
      <c r="A205" s="79" t="str">
        <f>IF(C205="","",VLOOKUP('OPĆI DIO'!$C$3,'OPĆI DIO'!$L$6:$U$120,10,FALSE))</f>
        <v/>
      </c>
      <c r="B205" s="79" t="str">
        <f>IF(C205="","",VLOOKUP('OPĆI DIO'!$C$3,'OPĆI DIO'!$L$6:$U$120,9,FALSE))</f>
        <v/>
      </c>
      <c r="C205" s="84"/>
      <c r="D205" s="79" t="str">
        <f t="shared" si="0"/>
        <v/>
      </c>
      <c r="E205" s="84"/>
      <c r="F205" s="79" t="str">
        <f t="shared" si="1"/>
        <v/>
      </c>
      <c r="G205" s="84"/>
      <c r="H205" s="79" t="str">
        <f t="shared" si="38"/>
        <v/>
      </c>
      <c r="I205" s="79" t="str">
        <f t="shared" si="39"/>
        <v/>
      </c>
      <c r="J205" s="67"/>
      <c r="K205" s="67"/>
      <c r="L205" s="67"/>
      <c r="M205" s="68"/>
      <c r="N205" s="51"/>
      <c r="O205" s="51" t="str">
        <f t="shared" si="4"/>
        <v/>
      </c>
      <c r="P205" s="51" t="str">
        <f t="shared" si="5"/>
        <v/>
      </c>
      <c r="Q205" s="51" t="str">
        <f t="shared" si="6"/>
        <v/>
      </c>
      <c r="R205" s="51" t="str">
        <f t="shared" si="7"/>
        <v/>
      </c>
      <c r="S205" s="51"/>
      <c r="T205" s="51"/>
      <c r="U205" s="51"/>
      <c r="V205" s="51"/>
      <c r="W205" s="51"/>
      <c r="X205" s="51"/>
      <c r="Y205" s="82"/>
      <c r="Z205" s="51"/>
      <c r="AA205" s="51"/>
      <c r="AB205" s="51" t="s">
        <v>1155</v>
      </c>
      <c r="AC205" s="51" t="s">
        <v>1156</v>
      </c>
      <c r="AD205" s="51" t="s">
        <v>641</v>
      </c>
      <c r="AE205" s="51" t="s">
        <v>642</v>
      </c>
      <c r="AF205" s="51" t="s">
        <v>643</v>
      </c>
      <c r="AG205" s="51" t="s">
        <v>644</v>
      </c>
    </row>
    <row r="206" spans="1:33" ht="15.75" customHeight="1">
      <c r="A206" s="79" t="str">
        <f>IF(C206="","",VLOOKUP('OPĆI DIO'!$C$3,'OPĆI DIO'!$L$6:$U$120,10,FALSE))</f>
        <v/>
      </c>
      <c r="B206" s="79" t="str">
        <f>IF(C206="","",VLOOKUP('OPĆI DIO'!$C$3,'OPĆI DIO'!$L$6:$U$120,9,FALSE))</f>
        <v/>
      </c>
      <c r="C206" s="84"/>
      <c r="D206" s="79" t="str">
        <f t="shared" si="0"/>
        <v/>
      </c>
      <c r="E206" s="84"/>
      <c r="F206" s="79" t="str">
        <f t="shared" si="1"/>
        <v/>
      </c>
      <c r="G206" s="84"/>
      <c r="H206" s="79" t="str">
        <f t="shared" si="38"/>
        <v/>
      </c>
      <c r="I206" s="79" t="str">
        <f t="shared" si="39"/>
        <v/>
      </c>
      <c r="J206" s="67"/>
      <c r="K206" s="67"/>
      <c r="L206" s="67"/>
      <c r="M206" s="68"/>
      <c r="N206" s="51"/>
      <c r="O206" s="51" t="str">
        <f t="shared" si="4"/>
        <v/>
      </c>
      <c r="P206" s="51" t="str">
        <f t="shared" si="5"/>
        <v/>
      </c>
      <c r="Q206" s="51" t="str">
        <f t="shared" si="6"/>
        <v/>
      </c>
      <c r="R206" s="51" t="str">
        <f t="shared" si="7"/>
        <v/>
      </c>
      <c r="S206" s="51"/>
      <c r="T206" s="51"/>
      <c r="U206" s="51"/>
      <c r="V206" s="51"/>
      <c r="W206" s="51"/>
      <c r="X206" s="51"/>
      <c r="Y206" s="82"/>
      <c r="Z206" s="51"/>
      <c r="AA206" s="51"/>
      <c r="AB206" s="51" t="s">
        <v>762</v>
      </c>
      <c r="AC206" s="51" t="s">
        <v>760</v>
      </c>
      <c r="AD206" s="51" t="s">
        <v>641</v>
      </c>
      <c r="AE206" s="51" t="s">
        <v>642</v>
      </c>
      <c r="AF206" s="51" t="s">
        <v>643</v>
      </c>
      <c r="AG206" s="51" t="s">
        <v>644</v>
      </c>
    </row>
    <row r="207" spans="1:33" ht="15.75" customHeight="1">
      <c r="A207" s="79" t="str">
        <f>IF(C207="","",VLOOKUP('OPĆI DIO'!$C$3,'OPĆI DIO'!$L$6:$U$120,10,FALSE))</f>
        <v/>
      </c>
      <c r="B207" s="79" t="str">
        <f>IF(C207="","",VLOOKUP('OPĆI DIO'!$C$3,'OPĆI DIO'!$L$6:$U$120,9,FALSE))</f>
        <v/>
      </c>
      <c r="C207" s="84"/>
      <c r="D207" s="79" t="str">
        <f t="shared" si="0"/>
        <v/>
      </c>
      <c r="E207" s="84"/>
      <c r="F207" s="79" t="str">
        <f t="shared" si="1"/>
        <v/>
      </c>
      <c r="G207" s="84"/>
      <c r="H207" s="79" t="str">
        <f t="shared" si="38"/>
        <v/>
      </c>
      <c r="I207" s="79" t="str">
        <f t="shared" si="39"/>
        <v/>
      </c>
      <c r="J207" s="67"/>
      <c r="K207" s="67"/>
      <c r="L207" s="67"/>
      <c r="M207" s="68"/>
      <c r="N207" s="51"/>
      <c r="O207" s="51" t="str">
        <f t="shared" si="4"/>
        <v/>
      </c>
      <c r="P207" s="51" t="str">
        <f t="shared" si="5"/>
        <v/>
      </c>
      <c r="Q207" s="51" t="str">
        <f t="shared" si="6"/>
        <v/>
      </c>
      <c r="R207" s="51" t="str">
        <f t="shared" si="7"/>
        <v/>
      </c>
      <c r="S207" s="51"/>
      <c r="T207" s="51"/>
      <c r="U207" s="51"/>
      <c r="V207" s="51"/>
      <c r="W207" s="51"/>
      <c r="X207" s="51"/>
      <c r="Y207" s="82"/>
      <c r="Z207" s="51"/>
      <c r="AA207" s="51"/>
      <c r="AB207" s="51" t="s">
        <v>1157</v>
      </c>
      <c r="AC207" s="51" t="s">
        <v>1158</v>
      </c>
      <c r="AD207" s="51" t="s">
        <v>641</v>
      </c>
      <c r="AE207" s="51" t="s">
        <v>642</v>
      </c>
      <c r="AF207" s="51" t="s">
        <v>643</v>
      </c>
      <c r="AG207" s="51" t="s">
        <v>644</v>
      </c>
    </row>
    <row r="208" spans="1:33" ht="15.75" customHeight="1">
      <c r="A208" s="79" t="str">
        <f>IF(C208="","",VLOOKUP('OPĆI DIO'!$C$3,'OPĆI DIO'!$L$6:$U$120,10,FALSE))</f>
        <v/>
      </c>
      <c r="B208" s="79" t="str">
        <f>IF(C208="","",VLOOKUP('OPĆI DIO'!$C$3,'OPĆI DIO'!$L$6:$U$120,9,FALSE))</f>
        <v/>
      </c>
      <c r="C208" s="84"/>
      <c r="D208" s="79" t="str">
        <f t="shared" si="0"/>
        <v/>
      </c>
      <c r="E208" s="84"/>
      <c r="F208" s="79" t="str">
        <f t="shared" si="1"/>
        <v/>
      </c>
      <c r="G208" s="84"/>
      <c r="H208" s="79" t="str">
        <f t="shared" si="38"/>
        <v/>
      </c>
      <c r="I208" s="79" t="str">
        <f t="shared" si="39"/>
        <v/>
      </c>
      <c r="J208" s="67"/>
      <c r="K208" s="67"/>
      <c r="L208" s="67"/>
      <c r="M208" s="68"/>
      <c r="N208" s="51"/>
      <c r="O208" s="51" t="str">
        <f t="shared" si="4"/>
        <v/>
      </c>
      <c r="P208" s="51" t="str">
        <f t="shared" si="5"/>
        <v/>
      </c>
      <c r="Q208" s="51" t="str">
        <f t="shared" si="6"/>
        <v/>
      </c>
      <c r="R208" s="51" t="str">
        <f t="shared" si="7"/>
        <v/>
      </c>
      <c r="S208" s="51"/>
      <c r="T208" s="51"/>
      <c r="U208" s="51"/>
      <c r="V208" s="51"/>
      <c r="W208" s="51"/>
      <c r="X208" s="51"/>
      <c r="Y208" s="82"/>
      <c r="Z208" s="51"/>
      <c r="AA208" s="51"/>
      <c r="AB208" s="51" t="s">
        <v>779</v>
      </c>
      <c r="AC208" s="51" t="s">
        <v>1159</v>
      </c>
      <c r="AD208" s="51" t="s">
        <v>641</v>
      </c>
      <c r="AE208" s="51" t="s">
        <v>642</v>
      </c>
      <c r="AF208" s="51" t="s">
        <v>643</v>
      </c>
      <c r="AG208" s="51" t="s">
        <v>644</v>
      </c>
    </row>
    <row r="209" spans="1:33" ht="15.75" customHeight="1">
      <c r="A209" s="79" t="str">
        <f>IF(C209="","",VLOOKUP('OPĆI DIO'!$C$3,'OPĆI DIO'!$L$6:$U$120,10,FALSE))</f>
        <v/>
      </c>
      <c r="B209" s="79" t="str">
        <f>IF(C209="","",VLOOKUP('OPĆI DIO'!$C$3,'OPĆI DIO'!$L$6:$U$120,9,FALSE))</f>
        <v/>
      </c>
      <c r="C209" s="84"/>
      <c r="D209" s="79" t="str">
        <f t="shared" si="0"/>
        <v/>
      </c>
      <c r="E209" s="84"/>
      <c r="F209" s="79" t="str">
        <f t="shared" si="1"/>
        <v/>
      </c>
      <c r="G209" s="84"/>
      <c r="H209" s="79" t="str">
        <f t="shared" si="38"/>
        <v/>
      </c>
      <c r="I209" s="79" t="str">
        <f t="shared" si="39"/>
        <v/>
      </c>
      <c r="J209" s="67"/>
      <c r="K209" s="67"/>
      <c r="L209" s="67"/>
      <c r="M209" s="68"/>
      <c r="N209" s="51"/>
      <c r="O209" s="51" t="str">
        <f t="shared" si="4"/>
        <v/>
      </c>
      <c r="P209" s="51" t="str">
        <f t="shared" si="5"/>
        <v/>
      </c>
      <c r="Q209" s="51" t="str">
        <f t="shared" si="6"/>
        <v/>
      </c>
      <c r="R209" s="51" t="str">
        <f t="shared" si="7"/>
        <v/>
      </c>
      <c r="S209" s="51"/>
      <c r="T209" s="51"/>
      <c r="U209" s="51"/>
      <c r="V209" s="51"/>
      <c r="W209" s="51"/>
      <c r="X209" s="51"/>
      <c r="Y209" s="82"/>
      <c r="Z209" s="51"/>
      <c r="AA209" s="51"/>
      <c r="AB209" s="51" t="s">
        <v>654</v>
      </c>
      <c r="AC209" s="51" t="s">
        <v>1160</v>
      </c>
      <c r="AD209" s="51" t="s">
        <v>641</v>
      </c>
      <c r="AE209" s="51" t="s">
        <v>642</v>
      </c>
      <c r="AF209" s="51" t="s">
        <v>643</v>
      </c>
      <c r="AG209" s="51" t="s">
        <v>644</v>
      </c>
    </row>
    <row r="210" spans="1:33" ht="15.75" customHeight="1">
      <c r="A210" s="79" t="str">
        <f>IF(C210="","",VLOOKUP('OPĆI DIO'!$C$3,'OPĆI DIO'!$L$6:$U$120,10,FALSE))</f>
        <v/>
      </c>
      <c r="B210" s="79" t="str">
        <f>IF(C210="","",VLOOKUP('OPĆI DIO'!$C$3,'OPĆI DIO'!$L$6:$U$120,9,FALSE))</f>
        <v/>
      </c>
      <c r="C210" s="84"/>
      <c r="D210" s="79" t="str">
        <f t="shared" si="0"/>
        <v/>
      </c>
      <c r="E210" s="84"/>
      <c r="F210" s="79" t="str">
        <f t="shared" si="1"/>
        <v/>
      </c>
      <c r="G210" s="84"/>
      <c r="H210" s="79" t="str">
        <f t="shared" si="38"/>
        <v/>
      </c>
      <c r="I210" s="79" t="str">
        <f t="shared" si="39"/>
        <v/>
      </c>
      <c r="J210" s="67"/>
      <c r="K210" s="67"/>
      <c r="L210" s="67"/>
      <c r="M210" s="68"/>
      <c r="N210" s="51"/>
      <c r="O210" s="51" t="str">
        <f t="shared" si="4"/>
        <v/>
      </c>
      <c r="P210" s="51" t="str">
        <f t="shared" si="5"/>
        <v/>
      </c>
      <c r="Q210" s="51" t="str">
        <f t="shared" si="6"/>
        <v/>
      </c>
      <c r="R210" s="51" t="str">
        <f t="shared" si="7"/>
        <v/>
      </c>
      <c r="S210" s="51"/>
      <c r="T210" s="51"/>
      <c r="U210" s="51"/>
      <c r="V210" s="51"/>
      <c r="W210" s="51"/>
      <c r="X210" s="51"/>
      <c r="Y210" s="82"/>
      <c r="Z210" s="51"/>
      <c r="AA210" s="51"/>
      <c r="AB210" s="51" t="s">
        <v>1161</v>
      </c>
      <c r="AC210" s="51" t="s">
        <v>1162</v>
      </c>
      <c r="AD210" s="51" t="s">
        <v>641</v>
      </c>
      <c r="AE210" s="51" t="s">
        <v>642</v>
      </c>
      <c r="AF210" s="51" t="s">
        <v>643</v>
      </c>
      <c r="AG210" s="51" t="s">
        <v>644</v>
      </c>
    </row>
    <row r="211" spans="1:33" ht="15.75" customHeight="1">
      <c r="A211" s="79" t="str">
        <f>IF(C211="","",VLOOKUP('OPĆI DIO'!$C$3,'OPĆI DIO'!$L$6:$U$120,10,FALSE))</f>
        <v/>
      </c>
      <c r="B211" s="79" t="str">
        <f>IF(C211="","",VLOOKUP('OPĆI DIO'!$C$3,'OPĆI DIO'!$L$6:$U$120,9,FALSE))</f>
        <v/>
      </c>
      <c r="C211" s="84"/>
      <c r="D211" s="79" t="str">
        <f t="shared" si="0"/>
        <v/>
      </c>
      <c r="E211" s="84"/>
      <c r="F211" s="79" t="str">
        <f t="shared" si="1"/>
        <v/>
      </c>
      <c r="G211" s="84"/>
      <c r="H211" s="79" t="str">
        <f t="shared" si="38"/>
        <v/>
      </c>
      <c r="I211" s="79" t="str">
        <f t="shared" si="39"/>
        <v/>
      </c>
      <c r="J211" s="67"/>
      <c r="K211" s="67"/>
      <c r="L211" s="67"/>
      <c r="M211" s="68"/>
      <c r="N211" s="51"/>
      <c r="O211" s="51" t="str">
        <f t="shared" si="4"/>
        <v/>
      </c>
      <c r="P211" s="51" t="str">
        <f t="shared" si="5"/>
        <v/>
      </c>
      <c r="Q211" s="51" t="str">
        <f t="shared" si="6"/>
        <v/>
      </c>
      <c r="R211" s="51" t="str">
        <f t="shared" si="7"/>
        <v/>
      </c>
      <c r="S211" s="51"/>
      <c r="T211" s="51"/>
      <c r="U211" s="51"/>
      <c r="V211" s="51"/>
      <c r="W211" s="51"/>
      <c r="X211" s="51"/>
      <c r="Y211" s="82"/>
      <c r="Z211" s="51"/>
      <c r="AA211" s="51"/>
      <c r="AB211" s="51" t="s">
        <v>1054</v>
      </c>
      <c r="AC211" s="51" t="s">
        <v>1049</v>
      </c>
      <c r="AD211" s="51" t="s">
        <v>641</v>
      </c>
      <c r="AE211" s="51" t="s">
        <v>642</v>
      </c>
      <c r="AF211" s="51" t="s">
        <v>643</v>
      </c>
      <c r="AG211" s="51" t="s">
        <v>644</v>
      </c>
    </row>
    <row r="212" spans="1:33" ht="15.75" customHeight="1">
      <c r="A212" s="79" t="str">
        <f>IF(C212="","",VLOOKUP('OPĆI DIO'!$C$3,'OPĆI DIO'!$L$6:$U$120,10,FALSE))</f>
        <v/>
      </c>
      <c r="B212" s="79" t="str">
        <f>IF(C212="","",VLOOKUP('OPĆI DIO'!$C$3,'OPĆI DIO'!$L$6:$U$120,9,FALSE))</f>
        <v/>
      </c>
      <c r="C212" s="84"/>
      <c r="D212" s="79" t="str">
        <f t="shared" si="0"/>
        <v/>
      </c>
      <c r="E212" s="84"/>
      <c r="F212" s="79" t="str">
        <f t="shared" si="1"/>
        <v/>
      </c>
      <c r="G212" s="84"/>
      <c r="H212" s="79" t="str">
        <f t="shared" si="38"/>
        <v/>
      </c>
      <c r="I212" s="79" t="str">
        <f t="shared" si="39"/>
        <v/>
      </c>
      <c r="J212" s="67"/>
      <c r="K212" s="67"/>
      <c r="L212" s="67"/>
      <c r="M212" s="68"/>
      <c r="N212" s="51"/>
      <c r="O212" s="51" t="str">
        <f t="shared" si="4"/>
        <v/>
      </c>
      <c r="P212" s="51" t="str">
        <f t="shared" si="5"/>
        <v/>
      </c>
      <c r="Q212" s="51" t="str">
        <f t="shared" si="6"/>
        <v/>
      </c>
      <c r="R212" s="51" t="str">
        <f t="shared" si="7"/>
        <v/>
      </c>
      <c r="S212" s="51"/>
      <c r="T212" s="51"/>
      <c r="U212" s="51"/>
      <c r="V212" s="51"/>
      <c r="W212" s="51"/>
      <c r="X212" s="51"/>
      <c r="Y212" s="82"/>
      <c r="Z212" s="51"/>
      <c r="AA212" s="51"/>
      <c r="AB212" s="51" t="s">
        <v>1163</v>
      </c>
      <c r="AC212" s="51" t="s">
        <v>1032</v>
      </c>
      <c r="AD212" s="51" t="s">
        <v>641</v>
      </c>
      <c r="AE212" s="51" t="s">
        <v>642</v>
      </c>
      <c r="AF212" s="51" t="s">
        <v>643</v>
      </c>
      <c r="AG212" s="51" t="s">
        <v>644</v>
      </c>
    </row>
    <row r="213" spans="1:33" ht="15.75" customHeight="1">
      <c r="A213" s="79" t="str">
        <f>IF(C213="","",VLOOKUP('OPĆI DIO'!$C$3,'OPĆI DIO'!$L$6:$U$120,10,FALSE))</f>
        <v/>
      </c>
      <c r="B213" s="79" t="str">
        <f>IF(C213="","",VLOOKUP('OPĆI DIO'!$C$3,'OPĆI DIO'!$L$6:$U$120,9,FALSE))</f>
        <v/>
      </c>
      <c r="C213" s="84"/>
      <c r="D213" s="79" t="str">
        <f t="shared" si="0"/>
        <v/>
      </c>
      <c r="E213" s="84"/>
      <c r="F213" s="79" t="str">
        <f t="shared" si="1"/>
        <v/>
      </c>
      <c r="G213" s="84"/>
      <c r="H213" s="79" t="str">
        <f t="shared" si="38"/>
        <v/>
      </c>
      <c r="I213" s="79" t="str">
        <f t="shared" si="39"/>
        <v/>
      </c>
      <c r="J213" s="67"/>
      <c r="K213" s="67"/>
      <c r="L213" s="67"/>
      <c r="M213" s="68"/>
      <c r="N213" s="51"/>
      <c r="O213" s="51" t="str">
        <f t="shared" si="4"/>
        <v/>
      </c>
      <c r="P213" s="51" t="str">
        <f t="shared" si="5"/>
        <v/>
      </c>
      <c r="Q213" s="51" t="str">
        <f t="shared" si="6"/>
        <v/>
      </c>
      <c r="R213" s="51" t="str">
        <f t="shared" si="7"/>
        <v/>
      </c>
      <c r="S213" s="51"/>
      <c r="T213" s="51"/>
      <c r="U213" s="51"/>
      <c r="V213" s="51"/>
      <c r="W213" s="51"/>
      <c r="X213" s="51"/>
      <c r="Y213" s="82"/>
      <c r="Z213" s="51"/>
      <c r="AA213" s="51"/>
      <c r="AB213" s="51" t="s">
        <v>1164</v>
      </c>
      <c r="AC213" s="51" t="s">
        <v>1165</v>
      </c>
      <c r="AD213" s="51" t="s">
        <v>641</v>
      </c>
      <c r="AE213" s="51" t="s">
        <v>642</v>
      </c>
      <c r="AF213" s="51" t="s">
        <v>643</v>
      </c>
      <c r="AG213" s="51" t="s">
        <v>644</v>
      </c>
    </row>
    <row r="214" spans="1:33" ht="15.75" customHeight="1">
      <c r="A214" s="79" t="str">
        <f>IF(C214="","",VLOOKUP('OPĆI DIO'!$C$3,'OPĆI DIO'!$L$6:$U$120,10,FALSE))</f>
        <v/>
      </c>
      <c r="B214" s="79" t="str">
        <f>IF(C214="","",VLOOKUP('OPĆI DIO'!$C$3,'OPĆI DIO'!$L$6:$U$120,9,FALSE))</f>
        <v/>
      </c>
      <c r="C214" s="84"/>
      <c r="D214" s="79" t="str">
        <f t="shared" si="0"/>
        <v/>
      </c>
      <c r="E214" s="84"/>
      <c r="F214" s="79" t="str">
        <f t="shared" si="1"/>
        <v/>
      </c>
      <c r="G214" s="84"/>
      <c r="H214" s="79" t="str">
        <f t="shared" si="38"/>
        <v/>
      </c>
      <c r="I214" s="79" t="str">
        <f t="shared" si="39"/>
        <v/>
      </c>
      <c r="J214" s="67"/>
      <c r="K214" s="67"/>
      <c r="L214" s="67"/>
      <c r="M214" s="68"/>
      <c r="N214" s="51"/>
      <c r="O214" s="51" t="str">
        <f t="shared" si="4"/>
        <v/>
      </c>
      <c r="P214" s="51" t="str">
        <f t="shared" si="5"/>
        <v/>
      </c>
      <c r="Q214" s="51" t="str">
        <f t="shared" si="6"/>
        <v/>
      </c>
      <c r="R214" s="51" t="str">
        <f t="shared" si="7"/>
        <v/>
      </c>
      <c r="S214" s="51"/>
      <c r="T214" s="51"/>
      <c r="U214" s="51"/>
      <c r="V214" s="51"/>
      <c r="W214" s="51"/>
      <c r="X214" s="51"/>
      <c r="Y214" s="82"/>
      <c r="Z214" s="51"/>
      <c r="AA214" s="51"/>
      <c r="AB214" s="51" t="s">
        <v>1166</v>
      </c>
      <c r="AC214" s="51" t="s">
        <v>1167</v>
      </c>
      <c r="AD214" s="51" t="s">
        <v>641</v>
      </c>
      <c r="AE214" s="51" t="s">
        <v>642</v>
      </c>
      <c r="AF214" s="51" t="s">
        <v>643</v>
      </c>
      <c r="AG214" s="51" t="s">
        <v>644</v>
      </c>
    </row>
    <row r="215" spans="1:33" ht="15.75" customHeight="1">
      <c r="A215" s="79" t="str">
        <f>IF(C215="","",VLOOKUP('OPĆI DIO'!$C$3,'OPĆI DIO'!$L$6:$U$120,10,FALSE))</f>
        <v/>
      </c>
      <c r="B215" s="79" t="str">
        <f>IF(C215="","",VLOOKUP('OPĆI DIO'!$C$3,'OPĆI DIO'!$L$6:$U$120,9,FALSE))</f>
        <v/>
      </c>
      <c r="C215" s="84"/>
      <c r="D215" s="79" t="str">
        <f t="shared" si="0"/>
        <v/>
      </c>
      <c r="E215" s="84"/>
      <c r="F215" s="79" t="str">
        <f t="shared" si="1"/>
        <v/>
      </c>
      <c r="G215" s="84"/>
      <c r="H215" s="79" t="str">
        <f t="shared" si="38"/>
        <v/>
      </c>
      <c r="I215" s="79" t="str">
        <f t="shared" si="39"/>
        <v/>
      </c>
      <c r="J215" s="67"/>
      <c r="K215" s="67"/>
      <c r="L215" s="67"/>
      <c r="M215" s="68"/>
      <c r="N215" s="51"/>
      <c r="O215" s="51" t="str">
        <f t="shared" si="4"/>
        <v/>
      </c>
      <c r="P215" s="51" t="str">
        <f t="shared" si="5"/>
        <v/>
      </c>
      <c r="Q215" s="51" t="str">
        <f t="shared" si="6"/>
        <v/>
      </c>
      <c r="R215" s="51" t="str">
        <f t="shared" si="7"/>
        <v/>
      </c>
      <c r="S215" s="51"/>
      <c r="T215" s="51"/>
      <c r="U215" s="51"/>
      <c r="V215" s="51"/>
      <c r="W215" s="51"/>
      <c r="X215" s="51"/>
      <c r="Y215" s="82"/>
      <c r="Z215" s="51"/>
      <c r="AA215" s="51"/>
      <c r="AB215" s="51" t="s">
        <v>1168</v>
      </c>
      <c r="AC215" s="51" t="s">
        <v>1169</v>
      </c>
      <c r="AD215" s="51" t="s">
        <v>641</v>
      </c>
      <c r="AE215" s="51" t="s">
        <v>642</v>
      </c>
      <c r="AF215" s="51" t="s">
        <v>643</v>
      </c>
      <c r="AG215" s="51" t="s">
        <v>644</v>
      </c>
    </row>
    <row r="216" spans="1:33" ht="15.75" customHeight="1">
      <c r="A216" s="79" t="str">
        <f>IF(C216="","",VLOOKUP('OPĆI DIO'!$C$3,'OPĆI DIO'!$L$6:$U$120,10,FALSE))</f>
        <v/>
      </c>
      <c r="B216" s="79" t="str">
        <f>IF(C216="","",VLOOKUP('OPĆI DIO'!$C$3,'OPĆI DIO'!$L$6:$U$120,9,FALSE))</f>
        <v/>
      </c>
      <c r="C216" s="84"/>
      <c r="D216" s="79" t="str">
        <f t="shared" si="0"/>
        <v/>
      </c>
      <c r="E216" s="84"/>
      <c r="F216" s="79" t="str">
        <f t="shared" si="1"/>
        <v/>
      </c>
      <c r="G216" s="84"/>
      <c r="H216" s="79" t="str">
        <f t="shared" si="38"/>
        <v/>
      </c>
      <c r="I216" s="79" t="str">
        <f t="shared" si="39"/>
        <v/>
      </c>
      <c r="J216" s="67"/>
      <c r="K216" s="67"/>
      <c r="L216" s="67"/>
      <c r="M216" s="68"/>
      <c r="N216" s="51"/>
      <c r="O216" s="51" t="str">
        <f t="shared" si="4"/>
        <v/>
      </c>
      <c r="P216" s="51" t="str">
        <f t="shared" si="5"/>
        <v/>
      </c>
      <c r="Q216" s="51" t="str">
        <f t="shared" si="6"/>
        <v/>
      </c>
      <c r="R216" s="51" t="str">
        <f t="shared" si="7"/>
        <v/>
      </c>
      <c r="S216" s="51"/>
      <c r="T216" s="51"/>
      <c r="U216" s="51"/>
      <c r="V216" s="51"/>
      <c r="W216" s="51"/>
      <c r="X216" s="51"/>
      <c r="Y216" s="82"/>
      <c r="Z216" s="51"/>
      <c r="AA216" s="51"/>
      <c r="AB216" s="51" t="s">
        <v>1170</v>
      </c>
      <c r="AC216" s="51" t="s">
        <v>1171</v>
      </c>
      <c r="AD216" s="51" t="s">
        <v>677</v>
      </c>
      <c r="AE216" s="51" t="s">
        <v>678</v>
      </c>
      <c r="AF216" s="51" t="s">
        <v>679</v>
      </c>
      <c r="AG216" s="51" t="s">
        <v>680</v>
      </c>
    </row>
    <row r="217" spans="1:33" ht="15.75" customHeight="1">
      <c r="A217" s="79" t="str">
        <f>IF(C217="","",VLOOKUP('OPĆI DIO'!$C$3,'OPĆI DIO'!$L$6:$U$120,10,FALSE))</f>
        <v/>
      </c>
      <c r="B217" s="79" t="str">
        <f>IF(C217="","",VLOOKUP('OPĆI DIO'!$C$3,'OPĆI DIO'!$L$6:$U$120,9,FALSE))</f>
        <v/>
      </c>
      <c r="C217" s="84"/>
      <c r="D217" s="79" t="str">
        <f t="shared" si="0"/>
        <v/>
      </c>
      <c r="E217" s="84"/>
      <c r="F217" s="79" t="str">
        <f t="shared" si="1"/>
        <v/>
      </c>
      <c r="G217" s="84"/>
      <c r="H217" s="79" t="str">
        <f t="shared" si="38"/>
        <v/>
      </c>
      <c r="I217" s="79" t="str">
        <f t="shared" si="39"/>
        <v/>
      </c>
      <c r="J217" s="67"/>
      <c r="K217" s="67"/>
      <c r="L217" s="67"/>
      <c r="M217" s="68"/>
      <c r="N217" s="51"/>
      <c r="O217" s="51" t="str">
        <f t="shared" si="4"/>
        <v/>
      </c>
      <c r="P217" s="51" t="str">
        <f t="shared" si="5"/>
        <v/>
      </c>
      <c r="Q217" s="51" t="str">
        <f t="shared" si="6"/>
        <v/>
      </c>
      <c r="R217" s="51" t="str">
        <f t="shared" si="7"/>
        <v/>
      </c>
      <c r="S217" s="51"/>
      <c r="T217" s="51"/>
      <c r="U217" s="51"/>
      <c r="V217" s="51"/>
      <c r="W217" s="51"/>
      <c r="X217" s="51"/>
      <c r="Y217" s="82"/>
      <c r="Z217" s="51"/>
      <c r="AA217" s="51"/>
      <c r="AB217" s="51" t="s">
        <v>1172</v>
      </c>
      <c r="AC217" s="51" t="s">
        <v>1173</v>
      </c>
      <c r="AD217" s="51" t="s">
        <v>677</v>
      </c>
      <c r="AE217" s="51" t="s">
        <v>678</v>
      </c>
      <c r="AF217" s="51" t="s">
        <v>679</v>
      </c>
      <c r="AG217" s="51" t="s">
        <v>680</v>
      </c>
    </row>
    <row r="218" spans="1:33" ht="15.75" customHeight="1">
      <c r="A218" s="79" t="str">
        <f>IF(C218="","",VLOOKUP('OPĆI DIO'!$C$3,'OPĆI DIO'!$L$6:$U$120,10,FALSE))</f>
        <v/>
      </c>
      <c r="B218" s="79" t="str">
        <f>IF(C218="","",VLOOKUP('OPĆI DIO'!$C$3,'OPĆI DIO'!$L$6:$U$120,9,FALSE))</f>
        <v/>
      </c>
      <c r="C218" s="84"/>
      <c r="D218" s="79" t="str">
        <f t="shared" si="0"/>
        <v/>
      </c>
      <c r="E218" s="84"/>
      <c r="F218" s="79" t="str">
        <f t="shared" si="1"/>
        <v/>
      </c>
      <c r="G218" s="84"/>
      <c r="H218" s="79" t="str">
        <f t="shared" si="38"/>
        <v/>
      </c>
      <c r="I218" s="79" t="str">
        <f t="shared" si="39"/>
        <v/>
      </c>
      <c r="J218" s="67"/>
      <c r="K218" s="67"/>
      <c r="L218" s="67"/>
      <c r="M218" s="68"/>
      <c r="N218" s="51"/>
      <c r="O218" s="51" t="str">
        <f t="shared" si="4"/>
        <v/>
      </c>
      <c r="P218" s="51" t="str">
        <f t="shared" si="5"/>
        <v/>
      </c>
      <c r="Q218" s="51" t="str">
        <f t="shared" si="6"/>
        <v/>
      </c>
      <c r="R218" s="51" t="str">
        <f t="shared" si="7"/>
        <v/>
      </c>
      <c r="S218" s="51"/>
      <c r="T218" s="51"/>
      <c r="U218" s="51"/>
      <c r="V218" s="51"/>
      <c r="W218" s="51"/>
      <c r="X218" s="51"/>
      <c r="Y218" s="82"/>
      <c r="Z218" s="51"/>
      <c r="AA218" s="51"/>
      <c r="AB218" s="51" t="s">
        <v>1174</v>
      </c>
      <c r="AC218" s="51" t="s">
        <v>1175</v>
      </c>
      <c r="AD218" s="51" t="s">
        <v>677</v>
      </c>
      <c r="AE218" s="51" t="s">
        <v>678</v>
      </c>
      <c r="AF218" s="51" t="s">
        <v>679</v>
      </c>
      <c r="AG218" s="51" t="s">
        <v>680</v>
      </c>
    </row>
    <row r="219" spans="1:33" ht="15.75" customHeight="1">
      <c r="A219" s="79" t="str">
        <f>IF(C219="","",VLOOKUP('OPĆI DIO'!$C$3,'OPĆI DIO'!$L$6:$U$120,10,FALSE))</f>
        <v/>
      </c>
      <c r="B219" s="79" t="str">
        <f>IF(C219="","",VLOOKUP('OPĆI DIO'!$C$3,'OPĆI DIO'!$L$6:$U$120,9,FALSE))</f>
        <v/>
      </c>
      <c r="C219" s="84"/>
      <c r="D219" s="79" t="str">
        <f t="shared" si="0"/>
        <v/>
      </c>
      <c r="E219" s="84"/>
      <c r="F219" s="79" t="str">
        <f t="shared" si="1"/>
        <v/>
      </c>
      <c r="G219" s="84"/>
      <c r="H219" s="79" t="str">
        <f t="shared" si="38"/>
        <v/>
      </c>
      <c r="I219" s="79" t="str">
        <f t="shared" si="39"/>
        <v/>
      </c>
      <c r="J219" s="67"/>
      <c r="K219" s="67"/>
      <c r="L219" s="67"/>
      <c r="M219" s="68"/>
      <c r="N219" s="51"/>
      <c r="O219" s="51" t="str">
        <f t="shared" si="4"/>
        <v/>
      </c>
      <c r="P219" s="51" t="str">
        <f t="shared" si="5"/>
        <v/>
      </c>
      <c r="Q219" s="51" t="str">
        <f t="shared" si="6"/>
        <v/>
      </c>
      <c r="R219" s="51" t="str">
        <f t="shared" si="7"/>
        <v/>
      </c>
      <c r="S219" s="51"/>
      <c r="T219" s="51"/>
      <c r="U219" s="51"/>
      <c r="V219" s="51"/>
      <c r="W219" s="51"/>
      <c r="X219" s="51"/>
      <c r="Y219" s="82"/>
      <c r="Z219" s="51"/>
      <c r="AA219" s="51"/>
      <c r="AB219" s="51" t="s">
        <v>1176</v>
      </c>
      <c r="AC219" s="51" t="s">
        <v>1177</v>
      </c>
      <c r="AD219" s="51" t="s">
        <v>677</v>
      </c>
      <c r="AE219" s="51" t="s">
        <v>678</v>
      </c>
      <c r="AF219" s="51" t="s">
        <v>679</v>
      </c>
      <c r="AG219" s="51" t="s">
        <v>680</v>
      </c>
    </row>
    <row r="220" spans="1:33" ht="15.75" customHeight="1">
      <c r="A220" s="79" t="str">
        <f>IF(C220="","",VLOOKUP('OPĆI DIO'!$C$3,'OPĆI DIO'!$L$6:$U$120,10,FALSE))</f>
        <v/>
      </c>
      <c r="B220" s="79" t="str">
        <f>IF(C220="","",VLOOKUP('OPĆI DIO'!$C$3,'OPĆI DIO'!$L$6:$U$120,9,FALSE))</f>
        <v/>
      </c>
      <c r="C220" s="84"/>
      <c r="D220" s="79" t="str">
        <f t="shared" si="0"/>
        <v/>
      </c>
      <c r="E220" s="84"/>
      <c r="F220" s="79" t="str">
        <f t="shared" si="1"/>
        <v/>
      </c>
      <c r="G220" s="84"/>
      <c r="H220" s="79" t="str">
        <f t="shared" si="38"/>
        <v/>
      </c>
      <c r="I220" s="79" t="str">
        <f t="shared" si="39"/>
        <v/>
      </c>
      <c r="J220" s="67"/>
      <c r="K220" s="67"/>
      <c r="L220" s="67"/>
      <c r="M220" s="68"/>
      <c r="N220" s="51"/>
      <c r="O220" s="51" t="str">
        <f t="shared" si="4"/>
        <v/>
      </c>
      <c r="P220" s="51" t="str">
        <f t="shared" si="5"/>
        <v/>
      </c>
      <c r="Q220" s="51" t="str">
        <f t="shared" si="6"/>
        <v/>
      </c>
      <c r="R220" s="51" t="str">
        <f t="shared" si="7"/>
        <v/>
      </c>
      <c r="S220" s="51"/>
      <c r="T220" s="51"/>
      <c r="U220" s="51"/>
      <c r="V220" s="51"/>
      <c r="W220" s="51"/>
      <c r="X220" s="51"/>
      <c r="Y220" s="82"/>
      <c r="Z220" s="51"/>
      <c r="AA220" s="51"/>
      <c r="AB220" s="51" t="s">
        <v>1178</v>
      </c>
      <c r="AC220" s="51" t="s">
        <v>1179</v>
      </c>
      <c r="AD220" s="51" t="s">
        <v>1180</v>
      </c>
      <c r="AE220" s="51" t="s">
        <v>1181</v>
      </c>
      <c r="AF220" s="51" t="s">
        <v>643</v>
      </c>
      <c r="AG220" s="51" t="s">
        <v>1182</v>
      </c>
    </row>
    <row r="221" spans="1:33" ht="15.75" customHeight="1">
      <c r="A221" s="79" t="str">
        <f>IF(C221="","",VLOOKUP('OPĆI DIO'!$C$3,'OPĆI DIO'!$L$6:$U$120,10,FALSE))</f>
        <v/>
      </c>
      <c r="B221" s="79" t="str">
        <f>IF(C221="","",VLOOKUP('OPĆI DIO'!$C$3,'OPĆI DIO'!$L$6:$U$120,9,FALSE))</f>
        <v/>
      </c>
      <c r="C221" s="84"/>
      <c r="D221" s="79" t="str">
        <f t="shared" si="0"/>
        <v/>
      </c>
      <c r="E221" s="84"/>
      <c r="F221" s="79" t="str">
        <f t="shared" si="1"/>
        <v/>
      </c>
      <c r="G221" s="84"/>
      <c r="H221" s="79" t="str">
        <f t="shared" si="38"/>
        <v/>
      </c>
      <c r="I221" s="79" t="str">
        <f t="shared" si="39"/>
        <v/>
      </c>
      <c r="J221" s="67"/>
      <c r="K221" s="67"/>
      <c r="L221" s="67"/>
      <c r="M221" s="68"/>
      <c r="N221" s="51"/>
      <c r="O221" s="51" t="str">
        <f t="shared" si="4"/>
        <v/>
      </c>
      <c r="P221" s="51" t="str">
        <f t="shared" si="5"/>
        <v/>
      </c>
      <c r="Q221" s="51" t="str">
        <f t="shared" si="6"/>
        <v/>
      </c>
      <c r="R221" s="51" t="str">
        <f t="shared" si="7"/>
        <v/>
      </c>
      <c r="S221" s="51"/>
      <c r="T221" s="51"/>
      <c r="U221" s="51"/>
      <c r="V221" s="51"/>
      <c r="W221" s="51"/>
      <c r="X221" s="51"/>
      <c r="Y221" s="82"/>
      <c r="Z221" s="51"/>
      <c r="AA221" s="51"/>
      <c r="AB221" s="51" t="s">
        <v>1183</v>
      </c>
      <c r="AC221" s="51" t="s">
        <v>1184</v>
      </c>
      <c r="AD221" s="51" t="s">
        <v>1180</v>
      </c>
      <c r="AE221" s="51" t="s">
        <v>1181</v>
      </c>
      <c r="AF221" s="51" t="s">
        <v>643</v>
      </c>
      <c r="AG221" s="51" t="s">
        <v>1182</v>
      </c>
    </row>
    <row r="222" spans="1:33" ht="15.75" customHeight="1">
      <c r="A222" s="79" t="str">
        <f>IF(C222="","",VLOOKUP('OPĆI DIO'!$C$3,'OPĆI DIO'!$L$6:$U$120,10,FALSE))</f>
        <v/>
      </c>
      <c r="B222" s="79" t="str">
        <f>IF(C222="","",VLOOKUP('OPĆI DIO'!$C$3,'OPĆI DIO'!$L$6:$U$120,9,FALSE))</f>
        <v/>
      </c>
      <c r="C222" s="84"/>
      <c r="D222" s="79" t="str">
        <f t="shared" si="0"/>
        <v/>
      </c>
      <c r="E222" s="84"/>
      <c r="F222" s="79" t="str">
        <f t="shared" si="1"/>
        <v/>
      </c>
      <c r="G222" s="84"/>
      <c r="H222" s="79" t="str">
        <f t="shared" si="38"/>
        <v/>
      </c>
      <c r="I222" s="79" t="str">
        <f t="shared" si="39"/>
        <v/>
      </c>
      <c r="J222" s="67"/>
      <c r="K222" s="67"/>
      <c r="L222" s="67"/>
      <c r="M222" s="68"/>
      <c r="N222" s="51"/>
      <c r="O222" s="51" t="str">
        <f t="shared" si="4"/>
        <v/>
      </c>
      <c r="P222" s="51" t="str">
        <f t="shared" si="5"/>
        <v/>
      </c>
      <c r="Q222" s="51" t="str">
        <f t="shared" si="6"/>
        <v/>
      </c>
      <c r="R222" s="51" t="str">
        <f t="shared" si="7"/>
        <v/>
      </c>
      <c r="S222" s="51"/>
      <c r="T222" s="51"/>
      <c r="U222" s="51"/>
      <c r="V222" s="51"/>
      <c r="W222" s="51"/>
      <c r="X222" s="51"/>
      <c r="Y222" s="82"/>
      <c r="Z222" s="51"/>
      <c r="AA222" s="51"/>
      <c r="AB222" s="51" t="s">
        <v>1185</v>
      </c>
      <c r="AC222" s="51" t="s">
        <v>1186</v>
      </c>
      <c r="AD222" s="51" t="s">
        <v>1187</v>
      </c>
      <c r="AE222" s="51" t="s">
        <v>1188</v>
      </c>
      <c r="AF222" s="51" t="s">
        <v>1189</v>
      </c>
      <c r="AG222" s="51" t="s">
        <v>1190</v>
      </c>
    </row>
    <row r="223" spans="1:33" ht="15.75" customHeight="1">
      <c r="A223" s="79" t="str">
        <f>IF(C223="","",VLOOKUP('OPĆI DIO'!$C$3,'OPĆI DIO'!$L$6:$U$120,10,FALSE))</f>
        <v/>
      </c>
      <c r="B223" s="79" t="str">
        <f>IF(C223="","",VLOOKUP('OPĆI DIO'!$C$3,'OPĆI DIO'!$L$6:$U$120,9,FALSE))</f>
        <v/>
      </c>
      <c r="C223" s="84"/>
      <c r="D223" s="79" t="str">
        <f t="shared" si="0"/>
        <v/>
      </c>
      <c r="E223" s="84"/>
      <c r="F223" s="79" t="str">
        <f t="shared" si="1"/>
        <v/>
      </c>
      <c r="G223" s="84"/>
      <c r="H223" s="79" t="str">
        <f t="shared" si="38"/>
        <v/>
      </c>
      <c r="I223" s="79" t="str">
        <f t="shared" si="39"/>
        <v/>
      </c>
      <c r="J223" s="67"/>
      <c r="K223" s="67"/>
      <c r="L223" s="67"/>
      <c r="M223" s="68"/>
      <c r="N223" s="51"/>
      <c r="O223" s="51" t="str">
        <f t="shared" si="4"/>
        <v/>
      </c>
      <c r="P223" s="51" t="str">
        <f t="shared" si="5"/>
        <v/>
      </c>
      <c r="Q223" s="51" t="str">
        <f t="shared" si="6"/>
        <v/>
      </c>
      <c r="R223" s="51" t="str">
        <f t="shared" si="7"/>
        <v/>
      </c>
      <c r="S223" s="51"/>
      <c r="T223" s="51"/>
      <c r="U223" s="51"/>
      <c r="V223" s="51"/>
      <c r="W223" s="51"/>
      <c r="X223" s="51"/>
      <c r="Y223" s="82"/>
      <c r="Z223" s="51"/>
      <c r="AA223" s="51"/>
      <c r="AB223" s="51" t="s">
        <v>1191</v>
      </c>
      <c r="AC223" s="51" t="s">
        <v>1192</v>
      </c>
      <c r="AD223" s="51" t="s">
        <v>1180</v>
      </c>
      <c r="AE223" s="51" t="s">
        <v>1181</v>
      </c>
      <c r="AF223" s="51" t="s">
        <v>643</v>
      </c>
      <c r="AG223" s="51" t="s">
        <v>1182</v>
      </c>
    </row>
    <row r="224" spans="1:33" ht="15.75" customHeight="1">
      <c r="A224" s="79" t="str">
        <f>IF(C224="","",VLOOKUP('OPĆI DIO'!$C$3,'OPĆI DIO'!$L$6:$U$120,10,FALSE))</f>
        <v/>
      </c>
      <c r="B224" s="79" t="str">
        <f>IF(C224="","",VLOOKUP('OPĆI DIO'!$C$3,'OPĆI DIO'!$L$6:$U$120,9,FALSE))</f>
        <v/>
      </c>
      <c r="C224" s="84"/>
      <c r="D224" s="79" t="str">
        <f t="shared" si="0"/>
        <v/>
      </c>
      <c r="E224" s="84"/>
      <c r="F224" s="79" t="str">
        <f t="shared" si="1"/>
        <v/>
      </c>
      <c r="G224" s="84"/>
      <c r="H224" s="79" t="str">
        <f t="shared" si="38"/>
        <v/>
      </c>
      <c r="I224" s="79" t="str">
        <f t="shared" si="39"/>
        <v/>
      </c>
      <c r="J224" s="67"/>
      <c r="K224" s="67"/>
      <c r="L224" s="67"/>
      <c r="M224" s="68"/>
      <c r="N224" s="51"/>
      <c r="O224" s="51" t="str">
        <f t="shared" si="4"/>
        <v/>
      </c>
      <c r="P224" s="51" t="str">
        <f t="shared" si="5"/>
        <v/>
      </c>
      <c r="Q224" s="51" t="str">
        <f t="shared" si="6"/>
        <v/>
      </c>
      <c r="R224" s="51" t="str">
        <f t="shared" si="7"/>
        <v/>
      </c>
      <c r="S224" s="51"/>
      <c r="T224" s="51"/>
      <c r="U224" s="51"/>
      <c r="V224" s="51"/>
      <c r="W224" s="51"/>
      <c r="X224" s="51"/>
      <c r="Y224" s="82"/>
      <c r="Z224" s="51"/>
      <c r="AA224" s="51"/>
      <c r="AB224" s="51" t="s">
        <v>1193</v>
      </c>
      <c r="AC224" s="51" t="s">
        <v>1194</v>
      </c>
      <c r="AD224" s="51" t="s">
        <v>1180</v>
      </c>
      <c r="AE224" s="51" t="s">
        <v>1181</v>
      </c>
      <c r="AF224" s="51" t="s">
        <v>643</v>
      </c>
      <c r="AG224" s="51" t="s">
        <v>1182</v>
      </c>
    </row>
    <row r="225" spans="1:33" ht="15.75" customHeight="1">
      <c r="A225" s="79" t="str">
        <f>IF(C225="","",VLOOKUP('OPĆI DIO'!$C$3,'OPĆI DIO'!$L$6:$U$120,10,FALSE))</f>
        <v/>
      </c>
      <c r="B225" s="79" t="str">
        <f>IF(C225="","",VLOOKUP('OPĆI DIO'!$C$3,'OPĆI DIO'!$L$6:$U$120,9,FALSE))</f>
        <v/>
      </c>
      <c r="C225" s="84"/>
      <c r="D225" s="79" t="str">
        <f t="shared" si="0"/>
        <v/>
      </c>
      <c r="E225" s="84"/>
      <c r="F225" s="79" t="str">
        <f t="shared" si="1"/>
        <v/>
      </c>
      <c r="G225" s="84"/>
      <c r="H225" s="79" t="str">
        <f t="shared" si="38"/>
        <v/>
      </c>
      <c r="I225" s="79" t="str">
        <f t="shared" si="39"/>
        <v/>
      </c>
      <c r="J225" s="67"/>
      <c r="K225" s="67"/>
      <c r="L225" s="67"/>
      <c r="M225" s="68"/>
      <c r="N225" s="51"/>
      <c r="O225" s="51" t="str">
        <f t="shared" si="4"/>
        <v/>
      </c>
      <c r="P225" s="51" t="str">
        <f t="shared" si="5"/>
        <v/>
      </c>
      <c r="Q225" s="51" t="str">
        <f t="shared" si="6"/>
        <v/>
      </c>
      <c r="R225" s="51" t="str">
        <f t="shared" si="7"/>
        <v/>
      </c>
      <c r="S225" s="51"/>
      <c r="T225" s="51"/>
      <c r="U225" s="51"/>
      <c r="V225" s="51"/>
      <c r="W225" s="51"/>
      <c r="X225" s="51"/>
      <c r="Y225" s="82"/>
      <c r="Z225" s="51"/>
      <c r="AA225" s="51"/>
      <c r="AB225" s="51" t="s">
        <v>1195</v>
      </c>
      <c r="AC225" s="51" t="s">
        <v>1196</v>
      </c>
      <c r="AD225" s="51" t="s">
        <v>1180</v>
      </c>
      <c r="AE225" s="51" t="s">
        <v>1181</v>
      </c>
      <c r="AF225" s="51" t="s">
        <v>643</v>
      </c>
      <c r="AG225" s="51" t="s">
        <v>1182</v>
      </c>
    </row>
    <row r="226" spans="1:33" ht="15.75" customHeight="1">
      <c r="A226" s="79" t="str">
        <f>IF(C226="","",VLOOKUP('OPĆI DIO'!$C$3,'OPĆI DIO'!$L$6:$U$120,10,FALSE))</f>
        <v/>
      </c>
      <c r="B226" s="79" t="str">
        <f>IF(C226="","",VLOOKUP('OPĆI DIO'!$C$3,'OPĆI DIO'!$L$6:$U$120,9,FALSE))</f>
        <v/>
      </c>
      <c r="C226" s="84"/>
      <c r="D226" s="79" t="str">
        <f t="shared" si="0"/>
        <v/>
      </c>
      <c r="E226" s="84"/>
      <c r="F226" s="79" t="str">
        <f t="shared" si="1"/>
        <v/>
      </c>
      <c r="G226" s="84"/>
      <c r="H226" s="79" t="str">
        <f t="shared" si="38"/>
        <v/>
      </c>
      <c r="I226" s="79" t="str">
        <f t="shared" si="39"/>
        <v/>
      </c>
      <c r="J226" s="67"/>
      <c r="K226" s="67"/>
      <c r="L226" s="67"/>
      <c r="M226" s="68"/>
      <c r="N226" s="51"/>
      <c r="O226" s="51" t="str">
        <f t="shared" si="4"/>
        <v/>
      </c>
      <c r="P226" s="51" t="str">
        <f t="shared" si="5"/>
        <v/>
      </c>
      <c r="Q226" s="51" t="str">
        <f t="shared" si="6"/>
        <v/>
      </c>
      <c r="R226" s="51" t="str">
        <f t="shared" si="7"/>
        <v/>
      </c>
      <c r="S226" s="51"/>
      <c r="T226" s="51"/>
      <c r="U226" s="51"/>
      <c r="V226" s="51"/>
      <c r="W226" s="51"/>
      <c r="X226" s="51"/>
      <c r="Y226" s="82"/>
      <c r="Z226" s="51"/>
      <c r="AA226" s="51"/>
      <c r="AB226" s="51" t="s">
        <v>1197</v>
      </c>
      <c r="AC226" s="51" t="s">
        <v>1198</v>
      </c>
      <c r="AD226" s="51" t="s">
        <v>1180</v>
      </c>
      <c r="AE226" s="51" t="s">
        <v>1181</v>
      </c>
      <c r="AF226" s="51" t="s">
        <v>643</v>
      </c>
      <c r="AG226" s="51" t="s">
        <v>1182</v>
      </c>
    </row>
    <row r="227" spans="1:33" ht="15.75" customHeight="1">
      <c r="A227" s="79" t="str">
        <f>IF(C227="","",VLOOKUP('OPĆI DIO'!$C$3,'OPĆI DIO'!$L$6:$U$120,10,FALSE))</f>
        <v/>
      </c>
      <c r="B227" s="79" t="str">
        <f>IF(C227="","",VLOOKUP('OPĆI DIO'!$C$3,'OPĆI DIO'!$L$6:$U$120,9,FALSE))</f>
        <v/>
      </c>
      <c r="C227" s="84"/>
      <c r="D227" s="79" t="str">
        <f t="shared" si="0"/>
        <v/>
      </c>
      <c r="E227" s="84"/>
      <c r="F227" s="79" t="str">
        <f t="shared" si="1"/>
        <v/>
      </c>
      <c r="G227" s="84"/>
      <c r="H227" s="79" t="str">
        <f t="shared" si="38"/>
        <v/>
      </c>
      <c r="I227" s="79" t="str">
        <f t="shared" si="39"/>
        <v/>
      </c>
      <c r="J227" s="67"/>
      <c r="K227" s="67"/>
      <c r="L227" s="67"/>
      <c r="M227" s="68"/>
      <c r="N227" s="51"/>
      <c r="O227" s="51" t="str">
        <f t="shared" si="4"/>
        <v/>
      </c>
      <c r="P227" s="51" t="str">
        <f t="shared" si="5"/>
        <v/>
      </c>
      <c r="Q227" s="51" t="str">
        <f t="shared" si="6"/>
        <v/>
      </c>
      <c r="R227" s="51" t="str">
        <f t="shared" si="7"/>
        <v/>
      </c>
      <c r="S227" s="51"/>
      <c r="T227" s="51"/>
      <c r="U227" s="51"/>
      <c r="V227" s="51"/>
      <c r="W227" s="51"/>
      <c r="X227" s="51"/>
      <c r="Y227" s="82"/>
      <c r="Z227" s="51"/>
      <c r="AA227" s="51"/>
      <c r="AB227" s="51" t="s">
        <v>1197</v>
      </c>
      <c r="AC227" s="51" t="s">
        <v>1198</v>
      </c>
      <c r="AD227" s="51" t="s">
        <v>648</v>
      </c>
      <c r="AE227" s="51" t="s">
        <v>649</v>
      </c>
      <c r="AF227" s="51" t="s">
        <v>636</v>
      </c>
      <c r="AG227" s="51" t="s">
        <v>650</v>
      </c>
    </row>
    <row r="228" spans="1:33" ht="15.75" customHeight="1">
      <c r="A228" s="79" t="str">
        <f>IF(C228="","",VLOOKUP('OPĆI DIO'!$C$3,'OPĆI DIO'!$L$6:$U$120,10,FALSE))</f>
        <v/>
      </c>
      <c r="B228" s="79" t="str">
        <f>IF(C228="","",VLOOKUP('OPĆI DIO'!$C$3,'OPĆI DIO'!$L$6:$U$120,9,FALSE))</f>
        <v/>
      </c>
      <c r="C228" s="84"/>
      <c r="D228" s="79" t="str">
        <f t="shared" si="0"/>
        <v/>
      </c>
      <c r="E228" s="84"/>
      <c r="F228" s="79" t="str">
        <f t="shared" si="1"/>
        <v/>
      </c>
      <c r="G228" s="84"/>
      <c r="H228" s="79" t="str">
        <f t="shared" si="38"/>
        <v/>
      </c>
      <c r="I228" s="79" t="str">
        <f t="shared" si="39"/>
        <v/>
      </c>
      <c r="J228" s="67"/>
      <c r="K228" s="67"/>
      <c r="L228" s="67"/>
      <c r="M228" s="68"/>
      <c r="N228" s="51"/>
      <c r="O228" s="51" t="str">
        <f t="shared" si="4"/>
        <v/>
      </c>
      <c r="P228" s="51" t="str">
        <f t="shared" si="5"/>
        <v/>
      </c>
      <c r="Q228" s="51" t="str">
        <f t="shared" si="6"/>
        <v/>
      </c>
      <c r="R228" s="51" t="str">
        <f t="shared" si="7"/>
        <v/>
      </c>
      <c r="S228" s="51"/>
      <c r="T228" s="51"/>
      <c r="U228" s="51"/>
      <c r="V228" s="51"/>
      <c r="W228" s="51"/>
      <c r="X228" s="51"/>
      <c r="Y228" s="82"/>
      <c r="Z228" s="51"/>
      <c r="AA228" s="51"/>
      <c r="AB228" s="51" t="s">
        <v>1199</v>
      </c>
      <c r="AC228" s="51" t="s">
        <v>1200</v>
      </c>
      <c r="AD228" s="51" t="s">
        <v>1180</v>
      </c>
      <c r="AE228" s="51" t="s">
        <v>1181</v>
      </c>
      <c r="AF228" s="51" t="s">
        <v>643</v>
      </c>
      <c r="AG228" s="51" t="s">
        <v>1182</v>
      </c>
    </row>
    <row r="229" spans="1:33" ht="15.75" customHeight="1">
      <c r="A229" s="79" t="str">
        <f>IF(C229="","",VLOOKUP('OPĆI DIO'!$C$3,'OPĆI DIO'!$L$6:$U$120,10,FALSE))</f>
        <v/>
      </c>
      <c r="B229" s="79" t="str">
        <f>IF(C229="","",VLOOKUP('OPĆI DIO'!$C$3,'OPĆI DIO'!$L$6:$U$120,9,FALSE))</f>
        <v/>
      </c>
      <c r="C229" s="84"/>
      <c r="D229" s="79" t="str">
        <f t="shared" si="0"/>
        <v/>
      </c>
      <c r="E229" s="84"/>
      <c r="F229" s="79" t="str">
        <f t="shared" si="1"/>
        <v/>
      </c>
      <c r="G229" s="84"/>
      <c r="H229" s="79" t="str">
        <f t="shared" si="38"/>
        <v/>
      </c>
      <c r="I229" s="79" t="str">
        <f t="shared" si="39"/>
        <v/>
      </c>
      <c r="J229" s="67"/>
      <c r="K229" s="67"/>
      <c r="L229" s="67"/>
      <c r="M229" s="68"/>
      <c r="N229" s="51"/>
      <c r="O229" s="51" t="str">
        <f t="shared" si="4"/>
        <v/>
      </c>
      <c r="P229" s="51" t="str">
        <f t="shared" si="5"/>
        <v/>
      </c>
      <c r="Q229" s="51" t="str">
        <f t="shared" si="6"/>
        <v/>
      </c>
      <c r="R229" s="51" t="str">
        <f t="shared" si="7"/>
        <v/>
      </c>
      <c r="S229" s="51"/>
      <c r="T229" s="51"/>
      <c r="U229" s="51"/>
      <c r="V229" s="51"/>
      <c r="W229" s="51"/>
      <c r="X229" s="51"/>
      <c r="Y229" s="82"/>
      <c r="Z229" s="51"/>
      <c r="AA229" s="51"/>
      <c r="AB229" s="51" t="s">
        <v>1201</v>
      </c>
      <c r="AC229" s="51" t="s">
        <v>1202</v>
      </c>
      <c r="AD229" s="51" t="s">
        <v>1180</v>
      </c>
      <c r="AE229" s="51" t="s">
        <v>1181</v>
      </c>
      <c r="AF229" s="51" t="s">
        <v>643</v>
      </c>
      <c r="AG229" s="51" t="s">
        <v>1182</v>
      </c>
    </row>
    <row r="230" spans="1:33" ht="15.75" customHeight="1">
      <c r="A230" s="79" t="str">
        <f>IF(C230="","",VLOOKUP('OPĆI DIO'!$C$3,'OPĆI DIO'!$L$6:$U$120,10,FALSE))</f>
        <v/>
      </c>
      <c r="B230" s="79" t="str">
        <f>IF(C230="","",VLOOKUP('OPĆI DIO'!$C$3,'OPĆI DIO'!$L$6:$U$120,9,FALSE))</f>
        <v/>
      </c>
      <c r="C230" s="84"/>
      <c r="D230" s="79" t="str">
        <f t="shared" si="0"/>
        <v/>
      </c>
      <c r="E230" s="84"/>
      <c r="F230" s="79" t="str">
        <f t="shared" si="1"/>
        <v/>
      </c>
      <c r="G230" s="84"/>
      <c r="H230" s="79" t="str">
        <f t="shared" si="38"/>
        <v/>
      </c>
      <c r="I230" s="79" t="str">
        <f t="shared" si="39"/>
        <v/>
      </c>
      <c r="J230" s="67"/>
      <c r="K230" s="67"/>
      <c r="L230" s="67"/>
      <c r="M230" s="68"/>
      <c r="N230" s="51"/>
      <c r="O230" s="51" t="str">
        <f t="shared" si="4"/>
        <v/>
      </c>
      <c r="P230" s="51" t="str">
        <f t="shared" si="5"/>
        <v/>
      </c>
      <c r="Q230" s="51" t="str">
        <f t="shared" si="6"/>
        <v/>
      </c>
      <c r="R230" s="51" t="str">
        <f t="shared" si="7"/>
        <v/>
      </c>
      <c r="S230" s="51"/>
      <c r="T230" s="51"/>
      <c r="U230" s="51"/>
      <c r="V230" s="51"/>
      <c r="W230" s="51"/>
      <c r="X230" s="51"/>
      <c r="Y230" s="82"/>
      <c r="Z230" s="51"/>
      <c r="AA230" s="51"/>
      <c r="AB230" s="51" t="s">
        <v>1203</v>
      </c>
      <c r="AC230" s="51" t="s">
        <v>1204</v>
      </c>
      <c r="AD230" s="51" t="s">
        <v>1180</v>
      </c>
      <c r="AE230" s="51" t="s">
        <v>1181</v>
      </c>
      <c r="AF230" s="51" t="s">
        <v>643</v>
      </c>
      <c r="AG230" s="51" t="s">
        <v>1182</v>
      </c>
    </row>
    <row r="231" spans="1:33" ht="15.75" customHeight="1">
      <c r="A231" s="79" t="str">
        <f>IF(C231="","",VLOOKUP('OPĆI DIO'!$C$3,'OPĆI DIO'!$L$6:$U$120,10,FALSE))</f>
        <v/>
      </c>
      <c r="B231" s="79" t="str">
        <f>IF(C231="","",VLOOKUP('OPĆI DIO'!$C$3,'OPĆI DIO'!$L$6:$U$120,9,FALSE))</f>
        <v/>
      </c>
      <c r="C231" s="84"/>
      <c r="D231" s="79" t="str">
        <f t="shared" si="0"/>
        <v/>
      </c>
      <c r="E231" s="84"/>
      <c r="F231" s="79" t="str">
        <f t="shared" si="1"/>
        <v/>
      </c>
      <c r="G231" s="84"/>
      <c r="H231" s="79" t="str">
        <f t="shared" si="38"/>
        <v/>
      </c>
      <c r="I231" s="79" t="str">
        <f t="shared" si="39"/>
        <v/>
      </c>
      <c r="J231" s="67"/>
      <c r="K231" s="67"/>
      <c r="L231" s="67"/>
      <c r="M231" s="68"/>
      <c r="N231" s="51"/>
      <c r="O231" s="51" t="str">
        <f t="shared" si="4"/>
        <v/>
      </c>
      <c r="P231" s="51" t="str">
        <f t="shared" si="5"/>
        <v/>
      </c>
      <c r="Q231" s="51" t="str">
        <f t="shared" si="6"/>
        <v/>
      </c>
      <c r="R231" s="51" t="str">
        <f t="shared" si="7"/>
        <v/>
      </c>
      <c r="S231" s="51"/>
      <c r="T231" s="51"/>
      <c r="U231" s="51"/>
      <c r="V231" s="51"/>
      <c r="W231" s="51"/>
      <c r="X231" s="51"/>
      <c r="Y231" s="82"/>
      <c r="Z231" s="51"/>
      <c r="AA231" s="51"/>
      <c r="AB231" s="51" t="s">
        <v>1205</v>
      </c>
      <c r="AC231" s="51" t="s">
        <v>1206</v>
      </c>
      <c r="AD231" s="51" t="s">
        <v>1180</v>
      </c>
      <c r="AE231" s="51" t="s">
        <v>1181</v>
      </c>
      <c r="AF231" s="51" t="s">
        <v>643</v>
      </c>
      <c r="AG231" s="51" t="s">
        <v>1182</v>
      </c>
    </row>
    <row r="232" spans="1:33" ht="15.75" customHeight="1">
      <c r="A232" s="79" t="str">
        <f>IF(C232="","",VLOOKUP('OPĆI DIO'!$C$3,'OPĆI DIO'!$L$6:$U$120,10,FALSE))</f>
        <v/>
      </c>
      <c r="B232" s="79" t="str">
        <f>IF(C232="","",VLOOKUP('OPĆI DIO'!$C$3,'OPĆI DIO'!$L$6:$U$120,9,FALSE))</f>
        <v/>
      </c>
      <c r="C232" s="84"/>
      <c r="D232" s="79" t="str">
        <f t="shared" si="0"/>
        <v/>
      </c>
      <c r="E232" s="84"/>
      <c r="F232" s="79" t="str">
        <f t="shared" si="1"/>
        <v/>
      </c>
      <c r="G232" s="84"/>
      <c r="H232" s="79" t="str">
        <f t="shared" si="38"/>
        <v/>
      </c>
      <c r="I232" s="79" t="str">
        <f t="shared" si="39"/>
        <v/>
      </c>
      <c r="J232" s="67"/>
      <c r="K232" s="67"/>
      <c r="L232" s="67"/>
      <c r="M232" s="68"/>
      <c r="N232" s="51"/>
      <c r="O232" s="51" t="str">
        <f t="shared" si="4"/>
        <v/>
      </c>
      <c r="P232" s="51" t="str">
        <f t="shared" si="5"/>
        <v/>
      </c>
      <c r="Q232" s="51" t="str">
        <f t="shared" si="6"/>
        <v/>
      </c>
      <c r="R232" s="51" t="str">
        <f t="shared" si="7"/>
        <v/>
      </c>
      <c r="S232" s="51"/>
      <c r="T232" s="51"/>
      <c r="U232" s="51"/>
      <c r="V232" s="51"/>
      <c r="W232" s="51"/>
      <c r="X232" s="51"/>
      <c r="Y232" s="82"/>
      <c r="Z232" s="51"/>
      <c r="AA232" s="51"/>
      <c r="AB232" s="51" t="s">
        <v>1207</v>
      </c>
      <c r="AC232" s="51" t="s">
        <v>1208</v>
      </c>
      <c r="AD232" s="51" t="s">
        <v>648</v>
      </c>
      <c r="AE232" s="51" t="s">
        <v>649</v>
      </c>
      <c r="AF232" s="51" t="s">
        <v>636</v>
      </c>
      <c r="AG232" s="51" t="s">
        <v>650</v>
      </c>
    </row>
    <row r="233" spans="1:33" ht="15.75" customHeight="1">
      <c r="A233" s="79" t="str">
        <f>IF(C233="","",VLOOKUP('OPĆI DIO'!$C$3,'OPĆI DIO'!$L$6:$U$120,10,FALSE))</f>
        <v/>
      </c>
      <c r="B233" s="79" t="str">
        <f>IF(C233="","",VLOOKUP('OPĆI DIO'!$C$3,'OPĆI DIO'!$L$6:$U$120,9,FALSE))</f>
        <v/>
      </c>
      <c r="C233" s="84"/>
      <c r="D233" s="79" t="str">
        <f t="shared" si="0"/>
        <v/>
      </c>
      <c r="E233" s="84"/>
      <c r="F233" s="79" t="str">
        <f t="shared" si="1"/>
        <v/>
      </c>
      <c r="G233" s="84"/>
      <c r="H233" s="79" t="str">
        <f t="shared" si="38"/>
        <v/>
      </c>
      <c r="I233" s="79" t="str">
        <f t="shared" si="39"/>
        <v/>
      </c>
      <c r="J233" s="67"/>
      <c r="K233" s="67"/>
      <c r="L233" s="67"/>
      <c r="M233" s="68"/>
      <c r="N233" s="51"/>
      <c r="O233" s="51" t="str">
        <f t="shared" si="4"/>
        <v/>
      </c>
      <c r="P233" s="51" t="str">
        <f t="shared" si="5"/>
        <v/>
      </c>
      <c r="Q233" s="51" t="str">
        <f t="shared" si="6"/>
        <v/>
      </c>
      <c r="R233" s="51" t="str">
        <f t="shared" si="7"/>
        <v/>
      </c>
      <c r="S233" s="51"/>
      <c r="T233" s="51"/>
      <c r="U233" s="51"/>
      <c r="V233" s="51"/>
      <c r="W233" s="51"/>
      <c r="X233" s="51"/>
      <c r="Y233" s="82"/>
      <c r="Z233" s="51"/>
      <c r="AA233" s="51"/>
      <c r="AB233" s="51" t="s">
        <v>1209</v>
      </c>
      <c r="AC233" s="51" t="s">
        <v>1058</v>
      </c>
      <c r="AD233" s="51" t="s">
        <v>648</v>
      </c>
      <c r="AE233" s="51" t="s">
        <v>649</v>
      </c>
      <c r="AF233" s="51" t="s">
        <v>636</v>
      </c>
      <c r="AG233" s="51" t="s">
        <v>650</v>
      </c>
    </row>
    <row r="234" spans="1:33" ht="15.75" customHeight="1">
      <c r="A234" s="79" t="str">
        <f>IF(C234="","",VLOOKUP('OPĆI DIO'!$C$3,'OPĆI DIO'!$L$6:$U$120,10,FALSE))</f>
        <v/>
      </c>
      <c r="B234" s="79" t="str">
        <f>IF(C234="","",VLOOKUP('OPĆI DIO'!$C$3,'OPĆI DIO'!$L$6:$U$120,9,FALSE))</f>
        <v/>
      </c>
      <c r="C234" s="84"/>
      <c r="D234" s="79" t="str">
        <f t="shared" si="0"/>
        <v/>
      </c>
      <c r="E234" s="84"/>
      <c r="F234" s="79" t="str">
        <f t="shared" si="1"/>
        <v/>
      </c>
      <c r="G234" s="84"/>
      <c r="H234" s="79" t="str">
        <f t="shared" si="38"/>
        <v/>
      </c>
      <c r="I234" s="79" t="str">
        <f t="shared" si="39"/>
        <v/>
      </c>
      <c r="J234" s="67"/>
      <c r="K234" s="67"/>
      <c r="L234" s="67"/>
      <c r="M234" s="68"/>
      <c r="N234" s="51"/>
      <c r="O234" s="51" t="str">
        <f t="shared" si="4"/>
        <v/>
      </c>
      <c r="P234" s="51" t="str">
        <f t="shared" si="5"/>
        <v/>
      </c>
      <c r="Q234" s="51" t="str">
        <f t="shared" si="6"/>
        <v/>
      </c>
      <c r="R234" s="51" t="str">
        <f t="shared" si="7"/>
        <v/>
      </c>
      <c r="S234" s="51"/>
      <c r="T234" s="51"/>
      <c r="U234" s="51"/>
      <c r="V234" s="51"/>
      <c r="W234" s="51"/>
      <c r="X234" s="51"/>
      <c r="Y234" s="82"/>
      <c r="Z234" s="51"/>
      <c r="AA234" s="51"/>
      <c r="AB234" s="51" t="s">
        <v>1210</v>
      </c>
      <c r="AC234" s="51" t="s">
        <v>1211</v>
      </c>
      <c r="AD234" s="51" t="s">
        <v>1180</v>
      </c>
      <c r="AE234" s="51" t="s">
        <v>1181</v>
      </c>
      <c r="AF234" s="51" t="s">
        <v>643</v>
      </c>
      <c r="AG234" s="51" t="s">
        <v>1182</v>
      </c>
    </row>
    <row r="235" spans="1:33" ht="15.75" customHeight="1">
      <c r="A235" s="79" t="str">
        <f>IF(C235="","",VLOOKUP('OPĆI DIO'!$C$3,'OPĆI DIO'!$L$6:$U$120,10,FALSE))</f>
        <v/>
      </c>
      <c r="B235" s="79" t="str">
        <f>IF(C235="","",VLOOKUP('OPĆI DIO'!$C$3,'OPĆI DIO'!$L$6:$U$120,9,FALSE))</f>
        <v/>
      </c>
      <c r="C235" s="84"/>
      <c r="D235" s="79" t="str">
        <f t="shared" si="0"/>
        <v/>
      </c>
      <c r="E235" s="84"/>
      <c r="F235" s="79" t="str">
        <f t="shared" si="1"/>
        <v/>
      </c>
      <c r="G235" s="84"/>
      <c r="H235" s="79" t="str">
        <f t="shared" si="38"/>
        <v/>
      </c>
      <c r="I235" s="79" t="str">
        <f t="shared" si="39"/>
        <v/>
      </c>
      <c r="J235" s="67"/>
      <c r="K235" s="67"/>
      <c r="L235" s="67"/>
      <c r="M235" s="68"/>
      <c r="N235" s="51"/>
      <c r="O235" s="51" t="str">
        <f t="shared" si="4"/>
        <v/>
      </c>
      <c r="P235" s="51" t="str">
        <f t="shared" si="5"/>
        <v/>
      </c>
      <c r="Q235" s="51" t="str">
        <f t="shared" si="6"/>
        <v/>
      </c>
      <c r="R235" s="51" t="str">
        <f t="shared" si="7"/>
        <v/>
      </c>
      <c r="S235" s="51"/>
      <c r="T235" s="51"/>
      <c r="U235" s="51"/>
      <c r="V235" s="51"/>
      <c r="W235" s="51"/>
      <c r="X235" s="51"/>
      <c r="Y235" s="82"/>
      <c r="Z235" s="51"/>
      <c r="AA235" s="51"/>
      <c r="AB235" s="51" t="s">
        <v>1212</v>
      </c>
      <c r="AC235" s="51" t="s">
        <v>1213</v>
      </c>
      <c r="AD235" s="51" t="s">
        <v>641</v>
      </c>
      <c r="AE235" s="51" t="s">
        <v>642</v>
      </c>
      <c r="AF235" s="51" t="s">
        <v>643</v>
      </c>
      <c r="AG235" s="51" t="s">
        <v>644</v>
      </c>
    </row>
    <row r="236" spans="1:33" ht="15.75" customHeight="1">
      <c r="A236" s="79" t="str">
        <f>IF(C236="","",VLOOKUP('OPĆI DIO'!$C$3,'OPĆI DIO'!$L$6:$U$120,10,FALSE))</f>
        <v/>
      </c>
      <c r="B236" s="79" t="str">
        <f>IF(C236="","",VLOOKUP('OPĆI DIO'!$C$3,'OPĆI DIO'!$L$6:$U$120,9,FALSE))</f>
        <v/>
      </c>
      <c r="C236" s="84"/>
      <c r="D236" s="79" t="str">
        <f t="shared" si="0"/>
        <v/>
      </c>
      <c r="E236" s="84"/>
      <c r="F236" s="79" t="str">
        <f t="shared" si="1"/>
        <v/>
      </c>
      <c r="G236" s="84"/>
      <c r="H236" s="79" t="str">
        <f t="shared" si="38"/>
        <v/>
      </c>
      <c r="I236" s="79" t="str">
        <f t="shared" si="39"/>
        <v/>
      </c>
      <c r="J236" s="67"/>
      <c r="K236" s="67"/>
      <c r="L236" s="67"/>
      <c r="M236" s="68"/>
      <c r="N236" s="51"/>
      <c r="O236" s="51" t="str">
        <f t="shared" si="4"/>
        <v/>
      </c>
      <c r="P236" s="51" t="str">
        <f t="shared" si="5"/>
        <v/>
      </c>
      <c r="Q236" s="51" t="str">
        <f t="shared" si="6"/>
        <v/>
      </c>
      <c r="R236" s="51" t="str">
        <f t="shared" si="7"/>
        <v/>
      </c>
      <c r="S236" s="51"/>
      <c r="T236" s="51"/>
      <c r="U236" s="51"/>
      <c r="V236" s="51"/>
      <c r="W236" s="51"/>
      <c r="X236" s="51"/>
      <c r="Y236" s="82"/>
      <c r="Z236" s="51"/>
      <c r="AA236" s="51"/>
      <c r="AB236" s="51" t="s">
        <v>1214</v>
      </c>
      <c r="AC236" s="51" t="s">
        <v>1215</v>
      </c>
      <c r="AD236" s="51" t="s">
        <v>641</v>
      </c>
      <c r="AE236" s="51" t="s">
        <v>642</v>
      </c>
      <c r="AF236" s="51" t="s">
        <v>643</v>
      </c>
      <c r="AG236" s="51" t="s">
        <v>644</v>
      </c>
    </row>
    <row r="237" spans="1:33" ht="15.75" customHeight="1">
      <c r="A237" s="79" t="str">
        <f>IF(C237="","",VLOOKUP('OPĆI DIO'!$C$3,'OPĆI DIO'!$L$6:$U$120,10,FALSE))</f>
        <v/>
      </c>
      <c r="B237" s="79" t="str">
        <f>IF(C237="","",VLOOKUP('OPĆI DIO'!$C$3,'OPĆI DIO'!$L$6:$U$120,9,FALSE))</f>
        <v/>
      </c>
      <c r="C237" s="84"/>
      <c r="D237" s="79" t="str">
        <f t="shared" si="0"/>
        <v/>
      </c>
      <c r="E237" s="84"/>
      <c r="F237" s="79" t="str">
        <f t="shared" si="1"/>
        <v/>
      </c>
      <c r="G237" s="84"/>
      <c r="H237" s="79" t="str">
        <f t="shared" si="38"/>
        <v/>
      </c>
      <c r="I237" s="79" t="str">
        <f t="shared" si="39"/>
        <v/>
      </c>
      <c r="J237" s="67"/>
      <c r="K237" s="67"/>
      <c r="L237" s="67"/>
      <c r="M237" s="68"/>
      <c r="N237" s="51"/>
      <c r="O237" s="51" t="str">
        <f t="shared" si="4"/>
        <v/>
      </c>
      <c r="P237" s="51" t="str">
        <f t="shared" si="5"/>
        <v/>
      </c>
      <c r="Q237" s="51" t="str">
        <f t="shared" si="6"/>
        <v/>
      </c>
      <c r="R237" s="51" t="str">
        <f t="shared" si="7"/>
        <v/>
      </c>
      <c r="S237" s="51"/>
      <c r="T237" s="51"/>
      <c r="U237" s="51"/>
      <c r="V237" s="51"/>
      <c r="W237" s="51"/>
      <c r="X237" s="51"/>
      <c r="Y237" s="82"/>
      <c r="Z237" s="51"/>
      <c r="AA237" s="51"/>
      <c r="AB237" s="51" t="s">
        <v>1216</v>
      </c>
      <c r="AC237" s="51" t="s">
        <v>1217</v>
      </c>
      <c r="AD237" s="51" t="s">
        <v>1180</v>
      </c>
      <c r="AE237" s="51" t="s">
        <v>1181</v>
      </c>
      <c r="AF237" s="51" t="s">
        <v>643</v>
      </c>
      <c r="AG237" s="51" t="s">
        <v>1182</v>
      </c>
    </row>
    <row r="238" spans="1:33" ht="15.75" customHeight="1">
      <c r="A238" s="79" t="str">
        <f>IF(C238="","",VLOOKUP('OPĆI DIO'!$C$3,'OPĆI DIO'!$L$6:$U$120,10,FALSE))</f>
        <v/>
      </c>
      <c r="B238" s="79" t="str">
        <f>IF(C238="","",VLOOKUP('OPĆI DIO'!$C$3,'OPĆI DIO'!$L$6:$U$120,9,FALSE))</f>
        <v/>
      </c>
      <c r="C238" s="84"/>
      <c r="D238" s="79" t="str">
        <f t="shared" si="0"/>
        <v/>
      </c>
      <c r="E238" s="84"/>
      <c r="F238" s="79" t="str">
        <f t="shared" si="1"/>
        <v/>
      </c>
      <c r="G238" s="84"/>
      <c r="H238" s="79" t="str">
        <f t="shared" si="38"/>
        <v/>
      </c>
      <c r="I238" s="79" t="str">
        <f t="shared" si="39"/>
        <v/>
      </c>
      <c r="J238" s="67"/>
      <c r="K238" s="67"/>
      <c r="L238" s="67"/>
      <c r="M238" s="68"/>
      <c r="N238" s="51"/>
      <c r="O238" s="51" t="str">
        <f t="shared" si="4"/>
        <v/>
      </c>
      <c r="P238" s="51" t="str">
        <f t="shared" si="5"/>
        <v/>
      </c>
      <c r="Q238" s="51" t="str">
        <f t="shared" si="6"/>
        <v/>
      </c>
      <c r="R238" s="51" t="str">
        <f t="shared" si="7"/>
        <v/>
      </c>
      <c r="S238" s="51"/>
      <c r="T238" s="51"/>
      <c r="U238" s="51"/>
      <c r="V238" s="51"/>
      <c r="W238" s="51"/>
      <c r="X238" s="51"/>
      <c r="Y238" s="82"/>
      <c r="Z238" s="51"/>
      <c r="AA238" s="51"/>
      <c r="AB238" s="51" t="s">
        <v>1218</v>
      </c>
      <c r="AC238" s="51" t="s">
        <v>1219</v>
      </c>
      <c r="AD238" s="51" t="s">
        <v>1180</v>
      </c>
      <c r="AE238" s="51" t="s">
        <v>1181</v>
      </c>
      <c r="AF238" s="51" t="s">
        <v>643</v>
      </c>
      <c r="AG238" s="51" t="s">
        <v>1182</v>
      </c>
    </row>
    <row r="239" spans="1:33" ht="15.75" customHeight="1">
      <c r="A239" s="79" t="str">
        <f>IF(C239="","",VLOOKUP('OPĆI DIO'!$C$3,'OPĆI DIO'!$L$6:$U$120,10,FALSE))</f>
        <v/>
      </c>
      <c r="B239" s="79" t="str">
        <f>IF(C239="","",VLOOKUP('OPĆI DIO'!$C$3,'OPĆI DIO'!$L$6:$U$120,9,FALSE))</f>
        <v/>
      </c>
      <c r="C239" s="84"/>
      <c r="D239" s="79" t="str">
        <f t="shared" si="0"/>
        <v/>
      </c>
      <c r="E239" s="84"/>
      <c r="F239" s="79" t="str">
        <f t="shared" si="1"/>
        <v/>
      </c>
      <c r="G239" s="84"/>
      <c r="H239" s="79" t="str">
        <f t="shared" si="38"/>
        <v/>
      </c>
      <c r="I239" s="79" t="str">
        <f t="shared" si="39"/>
        <v/>
      </c>
      <c r="J239" s="67"/>
      <c r="K239" s="67"/>
      <c r="L239" s="67"/>
      <c r="M239" s="68"/>
      <c r="N239" s="51"/>
      <c r="O239" s="51" t="str">
        <f t="shared" si="4"/>
        <v/>
      </c>
      <c r="P239" s="51" t="str">
        <f t="shared" si="5"/>
        <v/>
      </c>
      <c r="Q239" s="51" t="str">
        <f t="shared" si="6"/>
        <v/>
      </c>
      <c r="R239" s="51" t="str">
        <f t="shared" si="7"/>
        <v/>
      </c>
      <c r="S239" s="51"/>
      <c r="T239" s="51"/>
      <c r="U239" s="51"/>
      <c r="V239" s="51"/>
      <c r="W239" s="51"/>
      <c r="X239" s="51"/>
      <c r="Y239" s="82"/>
      <c r="Z239" s="51"/>
      <c r="AA239" s="51"/>
      <c r="AB239" s="51" t="s">
        <v>1220</v>
      </c>
      <c r="AC239" s="51" t="s">
        <v>1221</v>
      </c>
      <c r="AD239" s="51" t="s">
        <v>1180</v>
      </c>
      <c r="AE239" s="51" t="s">
        <v>1181</v>
      </c>
      <c r="AF239" s="51" t="s">
        <v>643</v>
      </c>
      <c r="AG239" s="51" t="s">
        <v>1182</v>
      </c>
    </row>
    <row r="240" spans="1:33" ht="15.75" customHeight="1">
      <c r="A240" s="79" t="str">
        <f>IF(C240="","",VLOOKUP('OPĆI DIO'!$C$3,'OPĆI DIO'!$L$6:$U$120,10,FALSE))</f>
        <v/>
      </c>
      <c r="B240" s="79" t="str">
        <f>IF(C240="","",VLOOKUP('OPĆI DIO'!$C$3,'OPĆI DIO'!$L$6:$U$120,9,FALSE))</f>
        <v/>
      </c>
      <c r="C240" s="84"/>
      <c r="D240" s="79" t="str">
        <f t="shared" si="0"/>
        <v/>
      </c>
      <c r="E240" s="84"/>
      <c r="F240" s="79" t="str">
        <f t="shared" si="1"/>
        <v/>
      </c>
      <c r="G240" s="84"/>
      <c r="H240" s="79" t="str">
        <f t="shared" si="38"/>
        <v/>
      </c>
      <c r="I240" s="79" t="str">
        <f t="shared" si="39"/>
        <v/>
      </c>
      <c r="J240" s="67"/>
      <c r="K240" s="67"/>
      <c r="L240" s="67"/>
      <c r="M240" s="68"/>
      <c r="N240" s="51"/>
      <c r="O240" s="51" t="str">
        <f t="shared" si="4"/>
        <v/>
      </c>
      <c r="P240" s="51" t="str">
        <f t="shared" si="5"/>
        <v/>
      </c>
      <c r="Q240" s="51" t="str">
        <f t="shared" si="6"/>
        <v/>
      </c>
      <c r="R240" s="51" t="str">
        <f t="shared" si="7"/>
        <v/>
      </c>
      <c r="S240" s="51"/>
      <c r="T240" s="51"/>
      <c r="U240" s="51"/>
      <c r="V240" s="51"/>
      <c r="W240" s="51"/>
      <c r="X240" s="51"/>
      <c r="Y240" s="82"/>
      <c r="Z240" s="51"/>
      <c r="AA240" s="51"/>
      <c r="AB240" s="51" t="s">
        <v>1222</v>
      </c>
      <c r="AC240" s="51" t="s">
        <v>1223</v>
      </c>
      <c r="AD240" s="51" t="s">
        <v>1180</v>
      </c>
      <c r="AE240" s="51" t="s">
        <v>1181</v>
      </c>
      <c r="AF240" s="51" t="s">
        <v>643</v>
      </c>
      <c r="AG240" s="51" t="s">
        <v>1182</v>
      </c>
    </row>
    <row r="241" spans="1:33" ht="15.75" customHeight="1">
      <c r="A241" s="79" t="str">
        <f>IF(C241="","",VLOOKUP('OPĆI DIO'!$C$3,'OPĆI DIO'!$L$6:$U$120,10,FALSE))</f>
        <v/>
      </c>
      <c r="B241" s="79" t="str">
        <f>IF(C241="","",VLOOKUP('OPĆI DIO'!$C$3,'OPĆI DIO'!$L$6:$U$120,9,FALSE))</f>
        <v/>
      </c>
      <c r="C241" s="84"/>
      <c r="D241" s="79" t="str">
        <f t="shared" si="0"/>
        <v/>
      </c>
      <c r="E241" s="84"/>
      <c r="F241" s="79" t="str">
        <f t="shared" si="1"/>
        <v/>
      </c>
      <c r="G241" s="84"/>
      <c r="H241" s="79" t="str">
        <f t="shared" si="38"/>
        <v/>
      </c>
      <c r="I241" s="79" t="str">
        <f t="shared" si="39"/>
        <v/>
      </c>
      <c r="J241" s="67"/>
      <c r="K241" s="67"/>
      <c r="L241" s="67"/>
      <c r="M241" s="68"/>
      <c r="N241" s="51"/>
      <c r="O241" s="51" t="str">
        <f t="shared" si="4"/>
        <v/>
      </c>
      <c r="P241" s="51" t="str">
        <f t="shared" si="5"/>
        <v/>
      </c>
      <c r="Q241" s="51" t="str">
        <f t="shared" si="6"/>
        <v/>
      </c>
      <c r="R241" s="51" t="str">
        <f t="shared" si="7"/>
        <v/>
      </c>
      <c r="S241" s="51"/>
      <c r="T241" s="51"/>
      <c r="U241" s="51"/>
      <c r="V241" s="51"/>
      <c r="W241" s="51"/>
      <c r="X241" s="51"/>
      <c r="Y241" s="82"/>
      <c r="Z241" s="51"/>
      <c r="AA241" s="51"/>
      <c r="AB241" s="51" t="s">
        <v>1224</v>
      </c>
      <c r="AC241" s="51" t="s">
        <v>1225</v>
      </c>
      <c r="AD241" s="51" t="s">
        <v>1180</v>
      </c>
      <c r="AE241" s="51" t="s">
        <v>1181</v>
      </c>
      <c r="AF241" s="51" t="s">
        <v>643</v>
      </c>
      <c r="AG241" s="51" t="s">
        <v>1182</v>
      </c>
    </row>
    <row r="242" spans="1:33" ht="15.75" customHeight="1">
      <c r="A242" s="79" t="str">
        <f>IF(C242="","",VLOOKUP('OPĆI DIO'!$C$3,'OPĆI DIO'!$L$6:$U$120,10,FALSE))</f>
        <v/>
      </c>
      <c r="B242" s="79" t="str">
        <f>IF(C242="","",VLOOKUP('OPĆI DIO'!$C$3,'OPĆI DIO'!$L$6:$U$120,9,FALSE))</f>
        <v/>
      </c>
      <c r="C242" s="84"/>
      <c r="D242" s="79" t="str">
        <f t="shared" si="0"/>
        <v/>
      </c>
      <c r="E242" s="84"/>
      <c r="F242" s="79" t="str">
        <f t="shared" si="1"/>
        <v/>
      </c>
      <c r="G242" s="84"/>
      <c r="H242" s="79" t="str">
        <f t="shared" si="38"/>
        <v/>
      </c>
      <c r="I242" s="79" t="str">
        <f t="shared" si="39"/>
        <v/>
      </c>
      <c r="J242" s="67"/>
      <c r="K242" s="67"/>
      <c r="L242" s="67"/>
      <c r="M242" s="68"/>
      <c r="N242" s="51"/>
      <c r="O242" s="51" t="str">
        <f t="shared" si="4"/>
        <v/>
      </c>
      <c r="P242" s="51" t="str">
        <f t="shared" si="5"/>
        <v/>
      </c>
      <c r="Q242" s="51" t="str">
        <f t="shared" si="6"/>
        <v/>
      </c>
      <c r="R242" s="51" t="str">
        <f t="shared" si="7"/>
        <v/>
      </c>
      <c r="S242" s="51"/>
      <c r="T242" s="51"/>
      <c r="U242" s="51"/>
      <c r="V242" s="51"/>
      <c r="W242" s="51"/>
      <c r="X242" s="51"/>
      <c r="Y242" s="82"/>
      <c r="Z242" s="51"/>
      <c r="AA242" s="51"/>
      <c r="AB242" s="51" t="s">
        <v>1226</v>
      </c>
      <c r="AC242" s="51" t="s">
        <v>1227</v>
      </c>
      <c r="AD242" s="51" t="s">
        <v>1180</v>
      </c>
      <c r="AE242" s="51" t="s">
        <v>1181</v>
      </c>
      <c r="AF242" s="51" t="s">
        <v>643</v>
      </c>
      <c r="AG242" s="51" t="s">
        <v>1182</v>
      </c>
    </row>
    <row r="243" spans="1:33" ht="15.75" customHeight="1">
      <c r="A243" s="79" t="str">
        <f>IF(C243="","",VLOOKUP('OPĆI DIO'!$C$3,'OPĆI DIO'!$L$6:$U$120,10,FALSE))</f>
        <v/>
      </c>
      <c r="B243" s="79" t="str">
        <f>IF(C243="","",VLOOKUP('OPĆI DIO'!$C$3,'OPĆI DIO'!$L$6:$U$120,9,FALSE))</f>
        <v/>
      </c>
      <c r="C243" s="84"/>
      <c r="D243" s="79" t="str">
        <f t="shared" si="0"/>
        <v/>
      </c>
      <c r="E243" s="84"/>
      <c r="F243" s="79" t="str">
        <f t="shared" si="1"/>
        <v/>
      </c>
      <c r="G243" s="84"/>
      <c r="H243" s="79" t="str">
        <f t="shared" si="38"/>
        <v/>
      </c>
      <c r="I243" s="79" t="str">
        <f t="shared" si="39"/>
        <v/>
      </c>
      <c r="J243" s="67"/>
      <c r="K243" s="67"/>
      <c r="L243" s="67"/>
      <c r="M243" s="68"/>
      <c r="N243" s="51"/>
      <c r="O243" s="51" t="str">
        <f t="shared" si="4"/>
        <v/>
      </c>
      <c r="P243" s="51" t="str">
        <f t="shared" si="5"/>
        <v/>
      </c>
      <c r="Q243" s="51" t="str">
        <f t="shared" si="6"/>
        <v/>
      </c>
      <c r="R243" s="51" t="str">
        <f t="shared" si="7"/>
        <v/>
      </c>
      <c r="S243" s="51"/>
      <c r="T243" s="51"/>
      <c r="U243" s="51"/>
      <c r="V243" s="51"/>
      <c r="W243" s="51"/>
      <c r="X243" s="51"/>
      <c r="Y243" s="82"/>
      <c r="Z243" s="51"/>
      <c r="AA243" s="51"/>
      <c r="AB243" s="51" t="s">
        <v>1228</v>
      </c>
      <c r="AC243" s="51" t="s">
        <v>1229</v>
      </c>
      <c r="AD243" s="51" t="s">
        <v>648</v>
      </c>
      <c r="AE243" s="51" t="s">
        <v>649</v>
      </c>
      <c r="AF243" s="51" t="s">
        <v>636</v>
      </c>
      <c r="AG243" s="51" t="s">
        <v>650</v>
      </c>
    </row>
    <row r="244" spans="1:33" ht="15.75" customHeight="1">
      <c r="A244" s="79" t="str">
        <f>IF(C244="","",VLOOKUP('OPĆI DIO'!$C$3,'OPĆI DIO'!$L$6:$U$120,10,FALSE))</f>
        <v/>
      </c>
      <c r="B244" s="79" t="str">
        <f>IF(C244="","",VLOOKUP('OPĆI DIO'!$C$3,'OPĆI DIO'!$L$6:$U$120,9,FALSE))</f>
        <v/>
      </c>
      <c r="C244" s="84"/>
      <c r="D244" s="79" t="str">
        <f t="shared" si="0"/>
        <v/>
      </c>
      <c r="E244" s="84"/>
      <c r="F244" s="79" t="str">
        <f t="shared" si="1"/>
        <v/>
      </c>
      <c r="G244" s="84"/>
      <c r="H244" s="79" t="str">
        <f t="shared" si="38"/>
        <v/>
      </c>
      <c r="I244" s="79" t="str">
        <f t="shared" si="39"/>
        <v/>
      </c>
      <c r="J244" s="67"/>
      <c r="K244" s="67"/>
      <c r="L244" s="67"/>
      <c r="M244" s="68"/>
      <c r="N244" s="51"/>
      <c r="O244" s="51" t="str">
        <f t="shared" si="4"/>
        <v/>
      </c>
      <c r="P244" s="51" t="str">
        <f t="shared" si="5"/>
        <v/>
      </c>
      <c r="Q244" s="51" t="str">
        <f t="shared" si="6"/>
        <v/>
      </c>
      <c r="R244" s="51" t="str">
        <f t="shared" si="7"/>
        <v/>
      </c>
      <c r="S244" s="51"/>
      <c r="T244" s="51"/>
      <c r="U244" s="51"/>
      <c r="V244" s="51"/>
      <c r="W244" s="51"/>
      <c r="X244" s="51"/>
      <c r="Y244" s="82"/>
      <c r="Z244" s="51"/>
      <c r="AA244" s="51"/>
      <c r="AB244" s="51" t="s">
        <v>1230</v>
      </c>
      <c r="AC244" s="51" t="s">
        <v>1231</v>
      </c>
      <c r="AD244" s="51" t="s">
        <v>648</v>
      </c>
      <c r="AE244" s="51" t="s">
        <v>649</v>
      </c>
      <c r="AF244" s="51" t="s">
        <v>636</v>
      </c>
      <c r="AG244" s="51" t="s">
        <v>650</v>
      </c>
    </row>
    <row r="245" spans="1:33" ht="15.75" customHeight="1">
      <c r="A245" s="79" t="str">
        <f>IF(C245="","",VLOOKUP('OPĆI DIO'!$C$3,'OPĆI DIO'!$L$6:$U$120,10,FALSE))</f>
        <v/>
      </c>
      <c r="B245" s="79" t="str">
        <f>IF(C245="","",VLOOKUP('OPĆI DIO'!$C$3,'OPĆI DIO'!$L$6:$U$120,9,FALSE))</f>
        <v/>
      </c>
      <c r="C245" s="84"/>
      <c r="D245" s="79" t="str">
        <f t="shared" si="0"/>
        <v/>
      </c>
      <c r="E245" s="84"/>
      <c r="F245" s="79" t="str">
        <f t="shared" si="1"/>
        <v/>
      </c>
      <c r="G245" s="84"/>
      <c r="H245" s="79" t="str">
        <f t="shared" si="38"/>
        <v/>
      </c>
      <c r="I245" s="79" t="str">
        <f t="shared" si="39"/>
        <v/>
      </c>
      <c r="J245" s="67"/>
      <c r="K245" s="67"/>
      <c r="L245" s="67"/>
      <c r="M245" s="68"/>
      <c r="N245" s="51"/>
      <c r="O245" s="51" t="str">
        <f t="shared" si="4"/>
        <v/>
      </c>
      <c r="P245" s="51" t="str">
        <f t="shared" si="5"/>
        <v/>
      </c>
      <c r="Q245" s="51" t="str">
        <f t="shared" si="6"/>
        <v/>
      </c>
      <c r="R245" s="51" t="str">
        <f t="shared" si="7"/>
        <v/>
      </c>
      <c r="S245" s="51"/>
      <c r="T245" s="51"/>
      <c r="U245" s="51"/>
      <c r="V245" s="51"/>
      <c r="W245" s="51"/>
      <c r="X245" s="51"/>
      <c r="Y245" s="82"/>
      <c r="Z245" s="51"/>
      <c r="AA245" s="51"/>
      <c r="AB245" s="51" t="s">
        <v>1232</v>
      </c>
      <c r="AC245" s="51" t="s">
        <v>1233</v>
      </c>
      <c r="AD245" s="51" t="s">
        <v>648</v>
      </c>
      <c r="AE245" s="51" t="s">
        <v>649</v>
      </c>
      <c r="AF245" s="51" t="s">
        <v>636</v>
      </c>
      <c r="AG245" s="51" t="s">
        <v>650</v>
      </c>
    </row>
    <row r="246" spans="1:33" ht="15.75" customHeight="1">
      <c r="A246" s="79" t="str">
        <f>IF(C246="","",VLOOKUP('OPĆI DIO'!$C$3,'OPĆI DIO'!$L$6:$U$120,10,FALSE))</f>
        <v/>
      </c>
      <c r="B246" s="79" t="str">
        <f>IF(C246="","",VLOOKUP('OPĆI DIO'!$C$3,'OPĆI DIO'!$L$6:$U$120,9,FALSE))</f>
        <v/>
      </c>
      <c r="C246" s="84"/>
      <c r="D246" s="79" t="str">
        <f t="shared" si="0"/>
        <v/>
      </c>
      <c r="E246" s="84"/>
      <c r="F246" s="79" t="str">
        <f t="shared" si="1"/>
        <v/>
      </c>
      <c r="G246" s="84"/>
      <c r="H246" s="79" t="str">
        <f t="shared" si="38"/>
        <v/>
      </c>
      <c r="I246" s="79" t="str">
        <f t="shared" si="39"/>
        <v/>
      </c>
      <c r="J246" s="67"/>
      <c r="K246" s="67"/>
      <c r="L246" s="67"/>
      <c r="M246" s="68"/>
      <c r="N246" s="51"/>
      <c r="O246" s="51" t="str">
        <f t="shared" si="4"/>
        <v/>
      </c>
      <c r="P246" s="51" t="str">
        <f t="shared" si="5"/>
        <v/>
      </c>
      <c r="Q246" s="51" t="str">
        <f t="shared" si="6"/>
        <v/>
      </c>
      <c r="R246" s="51" t="str">
        <f t="shared" si="7"/>
        <v/>
      </c>
      <c r="S246" s="51"/>
      <c r="T246" s="51"/>
      <c r="U246" s="51"/>
      <c r="V246" s="51"/>
      <c r="W246" s="51"/>
      <c r="X246" s="51"/>
      <c r="Y246" s="82"/>
      <c r="Z246" s="51"/>
      <c r="AA246" s="51"/>
      <c r="AB246" s="51" t="s">
        <v>1234</v>
      </c>
      <c r="AC246" s="51" t="s">
        <v>1235</v>
      </c>
      <c r="AD246" s="51" t="s">
        <v>648</v>
      </c>
      <c r="AE246" s="51" t="s">
        <v>649</v>
      </c>
      <c r="AF246" s="51" t="s">
        <v>636</v>
      </c>
      <c r="AG246" s="51" t="s">
        <v>650</v>
      </c>
    </row>
    <row r="247" spans="1:33" ht="15.75" customHeight="1">
      <c r="A247" s="79" t="str">
        <f>IF(C247="","",VLOOKUP('OPĆI DIO'!$C$3,'OPĆI DIO'!$L$6:$U$120,10,FALSE))</f>
        <v/>
      </c>
      <c r="B247" s="79" t="str">
        <f>IF(C247="","",VLOOKUP('OPĆI DIO'!$C$3,'OPĆI DIO'!$L$6:$U$120,9,FALSE))</f>
        <v/>
      </c>
      <c r="C247" s="84"/>
      <c r="D247" s="79" t="str">
        <f t="shared" si="0"/>
        <v/>
      </c>
      <c r="E247" s="84"/>
      <c r="F247" s="79" t="str">
        <f t="shared" si="1"/>
        <v/>
      </c>
      <c r="G247" s="84"/>
      <c r="H247" s="79" t="str">
        <f t="shared" si="38"/>
        <v/>
      </c>
      <c r="I247" s="79" t="str">
        <f t="shared" si="39"/>
        <v/>
      </c>
      <c r="J247" s="67"/>
      <c r="K247" s="67"/>
      <c r="L247" s="67"/>
      <c r="M247" s="68"/>
      <c r="N247" s="51"/>
      <c r="O247" s="51" t="str">
        <f t="shared" si="4"/>
        <v/>
      </c>
      <c r="P247" s="51" t="str">
        <f t="shared" si="5"/>
        <v/>
      </c>
      <c r="Q247" s="51" t="str">
        <f t="shared" si="6"/>
        <v/>
      </c>
      <c r="R247" s="51" t="str">
        <f t="shared" si="7"/>
        <v/>
      </c>
      <c r="S247" s="51"/>
      <c r="T247" s="51"/>
      <c r="U247" s="51"/>
      <c r="V247" s="51"/>
      <c r="W247" s="51"/>
      <c r="X247" s="51"/>
      <c r="Y247" s="82"/>
      <c r="Z247" s="51"/>
      <c r="AA247" s="51"/>
      <c r="AB247" s="51" t="s">
        <v>1236</v>
      </c>
      <c r="AC247" s="51" t="s">
        <v>1237</v>
      </c>
      <c r="AD247" s="51" t="s">
        <v>648</v>
      </c>
      <c r="AE247" s="51" t="s">
        <v>649</v>
      </c>
      <c r="AF247" s="51" t="s">
        <v>636</v>
      </c>
      <c r="AG247" s="51" t="s">
        <v>650</v>
      </c>
    </row>
    <row r="248" spans="1:33" ht="15.75" customHeight="1">
      <c r="A248" s="79" t="str">
        <f>IF(C248="","",VLOOKUP('OPĆI DIO'!$C$3,'OPĆI DIO'!$L$6:$U$120,10,FALSE))</f>
        <v/>
      </c>
      <c r="B248" s="79" t="str">
        <f>IF(C248="","",VLOOKUP('OPĆI DIO'!$C$3,'OPĆI DIO'!$L$6:$U$120,9,FALSE))</f>
        <v/>
      </c>
      <c r="C248" s="84"/>
      <c r="D248" s="79" t="str">
        <f t="shared" si="0"/>
        <v/>
      </c>
      <c r="E248" s="84"/>
      <c r="F248" s="79" t="str">
        <f t="shared" si="1"/>
        <v/>
      </c>
      <c r="G248" s="84"/>
      <c r="H248" s="79" t="str">
        <f t="shared" si="38"/>
        <v/>
      </c>
      <c r="I248" s="79" t="str">
        <f t="shared" si="39"/>
        <v/>
      </c>
      <c r="J248" s="67"/>
      <c r="K248" s="67"/>
      <c r="L248" s="67"/>
      <c r="M248" s="68"/>
      <c r="N248" s="51"/>
      <c r="O248" s="51" t="str">
        <f t="shared" si="4"/>
        <v/>
      </c>
      <c r="P248" s="51" t="str">
        <f t="shared" si="5"/>
        <v/>
      </c>
      <c r="Q248" s="51" t="str">
        <f t="shared" si="6"/>
        <v/>
      </c>
      <c r="R248" s="51" t="str">
        <f t="shared" si="7"/>
        <v/>
      </c>
      <c r="S248" s="51"/>
      <c r="T248" s="51"/>
      <c r="U248" s="51"/>
      <c r="V248" s="51"/>
      <c r="W248" s="51"/>
      <c r="X248" s="51"/>
      <c r="Y248" s="82"/>
      <c r="Z248" s="51"/>
      <c r="AA248" s="51"/>
      <c r="AB248" s="51" t="s">
        <v>1238</v>
      </c>
      <c r="AC248" s="51" t="s">
        <v>1239</v>
      </c>
      <c r="AD248" s="51" t="s">
        <v>648</v>
      </c>
      <c r="AE248" s="51" t="s">
        <v>649</v>
      </c>
      <c r="AF248" s="51" t="s">
        <v>636</v>
      </c>
      <c r="AG248" s="51" t="s">
        <v>650</v>
      </c>
    </row>
    <row r="249" spans="1:33" ht="15.75" customHeight="1">
      <c r="A249" s="79" t="str">
        <f>IF(C249="","",VLOOKUP('OPĆI DIO'!$C$3,'OPĆI DIO'!$L$6:$U$120,10,FALSE))</f>
        <v/>
      </c>
      <c r="B249" s="79" t="str">
        <f>IF(C249="","",VLOOKUP('OPĆI DIO'!$C$3,'OPĆI DIO'!$L$6:$U$120,9,FALSE))</f>
        <v/>
      </c>
      <c r="C249" s="84"/>
      <c r="D249" s="79" t="str">
        <f t="shared" si="0"/>
        <v/>
      </c>
      <c r="E249" s="84"/>
      <c r="F249" s="79" t="str">
        <f t="shared" si="1"/>
        <v/>
      </c>
      <c r="G249" s="84"/>
      <c r="H249" s="79" t="str">
        <f t="shared" si="38"/>
        <v/>
      </c>
      <c r="I249" s="79" t="str">
        <f t="shared" si="39"/>
        <v/>
      </c>
      <c r="J249" s="67"/>
      <c r="K249" s="67"/>
      <c r="L249" s="67"/>
      <c r="M249" s="68"/>
      <c r="N249" s="51"/>
      <c r="O249" s="51" t="str">
        <f t="shared" si="4"/>
        <v/>
      </c>
      <c r="P249" s="51" t="str">
        <f t="shared" si="5"/>
        <v/>
      </c>
      <c r="Q249" s="51" t="str">
        <f t="shared" si="6"/>
        <v/>
      </c>
      <c r="R249" s="51" t="str">
        <f t="shared" si="7"/>
        <v/>
      </c>
      <c r="S249" s="51"/>
      <c r="T249" s="51"/>
      <c r="U249" s="51"/>
      <c r="V249" s="51"/>
      <c r="W249" s="51"/>
      <c r="X249" s="51"/>
      <c r="Y249" s="82"/>
      <c r="Z249" s="51"/>
      <c r="AA249" s="51"/>
      <c r="AB249" s="51" t="s">
        <v>1240</v>
      </c>
      <c r="AC249" s="51" t="s">
        <v>1241</v>
      </c>
      <c r="AD249" s="51" t="s">
        <v>648</v>
      </c>
      <c r="AE249" s="51" t="s">
        <v>649</v>
      </c>
      <c r="AF249" s="51" t="s">
        <v>636</v>
      </c>
      <c r="AG249" s="51" t="s">
        <v>650</v>
      </c>
    </row>
    <row r="250" spans="1:33" ht="15.75" customHeight="1">
      <c r="A250" s="79" t="str">
        <f>IF(C250="","",VLOOKUP('OPĆI DIO'!$C$3,'OPĆI DIO'!$L$6:$U$120,10,FALSE))</f>
        <v/>
      </c>
      <c r="B250" s="79" t="str">
        <f>IF(C250="","",VLOOKUP('OPĆI DIO'!$C$3,'OPĆI DIO'!$L$6:$U$120,9,FALSE))</f>
        <v/>
      </c>
      <c r="C250" s="84"/>
      <c r="D250" s="79" t="str">
        <f t="shared" si="0"/>
        <v/>
      </c>
      <c r="E250" s="84"/>
      <c r="F250" s="79" t="str">
        <f t="shared" si="1"/>
        <v/>
      </c>
      <c r="G250" s="84"/>
      <c r="H250" s="79" t="str">
        <f t="shared" si="38"/>
        <v/>
      </c>
      <c r="I250" s="79" t="str">
        <f t="shared" si="39"/>
        <v/>
      </c>
      <c r="J250" s="67"/>
      <c r="K250" s="67"/>
      <c r="L250" s="67"/>
      <c r="M250" s="68"/>
      <c r="N250" s="51"/>
      <c r="O250" s="51" t="str">
        <f t="shared" si="4"/>
        <v/>
      </c>
      <c r="P250" s="51" t="str">
        <f t="shared" si="5"/>
        <v/>
      </c>
      <c r="Q250" s="51" t="str">
        <f t="shared" si="6"/>
        <v/>
      </c>
      <c r="R250" s="51" t="str">
        <f t="shared" si="7"/>
        <v/>
      </c>
      <c r="S250" s="51"/>
      <c r="T250" s="51"/>
      <c r="U250" s="51"/>
      <c r="V250" s="51"/>
      <c r="W250" s="51"/>
      <c r="X250" s="51"/>
      <c r="Y250" s="82"/>
      <c r="Z250" s="51"/>
      <c r="AA250" s="51"/>
      <c r="AB250" s="51" t="s">
        <v>1242</v>
      </c>
      <c r="AC250" s="51" t="s">
        <v>1146</v>
      </c>
      <c r="AD250" s="51" t="s">
        <v>648</v>
      </c>
      <c r="AE250" s="51" t="s">
        <v>649</v>
      </c>
      <c r="AF250" s="51" t="s">
        <v>636</v>
      </c>
      <c r="AG250" s="51" t="s">
        <v>650</v>
      </c>
    </row>
    <row r="251" spans="1:33" ht="15.75" customHeight="1">
      <c r="A251" s="79" t="str">
        <f>IF(C251="","",VLOOKUP('OPĆI DIO'!$C$3,'OPĆI DIO'!$L$6:$U$120,10,FALSE))</f>
        <v/>
      </c>
      <c r="B251" s="79" t="str">
        <f>IF(C251="","",VLOOKUP('OPĆI DIO'!$C$3,'OPĆI DIO'!$L$6:$U$120,9,FALSE))</f>
        <v/>
      </c>
      <c r="C251" s="84"/>
      <c r="D251" s="79" t="str">
        <f t="shared" si="0"/>
        <v/>
      </c>
      <c r="E251" s="84"/>
      <c r="F251" s="79" t="str">
        <f t="shared" si="1"/>
        <v/>
      </c>
      <c r="G251" s="84"/>
      <c r="H251" s="79" t="str">
        <f t="shared" si="38"/>
        <v/>
      </c>
      <c r="I251" s="79" t="str">
        <f t="shared" si="39"/>
        <v/>
      </c>
      <c r="J251" s="67"/>
      <c r="K251" s="67"/>
      <c r="L251" s="67"/>
      <c r="M251" s="68"/>
      <c r="N251" s="51"/>
      <c r="O251" s="51" t="str">
        <f t="shared" si="4"/>
        <v/>
      </c>
      <c r="P251" s="51" t="str">
        <f t="shared" si="5"/>
        <v/>
      </c>
      <c r="Q251" s="51" t="str">
        <f t="shared" si="6"/>
        <v/>
      </c>
      <c r="R251" s="51" t="str">
        <f t="shared" si="7"/>
        <v/>
      </c>
      <c r="S251" s="51"/>
      <c r="T251" s="51"/>
      <c r="U251" s="51"/>
      <c r="V251" s="51"/>
      <c r="W251" s="51"/>
      <c r="X251" s="51"/>
      <c r="Y251" s="82"/>
      <c r="Z251" s="51"/>
      <c r="AA251" s="51"/>
      <c r="AB251" s="51" t="s">
        <v>1243</v>
      </c>
      <c r="AC251" s="51" t="s">
        <v>1244</v>
      </c>
      <c r="AD251" s="51" t="s">
        <v>668</v>
      </c>
      <c r="AE251" s="51" t="s">
        <v>669</v>
      </c>
      <c r="AF251" s="51" t="s">
        <v>636</v>
      </c>
      <c r="AG251" s="51" t="s">
        <v>670</v>
      </c>
    </row>
    <row r="252" spans="1:33" ht="15.75" customHeight="1">
      <c r="A252" s="79" t="str">
        <f>IF(C252="","",VLOOKUP('OPĆI DIO'!$C$3,'OPĆI DIO'!$L$6:$U$120,10,FALSE))</f>
        <v/>
      </c>
      <c r="B252" s="79" t="str">
        <f>IF(C252="","",VLOOKUP('OPĆI DIO'!$C$3,'OPĆI DIO'!$L$6:$U$120,9,FALSE))</f>
        <v/>
      </c>
      <c r="C252" s="84"/>
      <c r="D252" s="79" t="str">
        <f t="shared" si="0"/>
        <v/>
      </c>
      <c r="E252" s="84"/>
      <c r="F252" s="79" t="str">
        <f t="shared" si="1"/>
        <v/>
      </c>
      <c r="G252" s="84"/>
      <c r="H252" s="79" t="str">
        <f t="shared" si="38"/>
        <v/>
      </c>
      <c r="I252" s="79" t="str">
        <f t="shared" si="39"/>
        <v/>
      </c>
      <c r="J252" s="67"/>
      <c r="K252" s="67"/>
      <c r="L252" s="67"/>
      <c r="M252" s="68"/>
      <c r="N252" s="51"/>
      <c r="O252" s="51" t="str">
        <f t="shared" si="4"/>
        <v/>
      </c>
      <c r="P252" s="51" t="str">
        <f t="shared" si="5"/>
        <v/>
      </c>
      <c r="Q252" s="51" t="str">
        <f t="shared" si="6"/>
        <v/>
      </c>
      <c r="R252" s="51" t="str">
        <f t="shared" si="7"/>
        <v/>
      </c>
      <c r="S252" s="51"/>
      <c r="T252" s="51"/>
      <c r="U252" s="51"/>
      <c r="V252" s="51"/>
      <c r="W252" s="51"/>
      <c r="X252" s="51"/>
      <c r="Y252" s="82"/>
      <c r="Z252" s="51"/>
      <c r="AA252" s="51"/>
      <c r="AB252" s="51" t="s">
        <v>1245</v>
      </c>
      <c r="AC252" s="51" t="s">
        <v>1246</v>
      </c>
      <c r="AD252" s="51" t="s">
        <v>641</v>
      </c>
      <c r="AE252" s="51" t="s">
        <v>642</v>
      </c>
      <c r="AF252" s="51" t="s">
        <v>643</v>
      </c>
      <c r="AG252" s="51" t="s">
        <v>644</v>
      </c>
    </row>
    <row r="253" spans="1:33" ht="15.75" customHeight="1">
      <c r="A253" s="79" t="str">
        <f>IF(C253="","",VLOOKUP('OPĆI DIO'!$C$3,'OPĆI DIO'!$L$6:$U$120,10,FALSE))</f>
        <v/>
      </c>
      <c r="B253" s="79" t="str">
        <f>IF(C253="","",VLOOKUP('OPĆI DIO'!$C$3,'OPĆI DIO'!$L$6:$U$120,9,FALSE))</f>
        <v/>
      </c>
      <c r="C253" s="84"/>
      <c r="D253" s="79" t="str">
        <f t="shared" si="0"/>
        <v/>
      </c>
      <c r="E253" s="84"/>
      <c r="F253" s="79" t="str">
        <f t="shared" si="1"/>
        <v/>
      </c>
      <c r="G253" s="84"/>
      <c r="H253" s="79" t="str">
        <f t="shared" ref="H253:H316" si="40">IFERROR(VLOOKUP(G253,$AB$6:$AC$332,2,FALSE),"")</f>
        <v/>
      </c>
      <c r="I253" s="79" t="str">
        <f t="shared" ref="I253:I316" si="41">IFERROR(VLOOKUP(G253,$AB$6:$AF$332,3,FALSE),"")</f>
        <v/>
      </c>
      <c r="J253" s="67"/>
      <c r="K253" s="67"/>
      <c r="L253" s="67"/>
      <c r="M253" s="68"/>
      <c r="N253" s="51"/>
      <c r="O253" s="51" t="str">
        <f t="shared" si="4"/>
        <v/>
      </c>
      <c r="P253" s="51" t="str">
        <f t="shared" si="5"/>
        <v/>
      </c>
      <c r="Q253" s="51" t="str">
        <f t="shared" si="6"/>
        <v/>
      </c>
      <c r="R253" s="51" t="str">
        <f t="shared" si="7"/>
        <v/>
      </c>
      <c r="S253" s="51"/>
      <c r="T253" s="51"/>
      <c r="U253" s="51"/>
      <c r="V253" s="51"/>
      <c r="W253" s="51"/>
      <c r="X253" s="51"/>
      <c r="Y253" s="82"/>
      <c r="Z253" s="51"/>
      <c r="AA253" s="51"/>
      <c r="AB253" s="51" t="s">
        <v>1245</v>
      </c>
      <c r="AC253" s="51" t="s">
        <v>1246</v>
      </c>
      <c r="AD253" s="51" t="s">
        <v>668</v>
      </c>
      <c r="AE253" s="51" t="s">
        <v>669</v>
      </c>
      <c r="AF253" s="51" t="s">
        <v>636</v>
      </c>
      <c r="AG253" s="51" t="s">
        <v>670</v>
      </c>
    </row>
    <row r="254" spans="1:33" ht="15.75" customHeight="1">
      <c r="A254" s="79" t="str">
        <f>IF(C254="","",VLOOKUP('OPĆI DIO'!$C$3,'OPĆI DIO'!$L$6:$U$120,10,FALSE))</f>
        <v/>
      </c>
      <c r="B254" s="79" t="str">
        <f>IF(C254="","",VLOOKUP('OPĆI DIO'!$C$3,'OPĆI DIO'!$L$6:$U$120,9,FALSE))</f>
        <v/>
      </c>
      <c r="C254" s="84"/>
      <c r="D254" s="79" t="str">
        <f t="shared" si="0"/>
        <v/>
      </c>
      <c r="E254" s="84"/>
      <c r="F254" s="79" t="str">
        <f t="shared" si="1"/>
        <v/>
      </c>
      <c r="G254" s="84"/>
      <c r="H254" s="79" t="str">
        <f t="shared" si="40"/>
        <v/>
      </c>
      <c r="I254" s="79" t="str">
        <f t="shared" si="41"/>
        <v/>
      </c>
      <c r="J254" s="67"/>
      <c r="K254" s="67"/>
      <c r="L254" s="67"/>
      <c r="M254" s="68"/>
      <c r="N254" s="51"/>
      <c r="O254" s="51" t="str">
        <f t="shared" si="4"/>
        <v/>
      </c>
      <c r="P254" s="51" t="str">
        <f t="shared" si="5"/>
        <v/>
      </c>
      <c r="Q254" s="51" t="str">
        <f t="shared" si="6"/>
        <v/>
      </c>
      <c r="R254" s="51" t="str">
        <f t="shared" si="7"/>
        <v/>
      </c>
      <c r="S254" s="51"/>
      <c r="T254" s="51"/>
      <c r="U254" s="51"/>
      <c r="V254" s="51"/>
      <c r="W254" s="51"/>
      <c r="X254" s="51"/>
      <c r="Y254" s="82"/>
      <c r="Z254" s="51"/>
      <c r="AA254" s="51"/>
      <c r="AB254" s="51" t="s">
        <v>1247</v>
      </c>
      <c r="AC254" s="51" t="s">
        <v>1248</v>
      </c>
      <c r="AD254" s="51" t="s">
        <v>668</v>
      </c>
      <c r="AE254" s="51" t="s">
        <v>669</v>
      </c>
      <c r="AF254" s="51" t="s">
        <v>636</v>
      </c>
      <c r="AG254" s="51" t="s">
        <v>670</v>
      </c>
    </row>
    <row r="255" spans="1:33" ht="15.75" customHeight="1">
      <c r="A255" s="79" t="str">
        <f>IF(C255="","",VLOOKUP('OPĆI DIO'!$C$3,'OPĆI DIO'!$L$6:$U$120,10,FALSE))</f>
        <v/>
      </c>
      <c r="B255" s="79" t="str">
        <f>IF(C255="","",VLOOKUP('OPĆI DIO'!$C$3,'OPĆI DIO'!$L$6:$U$120,9,FALSE))</f>
        <v/>
      </c>
      <c r="C255" s="84"/>
      <c r="D255" s="79" t="str">
        <f t="shared" si="0"/>
        <v/>
      </c>
      <c r="E255" s="84"/>
      <c r="F255" s="79" t="str">
        <f t="shared" si="1"/>
        <v/>
      </c>
      <c r="G255" s="84"/>
      <c r="H255" s="79" t="str">
        <f t="shared" si="40"/>
        <v/>
      </c>
      <c r="I255" s="79" t="str">
        <f t="shared" si="41"/>
        <v/>
      </c>
      <c r="J255" s="67"/>
      <c r="K255" s="67"/>
      <c r="L255" s="67"/>
      <c r="M255" s="68"/>
      <c r="N255" s="51"/>
      <c r="O255" s="51" t="str">
        <f t="shared" si="4"/>
        <v/>
      </c>
      <c r="P255" s="51" t="str">
        <f t="shared" si="5"/>
        <v/>
      </c>
      <c r="Q255" s="51" t="str">
        <f t="shared" si="6"/>
        <v/>
      </c>
      <c r="R255" s="51" t="str">
        <f t="shared" si="7"/>
        <v/>
      </c>
      <c r="S255" s="51"/>
      <c r="T255" s="51"/>
      <c r="U255" s="51"/>
      <c r="V255" s="51"/>
      <c r="W255" s="51"/>
      <c r="X255" s="51"/>
      <c r="Y255" s="82"/>
      <c r="Z255" s="51"/>
      <c r="AA255" s="51"/>
      <c r="AB255" s="51" t="s">
        <v>1249</v>
      </c>
      <c r="AC255" s="51" t="s">
        <v>1250</v>
      </c>
      <c r="AD255" s="51" t="s">
        <v>668</v>
      </c>
      <c r="AE255" s="51" t="s">
        <v>669</v>
      </c>
      <c r="AF255" s="51" t="s">
        <v>636</v>
      </c>
      <c r="AG255" s="51" t="s">
        <v>670</v>
      </c>
    </row>
    <row r="256" spans="1:33" ht="15.75" customHeight="1">
      <c r="A256" s="79" t="str">
        <f>IF(C256="","",VLOOKUP('OPĆI DIO'!$C$3,'OPĆI DIO'!$L$6:$U$120,10,FALSE))</f>
        <v/>
      </c>
      <c r="B256" s="79" t="str">
        <f>IF(C256="","",VLOOKUP('OPĆI DIO'!$C$3,'OPĆI DIO'!$L$6:$U$120,9,FALSE))</f>
        <v/>
      </c>
      <c r="C256" s="84"/>
      <c r="D256" s="79" t="str">
        <f t="shared" si="0"/>
        <v/>
      </c>
      <c r="E256" s="84"/>
      <c r="F256" s="79" t="str">
        <f t="shared" si="1"/>
        <v/>
      </c>
      <c r="G256" s="84"/>
      <c r="H256" s="79" t="str">
        <f t="shared" si="40"/>
        <v/>
      </c>
      <c r="I256" s="79" t="str">
        <f t="shared" si="41"/>
        <v/>
      </c>
      <c r="J256" s="67"/>
      <c r="K256" s="67"/>
      <c r="L256" s="67"/>
      <c r="M256" s="68"/>
      <c r="N256" s="51"/>
      <c r="O256" s="51" t="str">
        <f t="shared" si="4"/>
        <v/>
      </c>
      <c r="P256" s="51" t="str">
        <f t="shared" si="5"/>
        <v/>
      </c>
      <c r="Q256" s="51" t="str">
        <f t="shared" si="6"/>
        <v/>
      </c>
      <c r="R256" s="51" t="str">
        <f t="shared" si="7"/>
        <v/>
      </c>
      <c r="S256" s="51"/>
      <c r="T256" s="51"/>
      <c r="U256" s="51"/>
      <c r="V256" s="51"/>
      <c r="W256" s="51"/>
      <c r="X256" s="51"/>
      <c r="Y256" s="82"/>
      <c r="Z256" s="51"/>
      <c r="AA256" s="51"/>
      <c r="AB256" s="51" t="s">
        <v>1251</v>
      </c>
      <c r="AC256" s="51" t="s">
        <v>1252</v>
      </c>
      <c r="AD256" s="51" t="s">
        <v>668</v>
      </c>
      <c r="AE256" s="51" t="s">
        <v>669</v>
      </c>
      <c r="AF256" s="51" t="s">
        <v>636</v>
      </c>
      <c r="AG256" s="51" t="s">
        <v>670</v>
      </c>
    </row>
    <row r="257" spans="1:33" ht="15.75" customHeight="1">
      <c r="A257" s="79" t="str">
        <f>IF(C257="","",VLOOKUP('OPĆI DIO'!$C$3,'OPĆI DIO'!$L$6:$U$120,10,FALSE))</f>
        <v/>
      </c>
      <c r="B257" s="79" t="str">
        <f>IF(C257="","",VLOOKUP('OPĆI DIO'!$C$3,'OPĆI DIO'!$L$6:$U$120,9,FALSE))</f>
        <v/>
      </c>
      <c r="C257" s="84"/>
      <c r="D257" s="79" t="str">
        <f t="shared" si="0"/>
        <v/>
      </c>
      <c r="E257" s="84"/>
      <c r="F257" s="79" t="str">
        <f t="shared" si="1"/>
        <v/>
      </c>
      <c r="G257" s="84"/>
      <c r="H257" s="79" t="str">
        <f t="shared" si="40"/>
        <v/>
      </c>
      <c r="I257" s="79" t="str">
        <f t="shared" si="41"/>
        <v/>
      </c>
      <c r="J257" s="67"/>
      <c r="K257" s="67"/>
      <c r="L257" s="67"/>
      <c r="M257" s="68"/>
      <c r="N257" s="51"/>
      <c r="O257" s="51" t="str">
        <f t="shared" si="4"/>
        <v/>
      </c>
      <c r="P257" s="51" t="str">
        <f t="shared" si="5"/>
        <v/>
      </c>
      <c r="Q257" s="51" t="str">
        <f t="shared" si="6"/>
        <v/>
      </c>
      <c r="R257" s="51" t="str">
        <f t="shared" si="7"/>
        <v/>
      </c>
      <c r="S257" s="51"/>
      <c r="T257" s="51"/>
      <c r="U257" s="51"/>
      <c r="V257" s="51"/>
      <c r="W257" s="51"/>
      <c r="X257" s="51"/>
      <c r="Y257" s="82"/>
      <c r="Z257" s="51"/>
      <c r="AA257" s="51"/>
      <c r="AB257" s="51" t="s">
        <v>1253</v>
      </c>
      <c r="AC257" s="51" t="s">
        <v>1254</v>
      </c>
      <c r="AD257" s="51" t="s">
        <v>668</v>
      </c>
      <c r="AE257" s="51" t="s">
        <v>669</v>
      </c>
      <c r="AF257" s="51" t="s">
        <v>636</v>
      </c>
      <c r="AG257" s="51" t="s">
        <v>670</v>
      </c>
    </row>
    <row r="258" spans="1:33" ht="15.75" customHeight="1">
      <c r="A258" s="79" t="str">
        <f>IF(C258="","",VLOOKUP('OPĆI DIO'!$C$3,'OPĆI DIO'!$L$6:$U$120,10,FALSE))</f>
        <v/>
      </c>
      <c r="B258" s="79" t="str">
        <f>IF(C258="","",VLOOKUP('OPĆI DIO'!$C$3,'OPĆI DIO'!$L$6:$U$120,9,FALSE))</f>
        <v/>
      </c>
      <c r="C258" s="84"/>
      <c r="D258" s="79" t="str">
        <f t="shared" si="0"/>
        <v/>
      </c>
      <c r="E258" s="84"/>
      <c r="F258" s="79" t="str">
        <f t="shared" si="1"/>
        <v/>
      </c>
      <c r="G258" s="84"/>
      <c r="H258" s="79" t="str">
        <f t="shared" si="40"/>
        <v/>
      </c>
      <c r="I258" s="79" t="str">
        <f t="shared" si="41"/>
        <v/>
      </c>
      <c r="J258" s="67"/>
      <c r="K258" s="67"/>
      <c r="L258" s="67"/>
      <c r="M258" s="68"/>
      <c r="N258" s="51"/>
      <c r="O258" s="51" t="str">
        <f t="shared" si="4"/>
        <v/>
      </c>
      <c r="P258" s="51" t="str">
        <f t="shared" si="5"/>
        <v/>
      </c>
      <c r="Q258" s="51" t="str">
        <f t="shared" si="6"/>
        <v/>
      </c>
      <c r="R258" s="51" t="str">
        <f t="shared" si="7"/>
        <v/>
      </c>
      <c r="S258" s="51"/>
      <c r="T258" s="51"/>
      <c r="U258" s="51"/>
      <c r="V258" s="51"/>
      <c r="W258" s="51"/>
      <c r="X258" s="51"/>
      <c r="Y258" s="82"/>
      <c r="Z258" s="51"/>
      <c r="AA258" s="51"/>
      <c r="AB258" s="51" t="s">
        <v>1255</v>
      </c>
      <c r="AC258" s="51" t="s">
        <v>1256</v>
      </c>
      <c r="AD258" s="51" t="s">
        <v>668</v>
      </c>
      <c r="AE258" s="51" t="s">
        <v>669</v>
      </c>
      <c r="AF258" s="51" t="s">
        <v>636</v>
      </c>
      <c r="AG258" s="51" t="s">
        <v>670</v>
      </c>
    </row>
    <row r="259" spans="1:33" ht="15.75" customHeight="1">
      <c r="A259" s="79" t="str">
        <f>IF(C259="","",VLOOKUP('OPĆI DIO'!$C$3,'OPĆI DIO'!$L$6:$U$120,10,FALSE))</f>
        <v/>
      </c>
      <c r="B259" s="79" t="str">
        <f>IF(C259="","",VLOOKUP('OPĆI DIO'!$C$3,'OPĆI DIO'!$L$6:$U$120,9,FALSE))</f>
        <v/>
      </c>
      <c r="C259" s="84"/>
      <c r="D259" s="79" t="str">
        <f t="shared" si="0"/>
        <v/>
      </c>
      <c r="E259" s="84"/>
      <c r="F259" s="79" t="str">
        <f t="shared" si="1"/>
        <v/>
      </c>
      <c r="G259" s="84"/>
      <c r="H259" s="79" t="str">
        <f t="shared" si="40"/>
        <v/>
      </c>
      <c r="I259" s="79" t="str">
        <f t="shared" si="41"/>
        <v/>
      </c>
      <c r="J259" s="67"/>
      <c r="K259" s="67"/>
      <c r="L259" s="67"/>
      <c r="M259" s="68"/>
      <c r="N259" s="51"/>
      <c r="O259" s="51" t="str">
        <f t="shared" si="4"/>
        <v/>
      </c>
      <c r="P259" s="51" t="str">
        <f t="shared" si="5"/>
        <v/>
      </c>
      <c r="Q259" s="51" t="str">
        <f t="shared" si="6"/>
        <v/>
      </c>
      <c r="R259" s="51" t="str">
        <f t="shared" si="7"/>
        <v/>
      </c>
      <c r="S259" s="51"/>
      <c r="T259" s="51"/>
      <c r="U259" s="51"/>
      <c r="V259" s="51"/>
      <c r="W259" s="51"/>
      <c r="X259" s="51"/>
      <c r="Y259" s="82"/>
      <c r="Z259" s="51"/>
      <c r="AA259" s="51"/>
      <c r="AB259" s="51" t="s">
        <v>1257</v>
      </c>
      <c r="AC259" s="51" t="s">
        <v>1258</v>
      </c>
      <c r="AD259" s="51" t="s">
        <v>668</v>
      </c>
      <c r="AE259" s="51" t="s">
        <v>669</v>
      </c>
      <c r="AF259" s="51" t="s">
        <v>636</v>
      </c>
      <c r="AG259" s="51" t="s">
        <v>670</v>
      </c>
    </row>
    <row r="260" spans="1:33" ht="15.75" customHeight="1">
      <c r="A260" s="79" t="str">
        <f>IF(C260="","",VLOOKUP('OPĆI DIO'!$C$3,'OPĆI DIO'!$L$6:$U$120,10,FALSE))</f>
        <v/>
      </c>
      <c r="B260" s="79" t="str">
        <f>IF(C260="","",VLOOKUP('OPĆI DIO'!$C$3,'OPĆI DIO'!$L$6:$U$120,9,FALSE))</f>
        <v/>
      </c>
      <c r="C260" s="84"/>
      <c r="D260" s="79" t="str">
        <f t="shared" si="0"/>
        <v/>
      </c>
      <c r="E260" s="84"/>
      <c r="F260" s="79" t="str">
        <f t="shared" si="1"/>
        <v/>
      </c>
      <c r="G260" s="84"/>
      <c r="H260" s="79" t="str">
        <f t="shared" si="40"/>
        <v/>
      </c>
      <c r="I260" s="79" t="str">
        <f t="shared" si="41"/>
        <v/>
      </c>
      <c r="J260" s="67"/>
      <c r="K260" s="67"/>
      <c r="L260" s="67"/>
      <c r="M260" s="68"/>
      <c r="N260" s="51"/>
      <c r="O260" s="51" t="str">
        <f t="shared" si="4"/>
        <v/>
      </c>
      <c r="P260" s="51" t="str">
        <f t="shared" si="5"/>
        <v/>
      </c>
      <c r="Q260" s="51" t="str">
        <f t="shared" si="6"/>
        <v/>
      </c>
      <c r="R260" s="51" t="str">
        <f t="shared" si="7"/>
        <v/>
      </c>
      <c r="S260" s="51"/>
      <c r="T260" s="51"/>
      <c r="U260" s="51"/>
      <c r="V260" s="51"/>
      <c r="W260" s="51"/>
      <c r="X260" s="51"/>
      <c r="Y260" s="82"/>
      <c r="Z260" s="51"/>
      <c r="AA260" s="51"/>
      <c r="AB260" s="51" t="s">
        <v>1259</v>
      </c>
      <c r="AC260" s="51" t="s">
        <v>1260</v>
      </c>
      <c r="AD260" s="51" t="s">
        <v>668</v>
      </c>
      <c r="AE260" s="51" t="s">
        <v>669</v>
      </c>
      <c r="AF260" s="51" t="s">
        <v>636</v>
      </c>
      <c r="AG260" s="51" t="s">
        <v>670</v>
      </c>
    </row>
    <row r="261" spans="1:33" ht="15.75" customHeight="1">
      <c r="A261" s="79" t="str">
        <f>IF(C261="","",VLOOKUP('OPĆI DIO'!$C$3,'OPĆI DIO'!$L$6:$U$120,10,FALSE))</f>
        <v/>
      </c>
      <c r="B261" s="79" t="str">
        <f>IF(C261="","",VLOOKUP('OPĆI DIO'!$C$3,'OPĆI DIO'!$L$6:$U$120,9,FALSE))</f>
        <v/>
      </c>
      <c r="C261" s="84"/>
      <c r="D261" s="79" t="str">
        <f t="shared" si="0"/>
        <v/>
      </c>
      <c r="E261" s="84"/>
      <c r="F261" s="79" t="str">
        <f t="shared" si="1"/>
        <v/>
      </c>
      <c r="G261" s="84"/>
      <c r="H261" s="79" t="str">
        <f t="shared" si="40"/>
        <v/>
      </c>
      <c r="I261" s="79" t="str">
        <f t="shared" si="41"/>
        <v/>
      </c>
      <c r="J261" s="67"/>
      <c r="K261" s="67"/>
      <c r="L261" s="67"/>
      <c r="M261" s="68"/>
      <c r="N261" s="51"/>
      <c r="O261" s="51" t="str">
        <f t="shared" si="4"/>
        <v/>
      </c>
      <c r="P261" s="51" t="str">
        <f t="shared" si="5"/>
        <v/>
      </c>
      <c r="Q261" s="51" t="str">
        <f t="shared" si="6"/>
        <v/>
      </c>
      <c r="R261" s="51" t="str">
        <f t="shared" si="7"/>
        <v/>
      </c>
      <c r="S261" s="51"/>
      <c r="T261" s="51"/>
      <c r="U261" s="51"/>
      <c r="V261" s="51"/>
      <c r="W261" s="51"/>
      <c r="X261" s="51"/>
      <c r="Y261" s="82"/>
      <c r="Z261" s="51"/>
      <c r="AA261" s="51"/>
      <c r="AB261" s="51" t="s">
        <v>1261</v>
      </c>
      <c r="AC261" s="51" t="s">
        <v>1262</v>
      </c>
      <c r="AD261" s="51" t="s">
        <v>668</v>
      </c>
      <c r="AE261" s="51" t="s">
        <v>669</v>
      </c>
      <c r="AF261" s="51" t="s">
        <v>636</v>
      </c>
      <c r="AG261" s="51" t="s">
        <v>670</v>
      </c>
    </row>
    <row r="262" spans="1:33" ht="15.75" customHeight="1">
      <c r="A262" s="79" t="str">
        <f>IF(C262="","",VLOOKUP('OPĆI DIO'!$C$3,'OPĆI DIO'!$L$6:$U$120,10,FALSE))</f>
        <v/>
      </c>
      <c r="B262" s="79" t="str">
        <f>IF(C262="","",VLOOKUP('OPĆI DIO'!$C$3,'OPĆI DIO'!$L$6:$U$120,9,FALSE))</f>
        <v/>
      </c>
      <c r="C262" s="84"/>
      <c r="D262" s="79" t="str">
        <f t="shared" si="0"/>
        <v/>
      </c>
      <c r="E262" s="84"/>
      <c r="F262" s="79" t="str">
        <f t="shared" si="1"/>
        <v/>
      </c>
      <c r="G262" s="84"/>
      <c r="H262" s="79" t="str">
        <f t="shared" si="40"/>
        <v/>
      </c>
      <c r="I262" s="79" t="str">
        <f t="shared" si="41"/>
        <v/>
      </c>
      <c r="J262" s="67"/>
      <c r="K262" s="67"/>
      <c r="L262" s="67"/>
      <c r="M262" s="68"/>
      <c r="N262" s="51"/>
      <c r="O262" s="51" t="str">
        <f t="shared" si="4"/>
        <v/>
      </c>
      <c r="P262" s="51" t="str">
        <f t="shared" si="5"/>
        <v/>
      </c>
      <c r="Q262" s="51" t="str">
        <f t="shared" si="6"/>
        <v/>
      </c>
      <c r="R262" s="51" t="str">
        <f t="shared" si="7"/>
        <v/>
      </c>
      <c r="S262" s="51"/>
      <c r="T262" s="51"/>
      <c r="U262" s="51"/>
      <c r="V262" s="51"/>
      <c r="W262" s="51"/>
      <c r="X262" s="51"/>
      <c r="Y262" s="82"/>
      <c r="Z262" s="51"/>
      <c r="AA262" s="51"/>
      <c r="AB262" s="51" t="s">
        <v>1263</v>
      </c>
      <c r="AC262" s="51" t="s">
        <v>1264</v>
      </c>
      <c r="AD262" s="51" t="s">
        <v>668</v>
      </c>
      <c r="AE262" s="51" t="s">
        <v>669</v>
      </c>
      <c r="AF262" s="51" t="s">
        <v>636</v>
      </c>
      <c r="AG262" s="51" t="s">
        <v>670</v>
      </c>
    </row>
    <row r="263" spans="1:33" ht="15.75" customHeight="1">
      <c r="A263" s="79" t="str">
        <f>IF(C263="","",VLOOKUP('OPĆI DIO'!$C$3,'OPĆI DIO'!$L$6:$U$120,10,FALSE))</f>
        <v/>
      </c>
      <c r="B263" s="79" t="str">
        <f>IF(C263="","",VLOOKUP('OPĆI DIO'!$C$3,'OPĆI DIO'!$L$6:$U$120,9,FALSE))</f>
        <v/>
      </c>
      <c r="C263" s="84"/>
      <c r="D263" s="79" t="str">
        <f t="shared" si="0"/>
        <v/>
      </c>
      <c r="E263" s="84"/>
      <c r="F263" s="79" t="str">
        <f t="shared" si="1"/>
        <v/>
      </c>
      <c r="G263" s="84"/>
      <c r="H263" s="79" t="str">
        <f t="shared" si="40"/>
        <v/>
      </c>
      <c r="I263" s="79" t="str">
        <f t="shared" si="41"/>
        <v/>
      </c>
      <c r="J263" s="67"/>
      <c r="K263" s="67"/>
      <c r="L263" s="67"/>
      <c r="M263" s="68"/>
      <c r="N263" s="51"/>
      <c r="O263" s="51" t="str">
        <f t="shared" si="4"/>
        <v/>
      </c>
      <c r="P263" s="51" t="str">
        <f t="shared" si="5"/>
        <v/>
      </c>
      <c r="Q263" s="51" t="str">
        <f t="shared" si="6"/>
        <v/>
      </c>
      <c r="R263" s="51" t="str">
        <f t="shared" si="7"/>
        <v/>
      </c>
      <c r="S263" s="51"/>
      <c r="T263" s="51"/>
      <c r="U263" s="51"/>
      <c r="V263" s="51"/>
      <c r="W263" s="51"/>
      <c r="X263" s="51"/>
      <c r="Y263" s="82"/>
      <c r="Z263" s="51"/>
      <c r="AA263" s="51"/>
      <c r="AB263" s="51" t="s">
        <v>1265</v>
      </c>
      <c r="AC263" s="51" t="s">
        <v>1266</v>
      </c>
      <c r="AD263" s="51" t="s">
        <v>668</v>
      </c>
      <c r="AE263" s="51" t="s">
        <v>669</v>
      </c>
      <c r="AF263" s="51" t="s">
        <v>636</v>
      </c>
      <c r="AG263" s="51" t="s">
        <v>670</v>
      </c>
    </row>
    <row r="264" spans="1:33" ht="15.75" customHeight="1">
      <c r="A264" s="79" t="str">
        <f>IF(C264="","",VLOOKUP('OPĆI DIO'!$C$3,'OPĆI DIO'!$L$6:$U$120,10,FALSE))</f>
        <v/>
      </c>
      <c r="B264" s="79" t="str">
        <f>IF(C264="","",VLOOKUP('OPĆI DIO'!$C$3,'OPĆI DIO'!$L$6:$U$120,9,FALSE))</f>
        <v/>
      </c>
      <c r="C264" s="84"/>
      <c r="D264" s="79" t="str">
        <f t="shared" si="0"/>
        <v/>
      </c>
      <c r="E264" s="84"/>
      <c r="F264" s="79" t="str">
        <f t="shared" si="1"/>
        <v/>
      </c>
      <c r="G264" s="84"/>
      <c r="H264" s="79" t="str">
        <f t="shared" si="40"/>
        <v/>
      </c>
      <c r="I264" s="79" t="str">
        <f t="shared" si="41"/>
        <v/>
      </c>
      <c r="J264" s="67"/>
      <c r="K264" s="67"/>
      <c r="L264" s="67"/>
      <c r="M264" s="68"/>
      <c r="N264" s="51"/>
      <c r="O264" s="51" t="str">
        <f t="shared" si="4"/>
        <v/>
      </c>
      <c r="P264" s="51" t="str">
        <f t="shared" si="5"/>
        <v/>
      </c>
      <c r="Q264" s="51" t="str">
        <f t="shared" si="6"/>
        <v/>
      </c>
      <c r="R264" s="51" t="str">
        <f t="shared" si="7"/>
        <v/>
      </c>
      <c r="S264" s="51"/>
      <c r="T264" s="51"/>
      <c r="U264" s="51"/>
      <c r="V264" s="51"/>
      <c r="W264" s="51"/>
      <c r="X264" s="51"/>
      <c r="Y264" s="82"/>
      <c r="Z264" s="51"/>
      <c r="AA264" s="51"/>
      <c r="AB264" s="51" t="s">
        <v>1267</v>
      </c>
      <c r="AC264" s="51" t="s">
        <v>1268</v>
      </c>
      <c r="AD264" s="51" t="s">
        <v>668</v>
      </c>
      <c r="AE264" s="51" t="s">
        <v>669</v>
      </c>
      <c r="AF264" s="51" t="s">
        <v>636</v>
      </c>
      <c r="AG264" s="51" t="s">
        <v>670</v>
      </c>
    </row>
    <row r="265" spans="1:33" ht="15.75" customHeight="1">
      <c r="A265" s="79" t="str">
        <f>IF(C265="","",VLOOKUP('OPĆI DIO'!$C$3,'OPĆI DIO'!$L$6:$U$120,10,FALSE))</f>
        <v/>
      </c>
      <c r="B265" s="79" t="str">
        <f>IF(C265="","",VLOOKUP('OPĆI DIO'!$C$3,'OPĆI DIO'!$L$6:$U$120,9,FALSE))</f>
        <v/>
      </c>
      <c r="C265" s="84"/>
      <c r="D265" s="79" t="str">
        <f t="shared" si="0"/>
        <v/>
      </c>
      <c r="E265" s="84"/>
      <c r="F265" s="79" t="str">
        <f t="shared" si="1"/>
        <v/>
      </c>
      <c r="G265" s="84"/>
      <c r="H265" s="79" t="str">
        <f t="shared" si="40"/>
        <v/>
      </c>
      <c r="I265" s="79" t="str">
        <f t="shared" si="41"/>
        <v/>
      </c>
      <c r="J265" s="67"/>
      <c r="K265" s="67"/>
      <c r="L265" s="67"/>
      <c r="M265" s="68"/>
      <c r="N265" s="51"/>
      <c r="O265" s="51" t="str">
        <f t="shared" si="4"/>
        <v/>
      </c>
      <c r="P265" s="51" t="str">
        <f t="shared" si="5"/>
        <v/>
      </c>
      <c r="Q265" s="51" t="str">
        <f t="shared" si="6"/>
        <v/>
      </c>
      <c r="R265" s="51" t="str">
        <f t="shared" si="7"/>
        <v/>
      </c>
      <c r="S265" s="51"/>
      <c r="T265" s="51"/>
      <c r="U265" s="51"/>
      <c r="V265" s="51"/>
      <c r="W265" s="51"/>
      <c r="X265" s="51"/>
      <c r="Y265" s="82"/>
      <c r="Z265" s="51"/>
      <c r="AA265" s="51"/>
      <c r="AB265" s="51" t="s">
        <v>1269</v>
      </c>
      <c r="AC265" s="51" t="s">
        <v>1270</v>
      </c>
      <c r="AD265" s="51" t="s">
        <v>668</v>
      </c>
      <c r="AE265" s="51" t="s">
        <v>669</v>
      </c>
      <c r="AF265" s="51" t="s">
        <v>636</v>
      </c>
      <c r="AG265" s="51" t="s">
        <v>670</v>
      </c>
    </row>
    <row r="266" spans="1:33" ht="15.75" customHeight="1">
      <c r="A266" s="79" t="str">
        <f>IF(C266="","",VLOOKUP('OPĆI DIO'!$C$3,'OPĆI DIO'!$L$6:$U$120,10,FALSE))</f>
        <v/>
      </c>
      <c r="B266" s="79" t="str">
        <f>IF(C266="","",VLOOKUP('OPĆI DIO'!$C$3,'OPĆI DIO'!$L$6:$U$120,9,FALSE))</f>
        <v/>
      </c>
      <c r="C266" s="84"/>
      <c r="D266" s="79" t="str">
        <f t="shared" si="0"/>
        <v/>
      </c>
      <c r="E266" s="84"/>
      <c r="F266" s="79" t="str">
        <f t="shared" si="1"/>
        <v/>
      </c>
      <c r="G266" s="84"/>
      <c r="H266" s="79" t="str">
        <f t="shared" si="40"/>
        <v/>
      </c>
      <c r="I266" s="79" t="str">
        <f t="shared" si="41"/>
        <v/>
      </c>
      <c r="J266" s="67"/>
      <c r="K266" s="67"/>
      <c r="L266" s="67"/>
      <c r="M266" s="68"/>
      <c r="N266" s="51"/>
      <c r="O266" s="51" t="str">
        <f t="shared" si="4"/>
        <v/>
      </c>
      <c r="P266" s="51" t="str">
        <f t="shared" si="5"/>
        <v/>
      </c>
      <c r="Q266" s="51" t="str">
        <f t="shared" si="6"/>
        <v/>
      </c>
      <c r="R266" s="51" t="str">
        <f t="shared" si="7"/>
        <v/>
      </c>
      <c r="S266" s="51"/>
      <c r="T266" s="51"/>
      <c r="U266" s="51"/>
      <c r="V266" s="51"/>
      <c r="W266" s="51"/>
      <c r="X266" s="51"/>
      <c r="Y266" s="82"/>
      <c r="Z266" s="51"/>
      <c r="AA266" s="51"/>
      <c r="AB266" s="51" t="s">
        <v>1271</v>
      </c>
      <c r="AC266" s="51" t="s">
        <v>1272</v>
      </c>
      <c r="AD266" s="51" t="s">
        <v>668</v>
      </c>
      <c r="AE266" s="51" t="s">
        <v>669</v>
      </c>
      <c r="AF266" s="51" t="s">
        <v>636</v>
      </c>
      <c r="AG266" s="51" t="s">
        <v>670</v>
      </c>
    </row>
    <row r="267" spans="1:33" ht="15.75" customHeight="1">
      <c r="A267" s="79" t="str">
        <f>IF(C267="","",VLOOKUP('OPĆI DIO'!$C$3,'OPĆI DIO'!$L$6:$U$120,10,FALSE))</f>
        <v/>
      </c>
      <c r="B267" s="79" t="str">
        <f>IF(C267="","",VLOOKUP('OPĆI DIO'!$C$3,'OPĆI DIO'!$L$6:$U$120,9,FALSE))</f>
        <v/>
      </c>
      <c r="C267" s="84"/>
      <c r="D267" s="79" t="str">
        <f t="shared" si="0"/>
        <v/>
      </c>
      <c r="E267" s="84"/>
      <c r="F267" s="79" t="str">
        <f t="shared" si="1"/>
        <v/>
      </c>
      <c r="G267" s="84"/>
      <c r="H267" s="79" t="str">
        <f t="shared" si="40"/>
        <v/>
      </c>
      <c r="I267" s="79" t="str">
        <f t="shared" si="41"/>
        <v/>
      </c>
      <c r="J267" s="67"/>
      <c r="K267" s="67"/>
      <c r="L267" s="67"/>
      <c r="M267" s="68"/>
      <c r="N267" s="51"/>
      <c r="O267" s="51" t="str">
        <f t="shared" si="4"/>
        <v/>
      </c>
      <c r="P267" s="51" t="str">
        <f t="shared" si="5"/>
        <v/>
      </c>
      <c r="Q267" s="51" t="str">
        <f t="shared" si="6"/>
        <v/>
      </c>
      <c r="R267" s="51" t="str">
        <f t="shared" si="7"/>
        <v/>
      </c>
      <c r="S267" s="51"/>
      <c r="T267" s="51"/>
      <c r="U267" s="51"/>
      <c r="V267" s="51"/>
      <c r="W267" s="51"/>
      <c r="X267" s="51"/>
      <c r="Y267" s="82"/>
      <c r="Z267" s="51"/>
      <c r="AA267" s="51"/>
      <c r="AB267" s="51" t="s">
        <v>1273</v>
      </c>
      <c r="AC267" s="51" t="s">
        <v>1274</v>
      </c>
      <c r="AD267" s="51" t="s">
        <v>668</v>
      </c>
      <c r="AE267" s="51" t="s">
        <v>669</v>
      </c>
      <c r="AF267" s="51" t="s">
        <v>636</v>
      </c>
      <c r="AG267" s="51" t="s">
        <v>670</v>
      </c>
    </row>
    <row r="268" spans="1:33" ht="15.75" customHeight="1">
      <c r="A268" s="79" t="str">
        <f>IF(C268="","",VLOOKUP('OPĆI DIO'!$C$3,'OPĆI DIO'!$L$6:$U$120,10,FALSE))</f>
        <v/>
      </c>
      <c r="B268" s="79" t="str">
        <f>IF(C268="","",VLOOKUP('OPĆI DIO'!$C$3,'OPĆI DIO'!$L$6:$U$120,9,FALSE))</f>
        <v/>
      </c>
      <c r="C268" s="84"/>
      <c r="D268" s="79" t="str">
        <f t="shared" si="0"/>
        <v/>
      </c>
      <c r="E268" s="84"/>
      <c r="F268" s="79" t="str">
        <f t="shared" si="1"/>
        <v/>
      </c>
      <c r="G268" s="84"/>
      <c r="H268" s="79" t="str">
        <f t="shared" si="40"/>
        <v/>
      </c>
      <c r="I268" s="79" t="str">
        <f t="shared" si="41"/>
        <v/>
      </c>
      <c r="J268" s="67"/>
      <c r="K268" s="67"/>
      <c r="L268" s="67"/>
      <c r="M268" s="68"/>
      <c r="N268" s="51"/>
      <c r="O268" s="51" t="str">
        <f t="shared" si="4"/>
        <v/>
      </c>
      <c r="P268" s="51" t="str">
        <f t="shared" si="5"/>
        <v/>
      </c>
      <c r="Q268" s="51" t="str">
        <f t="shared" si="6"/>
        <v/>
      </c>
      <c r="R268" s="51" t="str">
        <f t="shared" si="7"/>
        <v/>
      </c>
      <c r="S268" s="51"/>
      <c r="T268" s="51"/>
      <c r="U268" s="51"/>
      <c r="V268" s="51"/>
      <c r="W268" s="51"/>
      <c r="X268" s="51"/>
      <c r="Y268" s="82"/>
      <c r="Z268" s="51"/>
      <c r="AA268" s="51"/>
      <c r="AB268" s="51" t="s">
        <v>1275</v>
      </c>
      <c r="AC268" s="51" t="s">
        <v>1276</v>
      </c>
      <c r="AD268" s="51" t="s">
        <v>668</v>
      </c>
      <c r="AE268" s="51" t="s">
        <v>669</v>
      </c>
      <c r="AF268" s="51" t="s">
        <v>636</v>
      </c>
      <c r="AG268" s="51" t="s">
        <v>670</v>
      </c>
    </row>
    <row r="269" spans="1:33" ht="15.75" customHeight="1">
      <c r="A269" s="79" t="str">
        <f>IF(C269="","",VLOOKUP('OPĆI DIO'!$C$3,'OPĆI DIO'!$L$6:$U$120,10,FALSE))</f>
        <v/>
      </c>
      <c r="B269" s="79" t="str">
        <f>IF(C269="","",VLOOKUP('OPĆI DIO'!$C$3,'OPĆI DIO'!$L$6:$U$120,9,FALSE))</f>
        <v/>
      </c>
      <c r="C269" s="84"/>
      <c r="D269" s="79" t="str">
        <f t="shared" si="0"/>
        <v/>
      </c>
      <c r="E269" s="84"/>
      <c r="F269" s="79" t="str">
        <f t="shared" si="1"/>
        <v/>
      </c>
      <c r="G269" s="84"/>
      <c r="H269" s="79" t="str">
        <f t="shared" si="40"/>
        <v/>
      </c>
      <c r="I269" s="79" t="str">
        <f t="shared" si="41"/>
        <v/>
      </c>
      <c r="J269" s="67"/>
      <c r="K269" s="67"/>
      <c r="L269" s="67"/>
      <c r="M269" s="68"/>
      <c r="N269" s="51"/>
      <c r="O269" s="51" t="str">
        <f t="shared" si="4"/>
        <v/>
      </c>
      <c r="P269" s="51" t="str">
        <f t="shared" si="5"/>
        <v/>
      </c>
      <c r="Q269" s="51" t="str">
        <f t="shared" si="6"/>
        <v/>
      </c>
      <c r="R269" s="51" t="str">
        <f t="shared" si="7"/>
        <v/>
      </c>
      <c r="S269" s="51"/>
      <c r="T269" s="51"/>
      <c r="U269" s="51"/>
      <c r="V269" s="51"/>
      <c r="W269" s="51"/>
      <c r="X269" s="51"/>
      <c r="Y269" s="82"/>
      <c r="Z269" s="51"/>
      <c r="AA269" s="51"/>
      <c r="AB269" s="51" t="s">
        <v>1277</v>
      </c>
      <c r="AC269" s="51" t="s">
        <v>1278</v>
      </c>
      <c r="AD269" s="51" t="s">
        <v>668</v>
      </c>
      <c r="AE269" s="51" t="s">
        <v>669</v>
      </c>
      <c r="AF269" s="51" t="s">
        <v>636</v>
      </c>
      <c r="AG269" s="51" t="s">
        <v>670</v>
      </c>
    </row>
    <row r="270" spans="1:33" ht="15.75" customHeight="1">
      <c r="A270" s="79" t="str">
        <f>IF(C270="","",VLOOKUP('OPĆI DIO'!$C$3,'OPĆI DIO'!$L$6:$U$120,10,FALSE))</f>
        <v/>
      </c>
      <c r="B270" s="79" t="str">
        <f>IF(C270="","",VLOOKUP('OPĆI DIO'!$C$3,'OPĆI DIO'!$L$6:$U$120,9,FALSE))</f>
        <v/>
      </c>
      <c r="C270" s="84"/>
      <c r="D270" s="79" t="str">
        <f t="shared" si="0"/>
        <v/>
      </c>
      <c r="E270" s="84"/>
      <c r="F270" s="79" t="str">
        <f t="shared" si="1"/>
        <v/>
      </c>
      <c r="G270" s="84"/>
      <c r="H270" s="79" t="str">
        <f t="shared" si="40"/>
        <v/>
      </c>
      <c r="I270" s="79" t="str">
        <f t="shared" si="41"/>
        <v/>
      </c>
      <c r="J270" s="67"/>
      <c r="K270" s="67"/>
      <c r="L270" s="67"/>
      <c r="M270" s="68"/>
      <c r="N270" s="51"/>
      <c r="O270" s="51" t="str">
        <f t="shared" si="4"/>
        <v/>
      </c>
      <c r="P270" s="51" t="str">
        <f t="shared" si="5"/>
        <v/>
      </c>
      <c r="Q270" s="51" t="str">
        <f t="shared" si="6"/>
        <v/>
      </c>
      <c r="R270" s="51" t="str">
        <f t="shared" si="7"/>
        <v/>
      </c>
      <c r="S270" s="51"/>
      <c r="T270" s="51"/>
      <c r="U270" s="51"/>
      <c r="V270" s="51"/>
      <c r="W270" s="51"/>
      <c r="X270" s="51"/>
      <c r="Y270" s="82"/>
      <c r="Z270" s="51"/>
      <c r="AA270" s="51"/>
      <c r="AB270" s="51" t="s">
        <v>1279</v>
      </c>
      <c r="AC270" s="51" t="s">
        <v>1280</v>
      </c>
      <c r="AD270" s="51" t="s">
        <v>668</v>
      </c>
      <c r="AE270" s="51" t="s">
        <v>669</v>
      </c>
      <c r="AF270" s="51" t="s">
        <v>636</v>
      </c>
      <c r="AG270" s="51" t="s">
        <v>670</v>
      </c>
    </row>
    <row r="271" spans="1:33" ht="15.75" customHeight="1">
      <c r="A271" s="79" t="str">
        <f>IF(C271="","",VLOOKUP('OPĆI DIO'!$C$3,'OPĆI DIO'!$L$6:$U$120,10,FALSE))</f>
        <v/>
      </c>
      <c r="B271" s="79" t="str">
        <f>IF(C271="","",VLOOKUP('OPĆI DIO'!$C$3,'OPĆI DIO'!$L$6:$U$120,9,FALSE))</f>
        <v/>
      </c>
      <c r="C271" s="84"/>
      <c r="D271" s="79" t="str">
        <f t="shared" si="0"/>
        <v/>
      </c>
      <c r="E271" s="84"/>
      <c r="F271" s="79" t="str">
        <f t="shared" si="1"/>
        <v/>
      </c>
      <c r="G271" s="84"/>
      <c r="H271" s="79" t="str">
        <f t="shared" si="40"/>
        <v/>
      </c>
      <c r="I271" s="79" t="str">
        <f t="shared" si="41"/>
        <v/>
      </c>
      <c r="J271" s="67"/>
      <c r="K271" s="67"/>
      <c r="L271" s="67"/>
      <c r="M271" s="68"/>
      <c r="N271" s="51"/>
      <c r="O271" s="51" t="str">
        <f t="shared" si="4"/>
        <v/>
      </c>
      <c r="P271" s="51" t="str">
        <f t="shared" si="5"/>
        <v/>
      </c>
      <c r="Q271" s="51" t="str">
        <f t="shared" si="6"/>
        <v/>
      </c>
      <c r="R271" s="51" t="str">
        <f t="shared" si="7"/>
        <v/>
      </c>
      <c r="S271" s="51"/>
      <c r="T271" s="51"/>
      <c r="U271" s="51"/>
      <c r="V271" s="51"/>
      <c r="W271" s="51"/>
      <c r="X271" s="51"/>
      <c r="Y271" s="82"/>
      <c r="Z271" s="51"/>
      <c r="AA271" s="51"/>
      <c r="AB271" s="51" t="s">
        <v>1281</v>
      </c>
      <c r="AC271" s="51" t="s">
        <v>1282</v>
      </c>
      <c r="AD271" s="51" t="s">
        <v>668</v>
      </c>
      <c r="AE271" s="51" t="s">
        <v>669</v>
      </c>
      <c r="AF271" s="51" t="s">
        <v>636</v>
      </c>
      <c r="AG271" s="51" t="s">
        <v>670</v>
      </c>
    </row>
    <row r="272" spans="1:33" ht="15.75" customHeight="1">
      <c r="A272" s="79" t="str">
        <f>IF(C272="","",VLOOKUP('OPĆI DIO'!$C$3,'OPĆI DIO'!$L$6:$U$120,10,FALSE))</f>
        <v/>
      </c>
      <c r="B272" s="79" t="str">
        <f>IF(C272="","",VLOOKUP('OPĆI DIO'!$C$3,'OPĆI DIO'!$L$6:$U$120,9,FALSE))</f>
        <v/>
      </c>
      <c r="C272" s="84"/>
      <c r="D272" s="79" t="str">
        <f t="shared" si="0"/>
        <v/>
      </c>
      <c r="E272" s="84"/>
      <c r="F272" s="79" t="str">
        <f t="shared" si="1"/>
        <v/>
      </c>
      <c r="G272" s="84"/>
      <c r="H272" s="79" t="str">
        <f t="shared" si="40"/>
        <v/>
      </c>
      <c r="I272" s="79" t="str">
        <f t="shared" si="41"/>
        <v/>
      </c>
      <c r="J272" s="67"/>
      <c r="K272" s="67"/>
      <c r="L272" s="67"/>
      <c r="M272" s="68"/>
      <c r="N272" s="51"/>
      <c r="O272" s="51" t="str">
        <f t="shared" si="4"/>
        <v/>
      </c>
      <c r="P272" s="51" t="str">
        <f t="shared" si="5"/>
        <v/>
      </c>
      <c r="Q272" s="51" t="str">
        <f t="shared" si="6"/>
        <v/>
      </c>
      <c r="R272" s="51" t="str">
        <f t="shared" si="7"/>
        <v/>
      </c>
      <c r="S272" s="51"/>
      <c r="T272" s="51"/>
      <c r="U272" s="51"/>
      <c r="V272" s="51"/>
      <c r="W272" s="51"/>
      <c r="X272" s="51"/>
      <c r="Y272" s="82"/>
      <c r="Z272" s="51"/>
      <c r="AA272" s="51"/>
      <c r="AB272" s="51" t="s">
        <v>1283</v>
      </c>
      <c r="AC272" s="51" t="s">
        <v>1146</v>
      </c>
      <c r="AD272" s="51" t="s">
        <v>668</v>
      </c>
      <c r="AE272" s="51" t="s">
        <v>669</v>
      </c>
      <c r="AF272" s="51" t="s">
        <v>636</v>
      </c>
      <c r="AG272" s="51" t="s">
        <v>670</v>
      </c>
    </row>
    <row r="273" spans="1:33" ht="15.75" customHeight="1">
      <c r="A273" s="79" t="str">
        <f>IF(C273="","",VLOOKUP('OPĆI DIO'!$C$3,'OPĆI DIO'!$L$6:$U$120,10,FALSE))</f>
        <v/>
      </c>
      <c r="B273" s="79" t="str">
        <f>IF(C273="","",VLOOKUP('OPĆI DIO'!$C$3,'OPĆI DIO'!$L$6:$U$120,9,FALSE))</f>
        <v/>
      </c>
      <c r="C273" s="84"/>
      <c r="D273" s="79" t="str">
        <f t="shared" si="0"/>
        <v/>
      </c>
      <c r="E273" s="84"/>
      <c r="F273" s="79" t="str">
        <f t="shared" si="1"/>
        <v/>
      </c>
      <c r="G273" s="84"/>
      <c r="H273" s="79" t="str">
        <f t="shared" si="40"/>
        <v/>
      </c>
      <c r="I273" s="79" t="str">
        <f t="shared" si="41"/>
        <v/>
      </c>
      <c r="J273" s="67"/>
      <c r="K273" s="67"/>
      <c r="L273" s="67"/>
      <c r="M273" s="68"/>
      <c r="N273" s="51"/>
      <c r="O273" s="51" t="str">
        <f t="shared" si="4"/>
        <v/>
      </c>
      <c r="P273" s="51" t="str">
        <f t="shared" si="5"/>
        <v/>
      </c>
      <c r="Q273" s="51" t="str">
        <f t="shared" si="6"/>
        <v/>
      </c>
      <c r="R273" s="51" t="str">
        <f t="shared" si="7"/>
        <v/>
      </c>
      <c r="S273" s="51"/>
      <c r="T273" s="51"/>
      <c r="U273" s="51"/>
      <c r="V273" s="51"/>
      <c r="W273" s="51"/>
      <c r="X273" s="51"/>
      <c r="Y273" s="82"/>
      <c r="Z273" s="51"/>
      <c r="AA273" s="51"/>
      <c r="AB273" s="51" t="s">
        <v>1284</v>
      </c>
      <c r="AC273" s="51" t="s">
        <v>1285</v>
      </c>
      <c r="AD273" s="51" t="s">
        <v>648</v>
      </c>
      <c r="AE273" s="51" t="s">
        <v>649</v>
      </c>
      <c r="AF273" s="51" t="s">
        <v>636</v>
      </c>
      <c r="AG273" s="51" t="s">
        <v>650</v>
      </c>
    </row>
    <row r="274" spans="1:33" ht="15.75" customHeight="1">
      <c r="A274" s="79" t="str">
        <f>IF(C274="","",VLOOKUP('OPĆI DIO'!$C$3,'OPĆI DIO'!$L$6:$U$120,10,FALSE))</f>
        <v/>
      </c>
      <c r="B274" s="79" t="str">
        <f>IF(C274="","",VLOOKUP('OPĆI DIO'!$C$3,'OPĆI DIO'!$L$6:$U$120,9,FALSE))</f>
        <v/>
      </c>
      <c r="C274" s="84"/>
      <c r="D274" s="79" t="str">
        <f t="shared" si="0"/>
        <v/>
      </c>
      <c r="E274" s="84"/>
      <c r="F274" s="79" t="str">
        <f t="shared" si="1"/>
        <v/>
      </c>
      <c r="G274" s="84"/>
      <c r="H274" s="79" t="str">
        <f t="shared" si="40"/>
        <v/>
      </c>
      <c r="I274" s="79" t="str">
        <f t="shared" si="41"/>
        <v/>
      </c>
      <c r="J274" s="67"/>
      <c r="K274" s="67"/>
      <c r="L274" s="67"/>
      <c r="M274" s="68"/>
      <c r="N274" s="51"/>
      <c r="O274" s="51" t="str">
        <f t="shared" si="4"/>
        <v/>
      </c>
      <c r="P274" s="51" t="str">
        <f t="shared" si="5"/>
        <v/>
      </c>
      <c r="Q274" s="51" t="str">
        <f t="shared" si="6"/>
        <v/>
      </c>
      <c r="R274" s="51" t="str">
        <f t="shared" si="7"/>
        <v/>
      </c>
      <c r="S274" s="51"/>
      <c r="T274" s="51"/>
      <c r="U274" s="51"/>
      <c r="V274" s="51"/>
      <c r="W274" s="51"/>
      <c r="X274" s="51"/>
      <c r="Y274" s="82"/>
      <c r="Z274" s="51"/>
      <c r="AA274" s="51"/>
      <c r="AB274" s="51" t="s">
        <v>1286</v>
      </c>
      <c r="AC274" s="51" t="s">
        <v>1287</v>
      </c>
      <c r="AD274" s="51" t="s">
        <v>648</v>
      </c>
      <c r="AE274" s="51" t="s">
        <v>649</v>
      </c>
      <c r="AF274" s="51" t="s">
        <v>636</v>
      </c>
      <c r="AG274" s="51" t="s">
        <v>650</v>
      </c>
    </row>
    <row r="275" spans="1:33" ht="15.75" customHeight="1">
      <c r="A275" s="79" t="str">
        <f>IF(C275="","",VLOOKUP('OPĆI DIO'!$C$3,'OPĆI DIO'!$L$6:$U$120,10,FALSE))</f>
        <v/>
      </c>
      <c r="B275" s="79" t="str">
        <f>IF(C275="","",VLOOKUP('OPĆI DIO'!$C$3,'OPĆI DIO'!$L$6:$U$120,9,FALSE))</f>
        <v/>
      </c>
      <c r="C275" s="84"/>
      <c r="D275" s="79" t="str">
        <f t="shared" si="0"/>
        <v/>
      </c>
      <c r="E275" s="84"/>
      <c r="F275" s="79" t="str">
        <f t="shared" si="1"/>
        <v/>
      </c>
      <c r="G275" s="84"/>
      <c r="H275" s="79" t="str">
        <f t="shared" si="40"/>
        <v/>
      </c>
      <c r="I275" s="79" t="str">
        <f t="shared" si="41"/>
        <v/>
      </c>
      <c r="J275" s="67"/>
      <c r="K275" s="67"/>
      <c r="L275" s="67"/>
      <c r="M275" s="68"/>
      <c r="N275" s="51"/>
      <c r="O275" s="51" t="str">
        <f t="shared" si="4"/>
        <v/>
      </c>
      <c r="P275" s="51" t="str">
        <f t="shared" si="5"/>
        <v/>
      </c>
      <c r="Q275" s="51" t="str">
        <f t="shared" si="6"/>
        <v/>
      </c>
      <c r="R275" s="51" t="str">
        <f t="shared" si="7"/>
        <v/>
      </c>
      <c r="S275" s="51"/>
      <c r="T275" s="51"/>
      <c r="U275" s="51"/>
      <c r="V275" s="51"/>
      <c r="W275" s="51"/>
      <c r="X275" s="51"/>
      <c r="Y275" s="82"/>
      <c r="Z275" s="51"/>
      <c r="AA275" s="51"/>
      <c r="AB275" s="51" t="s">
        <v>1288</v>
      </c>
      <c r="AC275" s="51" t="s">
        <v>1289</v>
      </c>
      <c r="AD275" s="51" t="s">
        <v>648</v>
      </c>
      <c r="AE275" s="51" t="s">
        <v>649</v>
      </c>
      <c r="AF275" s="51" t="s">
        <v>636</v>
      </c>
      <c r="AG275" s="51" t="s">
        <v>650</v>
      </c>
    </row>
    <row r="276" spans="1:33" ht="15.75" customHeight="1">
      <c r="A276" s="79" t="str">
        <f>IF(C276="","",VLOOKUP('OPĆI DIO'!$C$3,'OPĆI DIO'!$L$6:$U$120,10,FALSE))</f>
        <v/>
      </c>
      <c r="B276" s="79" t="str">
        <f>IF(C276="","",VLOOKUP('OPĆI DIO'!$C$3,'OPĆI DIO'!$L$6:$U$120,9,FALSE))</f>
        <v/>
      </c>
      <c r="C276" s="84"/>
      <c r="D276" s="79" t="str">
        <f t="shared" si="0"/>
        <v/>
      </c>
      <c r="E276" s="84"/>
      <c r="F276" s="79" t="str">
        <f t="shared" si="1"/>
        <v/>
      </c>
      <c r="G276" s="84"/>
      <c r="H276" s="79" t="str">
        <f t="shared" si="40"/>
        <v/>
      </c>
      <c r="I276" s="79" t="str">
        <f t="shared" si="41"/>
        <v/>
      </c>
      <c r="J276" s="67"/>
      <c r="K276" s="67"/>
      <c r="L276" s="67"/>
      <c r="M276" s="68"/>
      <c r="N276" s="51"/>
      <c r="O276" s="51" t="str">
        <f t="shared" si="4"/>
        <v/>
      </c>
      <c r="P276" s="51" t="str">
        <f t="shared" si="5"/>
        <v/>
      </c>
      <c r="Q276" s="51" t="str">
        <f t="shared" si="6"/>
        <v/>
      </c>
      <c r="R276" s="51" t="str">
        <f t="shared" si="7"/>
        <v/>
      </c>
      <c r="S276" s="51"/>
      <c r="T276" s="51"/>
      <c r="U276" s="51"/>
      <c r="V276" s="51"/>
      <c r="W276" s="51"/>
      <c r="X276" s="51"/>
      <c r="Y276" s="82"/>
      <c r="Z276" s="51"/>
      <c r="AA276" s="51"/>
      <c r="AB276" s="51" t="s">
        <v>1290</v>
      </c>
      <c r="AC276" s="51" t="s">
        <v>1291</v>
      </c>
      <c r="AD276" s="51" t="s">
        <v>648</v>
      </c>
      <c r="AE276" s="51" t="s">
        <v>649</v>
      </c>
      <c r="AF276" s="51" t="s">
        <v>636</v>
      </c>
      <c r="AG276" s="51" t="s">
        <v>650</v>
      </c>
    </row>
    <row r="277" spans="1:33" ht="15.75" customHeight="1">
      <c r="A277" s="79" t="str">
        <f>IF(C277="","",VLOOKUP('OPĆI DIO'!$C$3,'OPĆI DIO'!$L$6:$U$120,10,FALSE))</f>
        <v/>
      </c>
      <c r="B277" s="79" t="str">
        <f>IF(C277="","",VLOOKUP('OPĆI DIO'!$C$3,'OPĆI DIO'!$L$6:$U$120,9,FALSE))</f>
        <v/>
      </c>
      <c r="C277" s="84"/>
      <c r="D277" s="79" t="str">
        <f t="shared" si="0"/>
        <v/>
      </c>
      <c r="E277" s="84"/>
      <c r="F277" s="79" t="str">
        <f t="shared" si="1"/>
        <v/>
      </c>
      <c r="G277" s="84"/>
      <c r="H277" s="79" t="str">
        <f t="shared" si="40"/>
        <v/>
      </c>
      <c r="I277" s="79" t="str">
        <f t="shared" si="41"/>
        <v/>
      </c>
      <c r="J277" s="67"/>
      <c r="K277" s="67"/>
      <c r="L277" s="67"/>
      <c r="M277" s="68"/>
      <c r="N277" s="51"/>
      <c r="O277" s="51" t="str">
        <f t="shared" si="4"/>
        <v/>
      </c>
      <c r="P277" s="51" t="str">
        <f t="shared" si="5"/>
        <v/>
      </c>
      <c r="Q277" s="51" t="str">
        <f t="shared" si="6"/>
        <v/>
      </c>
      <c r="R277" s="51" t="str">
        <f t="shared" si="7"/>
        <v/>
      </c>
      <c r="S277" s="51"/>
      <c r="T277" s="51"/>
      <c r="U277" s="51"/>
      <c r="V277" s="51"/>
      <c r="W277" s="51"/>
      <c r="X277" s="51"/>
      <c r="Y277" s="82"/>
      <c r="Z277" s="51"/>
      <c r="AA277" s="51"/>
      <c r="AB277" s="51" t="s">
        <v>1292</v>
      </c>
      <c r="AC277" s="51" t="s">
        <v>1293</v>
      </c>
      <c r="AD277" s="51" t="s">
        <v>648</v>
      </c>
      <c r="AE277" s="51" t="s">
        <v>649</v>
      </c>
      <c r="AF277" s="51" t="s">
        <v>636</v>
      </c>
      <c r="AG277" s="51" t="s">
        <v>650</v>
      </c>
    </row>
    <row r="278" spans="1:33" ht="15.75" customHeight="1">
      <c r="A278" s="79" t="str">
        <f>IF(C278="","",VLOOKUP('OPĆI DIO'!$C$3,'OPĆI DIO'!$L$6:$U$120,10,FALSE))</f>
        <v/>
      </c>
      <c r="B278" s="79" t="str">
        <f>IF(C278="","",VLOOKUP('OPĆI DIO'!$C$3,'OPĆI DIO'!$L$6:$U$120,9,FALSE))</f>
        <v/>
      </c>
      <c r="C278" s="84"/>
      <c r="D278" s="79" t="str">
        <f t="shared" si="0"/>
        <v/>
      </c>
      <c r="E278" s="84"/>
      <c r="F278" s="79" t="str">
        <f t="shared" si="1"/>
        <v/>
      </c>
      <c r="G278" s="84"/>
      <c r="H278" s="79" t="str">
        <f t="shared" si="40"/>
        <v/>
      </c>
      <c r="I278" s="79" t="str">
        <f t="shared" si="41"/>
        <v/>
      </c>
      <c r="J278" s="67"/>
      <c r="K278" s="67"/>
      <c r="L278" s="67"/>
      <c r="M278" s="68"/>
      <c r="N278" s="51"/>
      <c r="O278" s="51" t="str">
        <f t="shared" si="4"/>
        <v/>
      </c>
      <c r="P278" s="51" t="str">
        <f t="shared" si="5"/>
        <v/>
      </c>
      <c r="Q278" s="51" t="str">
        <f t="shared" si="6"/>
        <v/>
      </c>
      <c r="R278" s="51" t="str">
        <f t="shared" si="7"/>
        <v/>
      </c>
      <c r="S278" s="51"/>
      <c r="T278" s="51"/>
      <c r="U278" s="51"/>
      <c r="V278" s="51"/>
      <c r="W278" s="51"/>
      <c r="X278" s="51"/>
      <c r="Y278" s="82"/>
      <c r="Z278" s="51"/>
      <c r="AA278" s="51"/>
      <c r="AB278" s="51" t="s">
        <v>1294</v>
      </c>
      <c r="AC278" s="51" t="s">
        <v>1295</v>
      </c>
      <c r="AD278" s="51" t="s">
        <v>648</v>
      </c>
      <c r="AE278" s="51" t="s">
        <v>649</v>
      </c>
      <c r="AF278" s="51" t="s">
        <v>636</v>
      </c>
      <c r="AG278" s="51" t="s">
        <v>650</v>
      </c>
    </row>
    <row r="279" spans="1:33" ht="15.75" customHeight="1">
      <c r="A279" s="79" t="str">
        <f>IF(C279="","",VLOOKUP('OPĆI DIO'!$C$3,'OPĆI DIO'!$L$6:$U$120,10,FALSE))</f>
        <v/>
      </c>
      <c r="B279" s="79" t="str">
        <f>IF(C279="","",VLOOKUP('OPĆI DIO'!$C$3,'OPĆI DIO'!$L$6:$U$120,9,FALSE))</f>
        <v/>
      </c>
      <c r="C279" s="84"/>
      <c r="D279" s="79" t="str">
        <f t="shared" si="0"/>
        <v/>
      </c>
      <c r="E279" s="84"/>
      <c r="F279" s="79" t="str">
        <f t="shared" si="1"/>
        <v/>
      </c>
      <c r="G279" s="84"/>
      <c r="H279" s="79" t="str">
        <f t="shared" si="40"/>
        <v/>
      </c>
      <c r="I279" s="79" t="str">
        <f t="shared" si="41"/>
        <v/>
      </c>
      <c r="J279" s="67"/>
      <c r="K279" s="67"/>
      <c r="L279" s="67"/>
      <c r="M279" s="68"/>
      <c r="N279" s="51"/>
      <c r="O279" s="51" t="str">
        <f t="shared" si="4"/>
        <v/>
      </c>
      <c r="P279" s="51" t="str">
        <f t="shared" si="5"/>
        <v/>
      </c>
      <c r="Q279" s="51" t="str">
        <f t="shared" si="6"/>
        <v/>
      </c>
      <c r="R279" s="51" t="str">
        <f t="shared" si="7"/>
        <v/>
      </c>
      <c r="S279" s="51"/>
      <c r="T279" s="51"/>
      <c r="U279" s="51"/>
      <c r="V279" s="51"/>
      <c r="W279" s="51"/>
      <c r="X279" s="51"/>
      <c r="Y279" s="82"/>
      <c r="Z279" s="51"/>
      <c r="AA279" s="51"/>
      <c r="AB279" s="51" t="s">
        <v>1296</v>
      </c>
      <c r="AC279" s="51" t="s">
        <v>1297</v>
      </c>
      <c r="AD279" s="51" t="s">
        <v>648</v>
      </c>
      <c r="AE279" s="51" t="s">
        <v>649</v>
      </c>
      <c r="AF279" s="51" t="s">
        <v>636</v>
      </c>
      <c r="AG279" s="51" t="s">
        <v>650</v>
      </c>
    </row>
    <row r="280" spans="1:33" ht="15.75" customHeight="1">
      <c r="A280" s="79" t="str">
        <f>IF(C280="","",VLOOKUP('OPĆI DIO'!$C$3,'OPĆI DIO'!$L$6:$U$120,10,FALSE))</f>
        <v/>
      </c>
      <c r="B280" s="79" t="str">
        <f>IF(C280="","",VLOOKUP('OPĆI DIO'!$C$3,'OPĆI DIO'!$L$6:$U$120,9,FALSE))</f>
        <v/>
      </c>
      <c r="C280" s="84"/>
      <c r="D280" s="79" t="str">
        <f t="shared" si="0"/>
        <v/>
      </c>
      <c r="E280" s="84"/>
      <c r="F280" s="79" t="str">
        <f t="shared" si="1"/>
        <v/>
      </c>
      <c r="G280" s="84"/>
      <c r="H280" s="79" t="str">
        <f t="shared" si="40"/>
        <v/>
      </c>
      <c r="I280" s="79" t="str">
        <f t="shared" si="41"/>
        <v/>
      </c>
      <c r="J280" s="67"/>
      <c r="K280" s="67"/>
      <c r="L280" s="67"/>
      <c r="M280" s="68"/>
      <c r="N280" s="51"/>
      <c r="O280" s="51" t="str">
        <f t="shared" si="4"/>
        <v/>
      </c>
      <c r="P280" s="51" t="str">
        <f t="shared" si="5"/>
        <v/>
      </c>
      <c r="Q280" s="51" t="str">
        <f t="shared" si="6"/>
        <v/>
      </c>
      <c r="R280" s="51" t="str">
        <f t="shared" si="7"/>
        <v/>
      </c>
      <c r="S280" s="51"/>
      <c r="T280" s="51"/>
      <c r="U280" s="51"/>
      <c r="V280" s="51"/>
      <c r="W280" s="51"/>
      <c r="X280" s="51"/>
      <c r="Y280" s="82"/>
      <c r="Z280" s="51"/>
      <c r="AA280" s="51"/>
      <c r="AB280" s="51" t="s">
        <v>1298</v>
      </c>
      <c r="AC280" s="51" t="s">
        <v>1299</v>
      </c>
      <c r="AD280" s="51" t="s">
        <v>648</v>
      </c>
      <c r="AE280" s="51" t="s">
        <v>649</v>
      </c>
      <c r="AF280" s="51" t="s">
        <v>636</v>
      </c>
      <c r="AG280" s="51" t="s">
        <v>650</v>
      </c>
    </row>
    <row r="281" spans="1:33" ht="15.75" customHeight="1">
      <c r="A281" s="79" t="str">
        <f>IF(C281="","",VLOOKUP('OPĆI DIO'!$C$3,'OPĆI DIO'!$L$6:$U$120,10,FALSE))</f>
        <v/>
      </c>
      <c r="B281" s="79" t="str">
        <f>IF(C281="","",VLOOKUP('OPĆI DIO'!$C$3,'OPĆI DIO'!$L$6:$U$120,9,FALSE))</f>
        <v/>
      </c>
      <c r="C281" s="84"/>
      <c r="D281" s="79" t="str">
        <f t="shared" si="0"/>
        <v/>
      </c>
      <c r="E281" s="84"/>
      <c r="F281" s="79" t="str">
        <f t="shared" si="1"/>
        <v/>
      </c>
      <c r="G281" s="84"/>
      <c r="H281" s="79" t="str">
        <f t="shared" si="40"/>
        <v/>
      </c>
      <c r="I281" s="79" t="str">
        <f t="shared" si="41"/>
        <v/>
      </c>
      <c r="J281" s="67"/>
      <c r="K281" s="67"/>
      <c r="L281" s="67"/>
      <c r="M281" s="68"/>
      <c r="N281" s="51"/>
      <c r="O281" s="51" t="str">
        <f t="shared" si="4"/>
        <v/>
      </c>
      <c r="P281" s="51" t="str">
        <f t="shared" si="5"/>
        <v/>
      </c>
      <c r="Q281" s="51" t="str">
        <f t="shared" si="6"/>
        <v/>
      </c>
      <c r="R281" s="51" t="str">
        <f t="shared" si="7"/>
        <v/>
      </c>
      <c r="S281" s="51"/>
      <c r="T281" s="51"/>
      <c r="U281" s="51"/>
      <c r="V281" s="51"/>
      <c r="W281" s="51"/>
      <c r="X281" s="51"/>
      <c r="Y281" s="82"/>
      <c r="Z281" s="51"/>
      <c r="AA281" s="51"/>
      <c r="AB281" s="51" t="s">
        <v>1300</v>
      </c>
      <c r="AC281" s="51" t="s">
        <v>1301</v>
      </c>
      <c r="AD281" s="51" t="s">
        <v>648</v>
      </c>
      <c r="AE281" s="51" t="s">
        <v>649</v>
      </c>
      <c r="AF281" s="51" t="s">
        <v>636</v>
      </c>
      <c r="AG281" s="51" t="s">
        <v>650</v>
      </c>
    </row>
    <row r="282" spans="1:33" ht="15.75" customHeight="1">
      <c r="A282" s="79" t="str">
        <f>IF(C282="","",VLOOKUP('OPĆI DIO'!$C$3,'OPĆI DIO'!$L$6:$U$120,10,FALSE))</f>
        <v/>
      </c>
      <c r="B282" s="79" t="str">
        <f>IF(C282="","",VLOOKUP('OPĆI DIO'!$C$3,'OPĆI DIO'!$L$6:$U$120,9,FALSE))</f>
        <v/>
      </c>
      <c r="C282" s="84"/>
      <c r="D282" s="79" t="str">
        <f t="shared" si="0"/>
        <v/>
      </c>
      <c r="E282" s="84"/>
      <c r="F282" s="79" t="str">
        <f t="shared" si="1"/>
        <v/>
      </c>
      <c r="G282" s="84"/>
      <c r="H282" s="79" t="str">
        <f t="shared" si="40"/>
        <v/>
      </c>
      <c r="I282" s="79" t="str">
        <f t="shared" si="41"/>
        <v/>
      </c>
      <c r="J282" s="67"/>
      <c r="K282" s="67"/>
      <c r="L282" s="67"/>
      <c r="M282" s="68"/>
      <c r="N282" s="51"/>
      <c r="O282" s="51" t="str">
        <f t="shared" si="4"/>
        <v/>
      </c>
      <c r="P282" s="51" t="str">
        <f t="shared" si="5"/>
        <v/>
      </c>
      <c r="Q282" s="51" t="str">
        <f t="shared" si="6"/>
        <v/>
      </c>
      <c r="R282" s="51" t="str">
        <f t="shared" si="7"/>
        <v/>
      </c>
      <c r="S282" s="51"/>
      <c r="T282" s="51"/>
      <c r="U282" s="51"/>
      <c r="V282" s="51"/>
      <c r="W282" s="51"/>
      <c r="X282" s="51"/>
      <c r="Y282" s="82"/>
      <c r="Z282" s="51"/>
      <c r="AA282" s="51"/>
      <c r="AB282" s="51" t="s">
        <v>1302</v>
      </c>
      <c r="AC282" s="51" t="s">
        <v>1303</v>
      </c>
      <c r="AD282" s="51" t="s">
        <v>648</v>
      </c>
      <c r="AE282" s="51" t="s">
        <v>649</v>
      </c>
      <c r="AF282" s="51" t="s">
        <v>636</v>
      </c>
      <c r="AG282" s="51" t="s">
        <v>650</v>
      </c>
    </row>
    <row r="283" spans="1:33" ht="15.75" customHeight="1">
      <c r="A283" s="79" t="str">
        <f>IF(C283="","",VLOOKUP('OPĆI DIO'!$C$3,'OPĆI DIO'!$L$6:$U$120,10,FALSE))</f>
        <v/>
      </c>
      <c r="B283" s="79" t="str">
        <f>IF(C283="","",VLOOKUP('OPĆI DIO'!$C$3,'OPĆI DIO'!$L$6:$U$120,9,FALSE))</f>
        <v/>
      </c>
      <c r="C283" s="84"/>
      <c r="D283" s="79" t="str">
        <f t="shared" si="0"/>
        <v/>
      </c>
      <c r="E283" s="84"/>
      <c r="F283" s="79" t="str">
        <f t="shared" si="1"/>
        <v/>
      </c>
      <c r="G283" s="84"/>
      <c r="H283" s="79" t="str">
        <f t="shared" si="40"/>
        <v/>
      </c>
      <c r="I283" s="79" t="str">
        <f t="shared" si="41"/>
        <v/>
      </c>
      <c r="J283" s="67"/>
      <c r="K283" s="67"/>
      <c r="L283" s="67"/>
      <c r="M283" s="68"/>
      <c r="N283" s="51"/>
      <c r="O283" s="51" t="str">
        <f t="shared" si="4"/>
        <v/>
      </c>
      <c r="P283" s="51" t="str">
        <f t="shared" si="5"/>
        <v/>
      </c>
      <c r="Q283" s="51" t="str">
        <f t="shared" si="6"/>
        <v/>
      </c>
      <c r="R283" s="51" t="str">
        <f t="shared" si="7"/>
        <v/>
      </c>
      <c r="S283" s="51"/>
      <c r="T283" s="51"/>
      <c r="U283" s="51"/>
      <c r="V283" s="51"/>
      <c r="W283" s="51"/>
      <c r="X283" s="51"/>
      <c r="Y283" s="82"/>
      <c r="Z283" s="51"/>
      <c r="AA283" s="51"/>
      <c r="AB283" s="51" t="s">
        <v>1304</v>
      </c>
      <c r="AC283" s="51" t="s">
        <v>1305</v>
      </c>
      <c r="AD283" s="51" t="s">
        <v>648</v>
      </c>
      <c r="AE283" s="51" t="s">
        <v>649</v>
      </c>
      <c r="AF283" s="51" t="s">
        <v>636</v>
      </c>
      <c r="AG283" s="51" t="s">
        <v>650</v>
      </c>
    </row>
    <row r="284" spans="1:33" ht="15.75" customHeight="1">
      <c r="A284" s="79" t="str">
        <f>IF(C284="","",VLOOKUP('OPĆI DIO'!$C$3,'OPĆI DIO'!$L$6:$U$120,10,FALSE))</f>
        <v/>
      </c>
      <c r="B284" s="79" t="str">
        <f>IF(C284="","",VLOOKUP('OPĆI DIO'!$C$3,'OPĆI DIO'!$L$6:$U$120,9,FALSE))</f>
        <v/>
      </c>
      <c r="C284" s="84"/>
      <c r="D284" s="79" t="str">
        <f t="shared" si="0"/>
        <v/>
      </c>
      <c r="E284" s="84"/>
      <c r="F284" s="79" t="str">
        <f t="shared" si="1"/>
        <v/>
      </c>
      <c r="G284" s="84"/>
      <c r="H284" s="79" t="str">
        <f t="shared" si="40"/>
        <v/>
      </c>
      <c r="I284" s="79" t="str">
        <f t="shared" si="41"/>
        <v/>
      </c>
      <c r="J284" s="67"/>
      <c r="K284" s="67"/>
      <c r="L284" s="67"/>
      <c r="M284" s="68"/>
      <c r="N284" s="51"/>
      <c r="O284" s="51" t="str">
        <f t="shared" si="4"/>
        <v/>
      </c>
      <c r="P284" s="51" t="str">
        <f t="shared" si="5"/>
        <v/>
      </c>
      <c r="Q284" s="51" t="str">
        <f t="shared" si="6"/>
        <v/>
      </c>
      <c r="R284" s="51" t="str">
        <f t="shared" si="7"/>
        <v/>
      </c>
      <c r="S284" s="51"/>
      <c r="T284" s="51"/>
      <c r="U284" s="51"/>
      <c r="V284" s="51"/>
      <c r="W284" s="51"/>
      <c r="X284" s="51"/>
      <c r="Y284" s="82"/>
      <c r="Z284" s="51"/>
      <c r="AA284" s="51"/>
      <c r="AB284" s="51" t="s">
        <v>1306</v>
      </c>
      <c r="AC284" s="51" t="s">
        <v>1307</v>
      </c>
      <c r="AD284" s="51" t="s">
        <v>648</v>
      </c>
      <c r="AE284" s="51" t="s">
        <v>649</v>
      </c>
      <c r="AF284" s="51" t="s">
        <v>636</v>
      </c>
      <c r="AG284" s="51" t="s">
        <v>650</v>
      </c>
    </row>
    <row r="285" spans="1:33" ht="15.75" customHeight="1">
      <c r="A285" s="79" t="str">
        <f>IF(C285="","",VLOOKUP('OPĆI DIO'!$C$3,'OPĆI DIO'!$L$6:$U$120,10,FALSE))</f>
        <v/>
      </c>
      <c r="B285" s="79" t="str">
        <f>IF(C285="","",VLOOKUP('OPĆI DIO'!$C$3,'OPĆI DIO'!$L$6:$U$120,9,FALSE))</f>
        <v/>
      </c>
      <c r="C285" s="84"/>
      <c r="D285" s="79" t="str">
        <f t="shared" si="0"/>
        <v/>
      </c>
      <c r="E285" s="84"/>
      <c r="F285" s="79" t="str">
        <f t="shared" si="1"/>
        <v/>
      </c>
      <c r="G285" s="84"/>
      <c r="H285" s="79" t="str">
        <f t="shared" si="40"/>
        <v/>
      </c>
      <c r="I285" s="79" t="str">
        <f t="shared" si="41"/>
        <v/>
      </c>
      <c r="J285" s="67"/>
      <c r="K285" s="67"/>
      <c r="L285" s="67"/>
      <c r="M285" s="68"/>
      <c r="N285" s="51"/>
      <c r="O285" s="51" t="str">
        <f t="shared" si="4"/>
        <v/>
      </c>
      <c r="P285" s="51" t="str">
        <f t="shared" si="5"/>
        <v/>
      </c>
      <c r="Q285" s="51" t="str">
        <f t="shared" si="6"/>
        <v/>
      </c>
      <c r="R285" s="51" t="str">
        <f t="shared" si="7"/>
        <v/>
      </c>
      <c r="S285" s="51"/>
      <c r="T285" s="51"/>
      <c r="U285" s="51"/>
      <c r="V285" s="51"/>
      <c r="W285" s="51"/>
      <c r="X285" s="51"/>
      <c r="Y285" s="82"/>
      <c r="Z285" s="51"/>
      <c r="AA285" s="51"/>
      <c r="AB285" s="51" t="s">
        <v>1308</v>
      </c>
      <c r="AC285" s="51" t="s">
        <v>1309</v>
      </c>
      <c r="AD285" s="51" t="s">
        <v>648</v>
      </c>
      <c r="AE285" s="51" t="s">
        <v>649</v>
      </c>
      <c r="AF285" s="51" t="s">
        <v>636</v>
      </c>
      <c r="AG285" s="51" t="s">
        <v>650</v>
      </c>
    </row>
    <row r="286" spans="1:33" ht="15.75" customHeight="1">
      <c r="A286" s="79" t="str">
        <f>IF(C286="","",VLOOKUP('OPĆI DIO'!$C$3,'OPĆI DIO'!$L$6:$U$120,10,FALSE))</f>
        <v/>
      </c>
      <c r="B286" s="79" t="str">
        <f>IF(C286="","",VLOOKUP('OPĆI DIO'!$C$3,'OPĆI DIO'!$L$6:$U$120,9,FALSE))</f>
        <v/>
      </c>
      <c r="C286" s="84"/>
      <c r="D286" s="79" t="str">
        <f t="shared" si="0"/>
        <v/>
      </c>
      <c r="E286" s="84"/>
      <c r="F286" s="79" t="str">
        <f t="shared" si="1"/>
        <v/>
      </c>
      <c r="G286" s="84"/>
      <c r="H286" s="79" t="str">
        <f t="shared" si="40"/>
        <v/>
      </c>
      <c r="I286" s="79" t="str">
        <f t="shared" si="41"/>
        <v/>
      </c>
      <c r="J286" s="67"/>
      <c r="K286" s="67"/>
      <c r="L286" s="67"/>
      <c r="M286" s="68"/>
      <c r="N286" s="51"/>
      <c r="O286" s="51" t="str">
        <f t="shared" si="4"/>
        <v/>
      </c>
      <c r="P286" s="51" t="str">
        <f t="shared" si="5"/>
        <v/>
      </c>
      <c r="Q286" s="51" t="str">
        <f t="shared" si="6"/>
        <v/>
      </c>
      <c r="R286" s="51" t="str">
        <f t="shared" si="7"/>
        <v/>
      </c>
      <c r="S286" s="51"/>
      <c r="T286" s="51"/>
      <c r="U286" s="51"/>
      <c r="V286" s="51"/>
      <c r="W286" s="51"/>
      <c r="X286" s="51"/>
      <c r="Y286" s="82"/>
      <c r="Z286" s="51"/>
      <c r="AA286" s="51"/>
      <c r="AB286" s="51" t="s">
        <v>1310</v>
      </c>
      <c r="AC286" s="51" t="s">
        <v>1311</v>
      </c>
      <c r="AD286" s="51" t="s">
        <v>648</v>
      </c>
      <c r="AE286" s="51" t="s">
        <v>649</v>
      </c>
      <c r="AF286" s="51" t="s">
        <v>636</v>
      </c>
      <c r="AG286" s="51" t="s">
        <v>650</v>
      </c>
    </row>
    <row r="287" spans="1:33" ht="15.75" customHeight="1">
      <c r="A287" s="79" t="str">
        <f>IF(C287="","",VLOOKUP('OPĆI DIO'!$C$3,'OPĆI DIO'!$L$6:$U$120,10,FALSE))</f>
        <v/>
      </c>
      <c r="B287" s="79" t="str">
        <f>IF(C287="","",VLOOKUP('OPĆI DIO'!$C$3,'OPĆI DIO'!$L$6:$U$120,9,FALSE))</f>
        <v/>
      </c>
      <c r="C287" s="84"/>
      <c r="D287" s="79" t="str">
        <f t="shared" si="0"/>
        <v/>
      </c>
      <c r="E287" s="84"/>
      <c r="F287" s="79" t="str">
        <f t="shared" si="1"/>
        <v/>
      </c>
      <c r="G287" s="84"/>
      <c r="H287" s="79" t="str">
        <f t="shared" si="40"/>
        <v/>
      </c>
      <c r="I287" s="79" t="str">
        <f t="shared" si="41"/>
        <v/>
      </c>
      <c r="J287" s="67"/>
      <c r="K287" s="67"/>
      <c r="L287" s="67"/>
      <c r="M287" s="68"/>
      <c r="N287" s="51"/>
      <c r="O287" s="51" t="str">
        <f t="shared" si="4"/>
        <v/>
      </c>
      <c r="P287" s="51" t="str">
        <f t="shared" si="5"/>
        <v/>
      </c>
      <c r="Q287" s="51" t="str">
        <f t="shared" si="6"/>
        <v/>
      </c>
      <c r="R287" s="51" t="str">
        <f t="shared" si="7"/>
        <v/>
      </c>
      <c r="S287" s="51"/>
      <c r="T287" s="51"/>
      <c r="U287" s="51"/>
      <c r="V287" s="51"/>
      <c r="W287" s="51"/>
      <c r="X287" s="51"/>
      <c r="Y287" s="82"/>
      <c r="Z287" s="51"/>
      <c r="AA287" s="51"/>
      <c r="AB287" s="51" t="s">
        <v>1312</v>
      </c>
      <c r="AC287" s="51" t="s">
        <v>1313</v>
      </c>
      <c r="AD287" s="51" t="s">
        <v>648</v>
      </c>
      <c r="AE287" s="51" t="s">
        <v>649</v>
      </c>
      <c r="AF287" s="51" t="s">
        <v>636</v>
      </c>
      <c r="AG287" s="51" t="s">
        <v>650</v>
      </c>
    </row>
    <row r="288" spans="1:33" ht="15.75" customHeight="1">
      <c r="A288" s="79" t="str">
        <f>IF(C288="","",VLOOKUP('OPĆI DIO'!$C$3,'OPĆI DIO'!$L$6:$U$120,10,FALSE))</f>
        <v/>
      </c>
      <c r="B288" s="79" t="str">
        <f>IF(C288="","",VLOOKUP('OPĆI DIO'!$C$3,'OPĆI DIO'!$L$6:$U$120,9,FALSE))</f>
        <v/>
      </c>
      <c r="C288" s="84"/>
      <c r="D288" s="79" t="str">
        <f t="shared" si="0"/>
        <v/>
      </c>
      <c r="E288" s="84"/>
      <c r="F288" s="79" t="str">
        <f t="shared" si="1"/>
        <v/>
      </c>
      <c r="G288" s="84"/>
      <c r="H288" s="79" t="str">
        <f t="shared" si="40"/>
        <v/>
      </c>
      <c r="I288" s="79" t="str">
        <f t="shared" si="41"/>
        <v/>
      </c>
      <c r="J288" s="67"/>
      <c r="K288" s="67"/>
      <c r="L288" s="67"/>
      <c r="M288" s="68"/>
      <c r="N288" s="51"/>
      <c r="O288" s="51" t="str">
        <f t="shared" si="4"/>
        <v/>
      </c>
      <c r="P288" s="51" t="str">
        <f t="shared" si="5"/>
        <v/>
      </c>
      <c r="Q288" s="51" t="str">
        <f t="shared" si="6"/>
        <v/>
      </c>
      <c r="R288" s="51" t="str">
        <f t="shared" si="7"/>
        <v/>
      </c>
      <c r="S288" s="51"/>
      <c r="T288" s="51"/>
      <c r="U288" s="51"/>
      <c r="V288" s="51"/>
      <c r="W288" s="51"/>
      <c r="X288" s="51"/>
      <c r="Y288" s="82"/>
      <c r="Z288" s="51"/>
      <c r="AA288" s="51"/>
      <c r="AB288" s="51" t="s">
        <v>1314</v>
      </c>
      <c r="AC288" s="51" t="s">
        <v>1315</v>
      </c>
      <c r="AD288" s="51" t="s">
        <v>648</v>
      </c>
      <c r="AE288" s="51" t="s">
        <v>649</v>
      </c>
      <c r="AF288" s="51" t="s">
        <v>636</v>
      </c>
      <c r="AG288" s="51" t="s">
        <v>650</v>
      </c>
    </row>
    <row r="289" spans="1:33" ht="15.75" customHeight="1">
      <c r="A289" s="79" t="str">
        <f>IF(C289="","",VLOOKUP('OPĆI DIO'!$C$3,'OPĆI DIO'!$L$6:$U$120,10,FALSE))</f>
        <v/>
      </c>
      <c r="B289" s="79" t="str">
        <f>IF(C289="","",VLOOKUP('OPĆI DIO'!$C$3,'OPĆI DIO'!$L$6:$U$120,9,FALSE))</f>
        <v/>
      </c>
      <c r="C289" s="84"/>
      <c r="D289" s="79" t="str">
        <f t="shared" si="0"/>
        <v/>
      </c>
      <c r="E289" s="84"/>
      <c r="F289" s="79" t="str">
        <f t="shared" si="1"/>
        <v/>
      </c>
      <c r="G289" s="84"/>
      <c r="H289" s="79" t="str">
        <f t="shared" si="40"/>
        <v/>
      </c>
      <c r="I289" s="79" t="str">
        <f t="shared" si="41"/>
        <v/>
      </c>
      <c r="J289" s="67"/>
      <c r="K289" s="67"/>
      <c r="L289" s="67"/>
      <c r="M289" s="68"/>
      <c r="N289" s="51"/>
      <c r="O289" s="51" t="str">
        <f t="shared" si="4"/>
        <v/>
      </c>
      <c r="P289" s="51" t="str">
        <f t="shared" si="5"/>
        <v/>
      </c>
      <c r="Q289" s="51" t="str">
        <f t="shared" si="6"/>
        <v/>
      </c>
      <c r="R289" s="51" t="str">
        <f t="shared" si="7"/>
        <v/>
      </c>
      <c r="S289" s="51"/>
      <c r="T289" s="51"/>
      <c r="U289" s="51"/>
      <c r="V289" s="51"/>
      <c r="W289" s="51"/>
      <c r="X289" s="51"/>
      <c r="Y289" s="82"/>
      <c r="Z289" s="51"/>
      <c r="AA289" s="51"/>
      <c r="AB289" s="51" t="s">
        <v>1316</v>
      </c>
      <c r="AC289" s="51" t="s">
        <v>1317</v>
      </c>
      <c r="AD289" s="51" t="s">
        <v>648</v>
      </c>
      <c r="AE289" s="51" t="s">
        <v>649</v>
      </c>
      <c r="AF289" s="51" t="s">
        <v>636</v>
      </c>
      <c r="AG289" s="51" t="s">
        <v>650</v>
      </c>
    </row>
    <row r="290" spans="1:33" ht="15.75" customHeight="1">
      <c r="A290" s="79" t="str">
        <f>IF(C290="","",VLOOKUP('OPĆI DIO'!$C$3,'OPĆI DIO'!$L$6:$U$120,10,FALSE))</f>
        <v/>
      </c>
      <c r="B290" s="79" t="str">
        <f>IF(C290="","",VLOOKUP('OPĆI DIO'!$C$3,'OPĆI DIO'!$L$6:$U$120,9,FALSE))</f>
        <v/>
      </c>
      <c r="C290" s="84"/>
      <c r="D290" s="79" t="str">
        <f t="shared" si="0"/>
        <v/>
      </c>
      <c r="E290" s="84"/>
      <c r="F290" s="79" t="str">
        <f t="shared" si="1"/>
        <v/>
      </c>
      <c r="G290" s="84"/>
      <c r="H290" s="79" t="str">
        <f t="shared" si="40"/>
        <v/>
      </c>
      <c r="I290" s="79" t="str">
        <f t="shared" si="41"/>
        <v/>
      </c>
      <c r="J290" s="67"/>
      <c r="K290" s="67"/>
      <c r="L290" s="67"/>
      <c r="M290" s="68"/>
      <c r="N290" s="51"/>
      <c r="O290" s="51" t="str">
        <f t="shared" si="4"/>
        <v/>
      </c>
      <c r="P290" s="51" t="str">
        <f t="shared" si="5"/>
        <v/>
      </c>
      <c r="Q290" s="51" t="str">
        <f t="shared" si="6"/>
        <v/>
      </c>
      <c r="R290" s="51" t="str">
        <f t="shared" si="7"/>
        <v/>
      </c>
      <c r="S290" s="51"/>
      <c r="T290" s="51"/>
      <c r="U290" s="51"/>
      <c r="V290" s="51"/>
      <c r="W290" s="51"/>
      <c r="X290" s="51"/>
      <c r="Y290" s="82"/>
      <c r="Z290" s="51"/>
      <c r="AA290" s="51"/>
      <c r="AB290" s="51" t="s">
        <v>1318</v>
      </c>
      <c r="AC290" s="51" t="s">
        <v>1319</v>
      </c>
      <c r="AD290" s="51" t="s">
        <v>648</v>
      </c>
      <c r="AE290" s="51" t="s">
        <v>649</v>
      </c>
      <c r="AF290" s="51" t="s">
        <v>636</v>
      </c>
      <c r="AG290" s="51" t="s">
        <v>650</v>
      </c>
    </row>
    <row r="291" spans="1:33" ht="15.75" customHeight="1">
      <c r="A291" s="79" t="str">
        <f>IF(C291="","",VLOOKUP('OPĆI DIO'!$C$3,'OPĆI DIO'!$L$6:$U$120,10,FALSE))</f>
        <v/>
      </c>
      <c r="B291" s="79" t="str">
        <f>IF(C291="","",VLOOKUP('OPĆI DIO'!$C$3,'OPĆI DIO'!$L$6:$U$120,9,FALSE))</f>
        <v/>
      </c>
      <c r="C291" s="84"/>
      <c r="D291" s="79" t="str">
        <f t="shared" si="0"/>
        <v/>
      </c>
      <c r="E291" s="84"/>
      <c r="F291" s="79" t="str">
        <f t="shared" si="1"/>
        <v/>
      </c>
      <c r="G291" s="84"/>
      <c r="H291" s="79" t="str">
        <f t="shared" si="40"/>
        <v/>
      </c>
      <c r="I291" s="79" t="str">
        <f t="shared" si="41"/>
        <v/>
      </c>
      <c r="J291" s="67"/>
      <c r="K291" s="67"/>
      <c r="L291" s="67"/>
      <c r="M291" s="68"/>
      <c r="N291" s="51"/>
      <c r="O291" s="51" t="str">
        <f t="shared" si="4"/>
        <v/>
      </c>
      <c r="P291" s="51" t="str">
        <f t="shared" si="5"/>
        <v/>
      </c>
      <c r="Q291" s="51" t="str">
        <f t="shared" si="6"/>
        <v/>
      </c>
      <c r="R291" s="51" t="str">
        <f t="shared" si="7"/>
        <v/>
      </c>
      <c r="S291" s="51"/>
      <c r="T291" s="51"/>
      <c r="U291" s="51"/>
      <c r="V291" s="51"/>
      <c r="W291" s="51"/>
      <c r="X291" s="51"/>
      <c r="Y291" s="82"/>
      <c r="Z291" s="51"/>
      <c r="AA291" s="51"/>
      <c r="AB291" s="51" t="s">
        <v>1320</v>
      </c>
      <c r="AC291" s="51" t="s">
        <v>1321</v>
      </c>
      <c r="AD291" s="51" t="s">
        <v>648</v>
      </c>
      <c r="AE291" s="51" t="s">
        <v>649</v>
      </c>
      <c r="AF291" s="51" t="s">
        <v>636</v>
      </c>
      <c r="AG291" s="51" t="s">
        <v>650</v>
      </c>
    </row>
    <row r="292" spans="1:33" ht="15.75" customHeight="1">
      <c r="A292" s="79" t="str">
        <f>IF(C292="","",VLOOKUP('OPĆI DIO'!$C$3,'OPĆI DIO'!$L$6:$U$120,10,FALSE))</f>
        <v/>
      </c>
      <c r="B292" s="79" t="str">
        <f>IF(C292="","",VLOOKUP('OPĆI DIO'!$C$3,'OPĆI DIO'!$L$6:$U$120,9,FALSE))</f>
        <v/>
      </c>
      <c r="C292" s="84"/>
      <c r="D292" s="79" t="str">
        <f t="shared" si="0"/>
        <v/>
      </c>
      <c r="E292" s="84"/>
      <c r="F292" s="79" t="str">
        <f t="shared" si="1"/>
        <v/>
      </c>
      <c r="G292" s="84"/>
      <c r="H292" s="79" t="str">
        <f t="shared" si="40"/>
        <v/>
      </c>
      <c r="I292" s="79" t="str">
        <f t="shared" si="41"/>
        <v/>
      </c>
      <c r="J292" s="67"/>
      <c r="K292" s="67"/>
      <c r="L292" s="67"/>
      <c r="M292" s="68"/>
      <c r="N292" s="51"/>
      <c r="O292" s="51" t="str">
        <f t="shared" si="4"/>
        <v/>
      </c>
      <c r="P292" s="51" t="str">
        <f t="shared" si="5"/>
        <v/>
      </c>
      <c r="Q292" s="51" t="str">
        <f t="shared" si="6"/>
        <v/>
      </c>
      <c r="R292" s="51" t="str">
        <f t="shared" si="7"/>
        <v/>
      </c>
      <c r="S292" s="51"/>
      <c r="T292" s="51"/>
      <c r="U292" s="51"/>
      <c r="V292" s="51"/>
      <c r="W292" s="51"/>
      <c r="X292" s="51"/>
      <c r="Y292" s="82"/>
      <c r="Z292" s="51"/>
      <c r="AA292" s="51"/>
      <c r="AB292" s="51" t="s">
        <v>1322</v>
      </c>
      <c r="AC292" s="51" t="s">
        <v>1323</v>
      </c>
      <c r="AD292" s="51" t="s">
        <v>648</v>
      </c>
      <c r="AE292" s="51" t="s">
        <v>649</v>
      </c>
      <c r="AF292" s="51" t="s">
        <v>636</v>
      </c>
      <c r="AG292" s="51" t="s">
        <v>650</v>
      </c>
    </row>
    <row r="293" spans="1:33" ht="15.75" customHeight="1">
      <c r="A293" s="79" t="str">
        <f>IF(C293="","",VLOOKUP('OPĆI DIO'!$C$3,'OPĆI DIO'!$L$6:$U$120,10,FALSE))</f>
        <v/>
      </c>
      <c r="B293" s="79" t="str">
        <f>IF(C293="","",VLOOKUP('OPĆI DIO'!$C$3,'OPĆI DIO'!$L$6:$U$120,9,FALSE))</f>
        <v/>
      </c>
      <c r="C293" s="84"/>
      <c r="D293" s="79" t="str">
        <f t="shared" si="0"/>
        <v/>
      </c>
      <c r="E293" s="84"/>
      <c r="F293" s="79" t="str">
        <f t="shared" si="1"/>
        <v/>
      </c>
      <c r="G293" s="84"/>
      <c r="H293" s="79" t="str">
        <f t="shared" si="40"/>
        <v/>
      </c>
      <c r="I293" s="79" t="str">
        <f t="shared" si="41"/>
        <v/>
      </c>
      <c r="J293" s="67"/>
      <c r="K293" s="67"/>
      <c r="L293" s="67"/>
      <c r="M293" s="68"/>
      <c r="N293" s="51"/>
      <c r="O293" s="51" t="str">
        <f t="shared" si="4"/>
        <v/>
      </c>
      <c r="P293" s="51" t="str">
        <f t="shared" si="5"/>
        <v/>
      </c>
      <c r="Q293" s="51" t="str">
        <f t="shared" si="6"/>
        <v/>
      </c>
      <c r="R293" s="51" t="str">
        <f t="shared" si="7"/>
        <v/>
      </c>
      <c r="S293" s="51"/>
      <c r="T293" s="51"/>
      <c r="U293" s="51"/>
      <c r="V293" s="51"/>
      <c r="W293" s="51"/>
      <c r="X293" s="51"/>
      <c r="Y293" s="82"/>
      <c r="Z293" s="51"/>
      <c r="AA293" s="51"/>
      <c r="AB293" s="51" t="s">
        <v>1324</v>
      </c>
      <c r="AC293" s="51" t="s">
        <v>1325</v>
      </c>
      <c r="AD293" s="51" t="s">
        <v>648</v>
      </c>
      <c r="AE293" s="51" t="s">
        <v>649</v>
      </c>
      <c r="AF293" s="51" t="s">
        <v>636</v>
      </c>
      <c r="AG293" s="51" t="s">
        <v>650</v>
      </c>
    </row>
    <row r="294" spans="1:33" ht="15.75" customHeight="1">
      <c r="A294" s="79" t="str">
        <f>IF(C294="","",VLOOKUP('OPĆI DIO'!$C$3,'OPĆI DIO'!$L$6:$U$120,10,FALSE))</f>
        <v/>
      </c>
      <c r="B294" s="79" t="str">
        <f>IF(C294="","",VLOOKUP('OPĆI DIO'!$C$3,'OPĆI DIO'!$L$6:$U$120,9,FALSE))</f>
        <v/>
      </c>
      <c r="C294" s="84"/>
      <c r="D294" s="79" t="str">
        <f t="shared" si="0"/>
        <v/>
      </c>
      <c r="E294" s="84"/>
      <c r="F294" s="79" t="str">
        <f t="shared" si="1"/>
        <v/>
      </c>
      <c r="G294" s="84"/>
      <c r="H294" s="79" t="str">
        <f t="shared" si="40"/>
        <v/>
      </c>
      <c r="I294" s="79" t="str">
        <f t="shared" si="41"/>
        <v/>
      </c>
      <c r="J294" s="67"/>
      <c r="K294" s="67"/>
      <c r="L294" s="67"/>
      <c r="M294" s="68"/>
      <c r="N294" s="51"/>
      <c r="O294" s="51" t="str">
        <f t="shared" si="4"/>
        <v/>
      </c>
      <c r="P294" s="51" t="str">
        <f t="shared" si="5"/>
        <v/>
      </c>
      <c r="Q294" s="51" t="str">
        <f t="shared" si="6"/>
        <v/>
      </c>
      <c r="R294" s="51" t="str">
        <f t="shared" si="7"/>
        <v/>
      </c>
      <c r="S294" s="51"/>
      <c r="T294" s="51"/>
      <c r="U294" s="51"/>
      <c r="V294" s="51"/>
      <c r="W294" s="51"/>
      <c r="X294" s="51"/>
      <c r="Y294" s="82"/>
      <c r="Z294" s="51"/>
      <c r="AA294" s="51"/>
      <c r="AB294" s="51" t="s">
        <v>1326</v>
      </c>
      <c r="AC294" s="51" t="s">
        <v>1327</v>
      </c>
      <c r="AD294" s="51" t="s">
        <v>648</v>
      </c>
      <c r="AE294" s="51" t="s">
        <v>649</v>
      </c>
      <c r="AF294" s="51" t="s">
        <v>636</v>
      </c>
      <c r="AG294" s="51" t="s">
        <v>650</v>
      </c>
    </row>
    <row r="295" spans="1:33" ht="15.75" customHeight="1">
      <c r="A295" s="79" t="str">
        <f>IF(C295="","",VLOOKUP('OPĆI DIO'!$C$3,'OPĆI DIO'!$L$6:$U$120,10,FALSE))</f>
        <v/>
      </c>
      <c r="B295" s="79" t="str">
        <f>IF(C295="","",VLOOKUP('OPĆI DIO'!$C$3,'OPĆI DIO'!$L$6:$U$120,9,FALSE))</f>
        <v/>
      </c>
      <c r="C295" s="84"/>
      <c r="D295" s="79" t="str">
        <f t="shared" si="0"/>
        <v/>
      </c>
      <c r="E295" s="84"/>
      <c r="F295" s="79" t="str">
        <f t="shared" si="1"/>
        <v/>
      </c>
      <c r="G295" s="84"/>
      <c r="H295" s="79" t="str">
        <f t="shared" si="40"/>
        <v/>
      </c>
      <c r="I295" s="79" t="str">
        <f t="shared" si="41"/>
        <v/>
      </c>
      <c r="J295" s="67"/>
      <c r="K295" s="67"/>
      <c r="L295" s="67"/>
      <c r="M295" s="68"/>
      <c r="N295" s="51"/>
      <c r="O295" s="51" t="str">
        <f t="shared" si="4"/>
        <v/>
      </c>
      <c r="P295" s="51" t="str">
        <f t="shared" si="5"/>
        <v/>
      </c>
      <c r="Q295" s="51" t="str">
        <f t="shared" si="6"/>
        <v/>
      </c>
      <c r="R295" s="51" t="str">
        <f t="shared" si="7"/>
        <v/>
      </c>
      <c r="S295" s="51"/>
      <c r="T295" s="51"/>
      <c r="U295" s="51"/>
      <c r="V295" s="51"/>
      <c r="W295" s="51"/>
      <c r="X295" s="51"/>
      <c r="Y295" s="82"/>
      <c r="Z295" s="51"/>
      <c r="AA295" s="51"/>
      <c r="AB295" s="51" t="s">
        <v>1328</v>
      </c>
      <c r="AC295" s="51" t="s">
        <v>1329</v>
      </c>
      <c r="AD295" s="51" t="s">
        <v>648</v>
      </c>
      <c r="AE295" s="51" t="s">
        <v>649</v>
      </c>
      <c r="AF295" s="51" t="s">
        <v>636</v>
      </c>
      <c r="AG295" s="51" t="s">
        <v>650</v>
      </c>
    </row>
    <row r="296" spans="1:33" ht="15.75" customHeight="1">
      <c r="A296" s="79" t="str">
        <f>IF(C296="","",VLOOKUP('OPĆI DIO'!$C$3,'OPĆI DIO'!$L$6:$U$120,10,FALSE))</f>
        <v/>
      </c>
      <c r="B296" s="79" t="str">
        <f>IF(C296="","",VLOOKUP('OPĆI DIO'!$C$3,'OPĆI DIO'!$L$6:$U$120,9,FALSE))</f>
        <v/>
      </c>
      <c r="C296" s="84"/>
      <c r="D296" s="79" t="str">
        <f t="shared" si="0"/>
        <v/>
      </c>
      <c r="E296" s="84"/>
      <c r="F296" s="79" t="str">
        <f t="shared" si="1"/>
        <v/>
      </c>
      <c r="G296" s="84"/>
      <c r="H296" s="79" t="str">
        <f t="shared" si="40"/>
        <v/>
      </c>
      <c r="I296" s="79" t="str">
        <f t="shared" si="41"/>
        <v/>
      </c>
      <c r="J296" s="67"/>
      <c r="K296" s="67"/>
      <c r="L296" s="67"/>
      <c r="M296" s="68"/>
      <c r="N296" s="51"/>
      <c r="O296" s="51" t="str">
        <f t="shared" si="4"/>
        <v/>
      </c>
      <c r="P296" s="51" t="str">
        <f t="shared" si="5"/>
        <v/>
      </c>
      <c r="Q296" s="51" t="str">
        <f t="shared" si="6"/>
        <v/>
      </c>
      <c r="R296" s="51" t="str">
        <f t="shared" si="7"/>
        <v/>
      </c>
      <c r="S296" s="51"/>
      <c r="T296" s="51"/>
      <c r="U296" s="51"/>
      <c r="V296" s="51"/>
      <c r="W296" s="51"/>
      <c r="X296" s="51"/>
      <c r="Y296" s="82"/>
      <c r="Z296" s="51"/>
      <c r="AA296" s="51"/>
      <c r="AB296" s="51" t="s">
        <v>1330</v>
      </c>
      <c r="AC296" s="51" t="s">
        <v>1331</v>
      </c>
      <c r="AD296" s="51" t="s">
        <v>648</v>
      </c>
      <c r="AE296" s="51" t="s">
        <v>649</v>
      </c>
      <c r="AF296" s="51" t="s">
        <v>636</v>
      </c>
      <c r="AG296" s="51" t="s">
        <v>650</v>
      </c>
    </row>
    <row r="297" spans="1:33" ht="15.75" customHeight="1">
      <c r="A297" s="79" t="str">
        <f>IF(C297="","",VLOOKUP('OPĆI DIO'!$C$3,'OPĆI DIO'!$L$6:$U$120,10,FALSE))</f>
        <v/>
      </c>
      <c r="B297" s="79" t="str">
        <f>IF(C297="","",VLOOKUP('OPĆI DIO'!$C$3,'OPĆI DIO'!$L$6:$U$120,9,FALSE))</f>
        <v/>
      </c>
      <c r="C297" s="84"/>
      <c r="D297" s="79" t="str">
        <f t="shared" si="0"/>
        <v/>
      </c>
      <c r="E297" s="84"/>
      <c r="F297" s="79" t="str">
        <f t="shared" si="1"/>
        <v/>
      </c>
      <c r="G297" s="84"/>
      <c r="H297" s="79" t="str">
        <f t="shared" si="40"/>
        <v/>
      </c>
      <c r="I297" s="79" t="str">
        <f t="shared" si="41"/>
        <v/>
      </c>
      <c r="J297" s="67"/>
      <c r="K297" s="67"/>
      <c r="L297" s="67"/>
      <c r="M297" s="68"/>
      <c r="N297" s="51"/>
      <c r="O297" s="51" t="str">
        <f t="shared" si="4"/>
        <v/>
      </c>
      <c r="P297" s="51" t="str">
        <f t="shared" si="5"/>
        <v/>
      </c>
      <c r="Q297" s="51" t="str">
        <f t="shared" si="6"/>
        <v/>
      </c>
      <c r="R297" s="51" t="str">
        <f t="shared" si="7"/>
        <v/>
      </c>
      <c r="S297" s="51"/>
      <c r="T297" s="51"/>
      <c r="U297" s="51"/>
      <c r="V297" s="51"/>
      <c r="W297" s="51"/>
      <c r="X297" s="51"/>
      <c r="Y297" s="82"/>
      <c r="Z297" s="51"/>
      <c r="AA297" s="51"/>
      <c r="AB297" s="51" t="s">
        <v>1332</v>
      </c>
      <c r="AC297" s="51" t="s">
        <v>1333</v>
      </c>
      <c r="AD297" s="51" t="s">
        <v>648</v>
      </c>
      <c r="AE297" s="51" t="s">
        <v>649</v>
      </c>
      <c r="AF297" s="51" t="s">
        <v>636</v>
      </c>
      <c r="AG297" s="51" t="s">
        <v>650</v>
      </c>
    </row>
    <row r="298" spans="1:33" ht="15.75" customHeight="1">
      <c r="A298" s="79" t="str">
        <f>IF(C298="","",VLOOKUP('OPĆI DIO'!$C$3,'OPĆI DIO'!$L$6:$U$120,10,FALSE))</f>
        <v/>
      </c>
      <c r="B298" s="79" t="str">
        <f>IF(C298="","",VLOOKUP('OPĆI DIO'!$C$3,'OPĆI DIO'!$L$6:$U$120,9,FALSE))</f>
        <v/>
      </c>
      <c r="C298" s="84"/>
      <c r="D298" s="79" t="str">
        <f t="shared" si="0"/>
        <v/>
      </c>
      <c r="E298" s="84"/>
      <c r="F298" s="79" t="str">
        <f t="shared" si="1"/>
        <v/>
      </c>
      <c r="G298" s="84"/>
      <c r="H298" s="79" t="str">
        <f t="shared" si="40"/>
        <v/>
      </c>
      <c r="I298" s="79" t="str">
        <f t="shared" si="41"/>
        <v/>
      </c>
      <c r="J298" s="67"/>
      <c r="K298" s="67"/>
      <c r="L298" s="67"/>
      <c r="M298" s="68"/>
      <c r="N298" s="51"/>
      <c r="O298" s="51" t="str">
        <f t="shared" si="4"/>
        <v/>
      </c>
      <c r="P298" s="51" t="str">
        <f t="shared" si="5"/>
        <v/>
      </c>
      <c r="Q298" s="51" t="str">
        <f t="shared" si="6"/>
        <v/>
      </c>
      <c r="R298" s="51" t="str">
        <f t="shared" si="7"/>
        <v/>
      </c>
      <c r="S298" s="51"/>
      <c r="T298" s="51"/>
      <c r="U298" s="51"/>
      <c r="V298" s="51"/>
      <c r="W298" s="51"/>
      <c r="X298" s="51"/>
      <c r="Y298" s="82"/>
      <c r="Z298" s="51"/>
      <c r="AA298" s="51"/>
      <c r="AB298" s="51" t="s">
        <v>1334</v>
      </c>
      <c r="AC298" s="51" t="s">
        <v>1335</v>
      </c>
      <c r="AD298" s="51" t="s">
        <v>648</v>
      </c>
      <c r="AE298" s="51" t="s">
        <v>649</v>
      </c>
      <c r="AF298" s="51" t="s">
        <v>636</v>
      </c>
      <c r="AG298" s="51" t="s">
        <v>650</v>
      </c>
    </row>
    <row r="299" spans="1:33" ht="15.75" customHeight="1">
      <c r="A299" s="79" t="str">
        <f>IF(C299="","",VLOOKUP('OPĆI DIO'!$C$3,'OPĆI DIO'!$L$6:$U$120,10,FALSE))</f>
        <v/>
      </c>
      <c r="B299" s="79" t="str">
        <f>IF(C299="","",VLOOKUP('OPĆI DIO'!$C$3,'OPĆI DIO'!$L$6:$U$120,9,FALSE))</f>
        <v/>
      </c>
      <c r="C299" s="84"/>
      <c r="D299" s="79" t="str">
        <f t="shared" si="0"/>
        <v/>
      </c>
      <c r="E299" s="84"/>
      <c r="F299" s="79" t="str">
        <f t="shared" si="1"/>
        <v/>
      </c>
      <c r="G299" s="84"/>
      <c r="H299" s="79" t="str">
        <f t="shared" si="40"/>
        <v/>
      </c>
      <c r="I299" s="79" t="str">
        <f t="shared" si="41"/>
        <v/>
      </c>
      <c r="J299" s="67"/>
      <c r="K299" s="67"/>
      <c r="L299" s="67"/>
      <c r="M299" s="68"/>
      <c r="N299" s="51"/>
      <c r="O299" s="51" t="str">
        <f t="shared" si="4"/>
        <v/>
      </c>
      <c r="P299" s="51" t="str">
        <f t="shared" si="5"/>
        <v/>
      </c>
      <c r="Q299" s="51" t="str">
        <f t="shared" si="6"/>
        <v/>
      </c>
      <c r="R299" s="51" t="str">
        <f t="shared" si="7"/>
        <v/>
      </c>
      <c r="S299" s="51"/>
      <c r="T299" s="51"/>
      <c r="U299" s="51"/>
      <c r="V299" s="51"/>
      <c r="W299" s="51"/>
      <c r="X299" s="51"/>
      <c r="Y299" s="82"/>
      <c r="Z299" s="51"/>
      <c r="AA299" s="51"/>
      <c r="AB299" s="51" t="s">
        <v>1336</v>
      </c>
      <c r="AC299" s="51" t="s">
        <v>1337</v>
      </c>
      <c r="AD299" s="51" t="s">
        <v>648</v>
      </c>
      <c r="AE299" s="51" t="s">
        <v>649</v>
      </c>
      <c r="AF299" s="51" t="s">
        <v>636</v>
      </c>
      <c r="AG299" s="51" t="s">
        <v>650</v>
      </c>
    </row>
    <row r="300" spans="1:33" ht="15.75" customHeight="1">
      <c r="A300" s="79" t="str">
        <f>IF(C300="","",VLOOKUP('OPĆI DIO'!$C$3,'OPĆI DIO'!$L$6:$U$120,10,FALSE))</f>
        <v/>
      </c>
      <c r="B300" s="79" t="str">
        <f>IF(C300="","",VLOOKUP('OPĆI DIO'!$C$3,'OPĆI DIO'!$L$6:$U$120,9,FALSE))</f>
        <v/>
      </c>
      <c r="C300" s="84"/>
      <c r="D300" s="79" t="str">
        <f t="shared" si="0"/>
        <v/>
      </c>
      <c r="E300" s="84"/>
      <c r="F300" s="79" t="str">
        <f t="shared" si="1"/>
        <v/>
      </c>
      <c r="G300" s="84"/>
      <c r="H300" s="79" t="str">
        <f t="shared" si="40"/>
        <v/>
      </c>
      <c r="I300" s="79" t="str">
        <f t="shared" si="41"/>
        <v/>
      </c>
      <c r="J300" s="67"/>
      <c r="K300" s="67"/>
      <c r="L300" s="67"/>
      <c r="M300" s="68"/>
      <c r="N300" s="51"/>
      <c r="O300" s="51" t="str">
        <f t="shared" si="4"/>
        <v/>
      </c>
      <c r="P300" s="51" t="str">
        <f t="shared" si="5"/>
        <v/>
      </c>
      <c r="Q300" s="51" t="str">
        <f t="shared" si="6"/>
        <v/>
      </c>
      <c r="R300" s="51" t="str">
        <f t="shared" si="7"/>
        <v/>
      </c>
      <c r="S300" s="51"/>
      <c r="T300" s="51"/>
      <c r="U300" s="51"/>
      <c r="V300" s="51"/>
      <c r="W300" s="51"/>
      <c r="X300" s="51"/>
      <c r="Y300" s="82"/>
      <c r="Z300" s="51"/>
      <c r="AA300" s="51"/>
      <c r="AB300" s="51" t="s">
        <v>1338</v>
      </c>
      <c r="AC300" s="51" t="s">
        <v>1339</v>
      </c>
      <c r="AD300" s="51" t="s">
        <v>648</v>
      </c>
      <c r="AE300" s="51" t="s">
        <v>649</v>
      </c>
      <c r="AF300" s="51" t="s">
        <v>636</v>
      </c>
      <c r="AG300" s="51" t="s">
        <v>650</v>
      </c>
    </row>
    <row r="301" spans="1:33" ht="15.75" customHeight="1">
      <c r="A301" s="79" t="str">
        <f>IF(C301="","",VLOOKUP('OPĆI DIO'!$C$3,'OPĆI DIO'!$L$6:$U$120,10,FALSE))</f>
        <v/>
      </c>
      <c r="B301" s="79" t="str">
        <f>IF(C301="","",VLOOKUP('OPĆI DIO'!$C$3,'OPĆI DIO'!$L$6:$U$120,9,FALSE))</f>
        <v/>
      </c>
      <c r="C301" s="84"/>
      <c r="D301" s="79" t="str">
        <f t="shared" si="0"/>
        <v/>
      </c>
      <c r="E301" s="84"/>
      <c r="F301" s="79" t="str">
        <f t="shared" si="1"/>
        <v/>
      </c>
      <c r="G301" s="84"/>
      <c r="H301" s="79" t="str">
        <f t="shared" si="40"/>
        <v/>
      </c>
      <c r="I301" s="79" t="str">
        <f t="shared" si="41"/>
        <v/>
      </c>
      <c r="J301" s="67"/>
      <c r="K301" s="67"/>
      <c r="L301" s="67"/>
      <c r="M301" s="68"/>
      <c r="N301" s="51"/>
      <c r="O301" s="51" t="str">
        <f t="shared" si="4"/>
        <v/>
      </c>
      <c r="P301" s="51" t="str">
        <f t="shared" si="5"/>
        <v/>
      </c>
      <c r="Q301" s="51" t="str">
        <f t="shared" si="6"/>
        <v/>
      </c>
      <c r="R301" s="51" t="str">
        <f t="shared" si="7"/>
        <v/>
      </c>
      <c r="S301" s="51"/>
      <c r="T301" s="51"/>
      <c r="U301" s="51"/>
      <c r="V301" s="51"/>
      <c r="W301" s="51"/>
      <c r="X301" s="51"/>
      <c r="Y301" s="82"/>
      <c r="Z301" s="51"/>
      <c r="AA301" s="51"/>
      <c r="AB301" s="51" t="s">
        <v>1340</v>
      </c>
      <c r="AC301" s="51" t="s">
        <v>1341</v>
      </c>
      <c r="AD301" s="51" t="s">
        <v>648</v>
      </c>
      <c r="AE301" s="51" t="s">
        <v>649</v>
      </c>
      <c r="AF301" s="51" t="s">
        <v>636</v>
      </c>
      <c r="AG301" s="51" t="s">
        <v>650</v>
      </c>
    </row>
    <row r="302" spans="1:33" ht="15.75" customHeight="1">
      <c r="A302" s="79" t="str">
        <f>IF(C302="","",VLOOKUP('OPĆI DIO'!$C$3,'OPĆI DIO'!$L$6:$U$120,10,FALSE))</f>
        <v/>
      </c>
      <c r="B302" s="79" t="str">
        <f>IF(C302="","",VLOOKUP('OPĆI DIO'!$C$3,'OPĆI DIO'!$L$6:$U$120,9,FALSE))</f>
        <v/>
      </c>
      <c r="C302" s="84"/>
      <c r="D302" s="79" t="str">
        <f t="shared" si="0"/>
        <v/>
      </c>
      <c r="E302" s="84"/>
      <c r="F302" s="79" t="str">
        <f t="shared" si="1"/>
        <v/>
      </c>
      <c r="G302" s="84"/>
      <c r="H302" s="79" t="str">
        <f t="shared" si="40"/>
        <v/>
      </c>
      <c r="I302" s="79" t="str">
        <f t="shared" si="41"/>
        <v/>
      </c>
      <c r="J302" s="67"/>
      <c r="K302" s="67"/>
      <c r="L302" s="67"/>
      <c r="M302" s="68"/>
      <c r="N302" s="51"/>
      <c r="O302" s="51" t="str">
        <f t="shared" si="4"/>
        <v/>
      </c>
      <c r="P302" s="51" t="str">
        <f t="shared" si="5"/>
        <v/>
      </c>
      <c r="Q302" s="51" t="str">
        <f t="shared" si="6"/>
        <v/>
      </c>
      <c r="R302" s="51" t="str">
        <f t="shared" si="7"/>
        <v/>
      </c>
      <c r="S302" s="51"/>
      <c r="T302" s="51"/>
      <c r="U302" s="51"/>
      <c r="V302" s="51"/>
      <c r="W302" s="51"/>
      <c r="X302" s="51"/>
      <c r="Y302" s="82"/>
      <c r="Z302" s="51"/>
      <c r="AA302" s="51"/>
      <c r="AB302" s="51" t="s">
        <v>1342</v>
      </c>
      <c r="AC302" s="51" t="s">
        <v>1343</v>
      </c>
      <c r="AD302" s="51" t="s">
        <v>648</v>
      </c>
      <c r="AE302" s="51" t="s">
        <v>649</v>
      </c>
      <c r="AF302" s="51" t="s">
        <v>636</v>
      </c>
      <c r="AG302" s="51" t="s">
        <v>650</v>
      </c>
    </row>
    <row r="303" spans="1:33" ht="15.75" customHeight="1">
      <c r="A303" s="79" t="str">
        <f>IF(C303="","",VLOOKUP('OPĆI DIO'!$C$3,'OPĆI DIO'!$L$6:$U$120,10,FALSE))</f>
        <v/>
      </c>
      <c r="B303" s="79" t="str">
        <f>IF(C303="","",VLOOKUP('OPĆI DIO'!$C$3,'OPĆI DIO'!$L$6:$U$120,9,FALSE))</f>
        <v/>
      </c>
      <c r="C303" s="84"/>
      <c r="D303" s="79" t="str">
        <f t="shared" si="0"/>
        <v/>
      </c>
      <c r="E303" s="84"/>
      <c r="F303" s="79" t="str">
        <f t="shared" si="1"/>
        <v/>
      </c>
      <c r="G303" s="84"/>
      <c r="H303" s="79" t="str">
        <f t="shared" si="40"/>
        <v/>
      </c>
      <c r="I303" s="79" t="str">
        <f t="shared" si="41"/>
        <v/>
      </c>
      <c r="J303" s="67"/>
      <c r="K303" s="67"/>
      <c r="L303" s="67"/>
      <c r="M303" s="68"/>
      <c r="N303" s="51"/>
      <c r="O303" s="51" t="str">
        <f t="shared" si="4"/>
        <v/>
      </c>
      <c r="P303" s="51" t="str">
        <f t="shared" si="5"/>
        <v/>
      </c>
      <c r="Q303" s="51" t="str">
        <f t="shared" si="6"/>
        <v/>
      </c>
      <c r="R303" s="51" t="str">
        <f t="shared" si="7"/>
        <v/>
      </c>
      <c r="S303" s="51"/>
      <c r="T303" s="51"/>
      <c r="U303" s="51"/>
      <c r="V303" s="51"/>
      <c r="W303" s="51"/>
      <c r="X303" s="51"/>
      <c r="Y303" s="82"/>
      <c r="Z303" s="51"/>
      <c r="AA303" s="51"/>
      <c r="AB303" s="51" t="s">
        <v>1344</v>
      </c>
      <c r="AC303" s="51" t="s">
        <v>1345</v>
      </c>
      <c r="AD303" s="51" t="s">
        <v>1041</v>
      </c>
      <c r="AE303" s="51" t="s">
        <v>1042</v>
      </c>
      <c r="AF303" s="51" t="s">
        <v>636</v>
      </c>
      <c r="AG303" s="51" t="s">
        <v>1043</v>
      </c>
    </row>
    <row r="304" spans="1:33" ht="15.75" customHeight="1">
      <c r="A304" s="79" t="str">
        <f>IF(C304="","",VLOOKUP('OPĆI DIO'!$C$3,'OPĆI DIO'!$L$6:$U$120,10,FALSE))</f>
        <v/>
      </c>
      <c r="B304" s="79" t="str">
        <f>IF(C304="","",VLOOKUP('OPĆI DIO'!$C$3,'OPĆI DIO'!$L$6:$U$120,9,FALSE))</f>
        <v/>
      </c>
      <c r="C304" s="84"/>
      <c r="D304" s="79" t="str">
        <f t="shared" si="0"/>
        <v/>
      </c>
      <c r="E304" s="84"/>
      <c r="F304" s="79" t="str">
        <f t="shared" si="1"/>
        <v/>
      </c>
      <c r="G304" s="84"/>
      <c r="H304" s="79" t="str">
        <f t="shared" si="40"/>
        <v/>
      </c>
      <c r="I304" s="79" t="str">
        <f t="shared" si="41"/>
        <v/>
      </c>
      <c r="J304" s="67"/>
      <c r="K304" s="67"/>
      <c r="L304" s="67"/>
      <c r="M304" s="68"/>
      <c r="N304" s="51"/>
      <c r="O304" s="51" t="str">
        <f t="shared" si="4"/>
        <v/>
      </c>
      <c r="P304" s="51" t="str">
        <f t="shared" si="5"/>
        <v/>
      </c>
      <c r="Q304" s="51" t="str">
        <f t="shared" si="6"/>
        <v/>
      </c>
      <c r="R304" s="51" t="str">
        <f t="shared" si="7"/>
        <v/>
      </c>
      <c r="S304" s="51"/>
      <c r="T304" s="51"/>
      <c r="U304" s="51"/>
      <c r="V304" s="51"/>
      <c r="W304" s="51"/>
      <c r="X304" s="51"/>
      <c r="Y304" s="82"/>
      <c r="Z304" s="51"/>
      <c r="AA304" s="51"/>
      <c r="AB304" s="51" t="s">
        <v>1344</v>
      </c>
      <c r="AC304" s="51" t="s">
        <v>1345</v>
      </c>
      <c r="AD304" s="51" t="s">
        <v>648</v>
      </c>
      <c r="AE304" s="51" t="s">
        <v>649</v>
      </c>
      <c r="AF304" s="51" t="s">
        <v>636</v>
      </c>
      <c r="AG304" s="51" t="s">
        <v>650</v>
      </c>
    </row>
    <row r="305" spans="1:33" ht="15.75" customHeight="1">
      <c r="A305" s="79" t="str">
        <f>IF(C305="","",VLOOKUP('OPĆI DIO'!$C$3,'OPĆI DIO'!$L$6:$U$120,10,FALSE))</f>
        <v/>
      </c>
      <c r="B305" s="79" t="str">
        <f>IF(C305="","",VLOOKUP('OPĆI DIO'!$C$3,'OPĆI DIO'!$L$6:$U$120,9,FALSE))</f>
        <v/>
      </c>
      <c r="C305" s="84"/>
      <c r="D305" s="79" t="str">
        <f t="shared" si="0"/>
        <v/>
      </c>
      <c r="E305" s="84"/>
      <c r="F305" s="79" t="str">
        <f t="shared" si="1"/>
        <v/>
      </c>
      <c r="G305" s="84"/>
      <c r="H305" s="79" t="str">
        <f t="shared" si="40"/>
        <v/>
      </c>
      <c r="I305" s="79" t="str">
        <f t="shared" si="41"/>
        <v/>
      </c>
      <c r="J305" s="67"/>
      <c r="K305" s="67"/>
      <c r="L305" s="67"/>
      <c r="M305" s="68"/>
      <c r="N305" s="51"/>
      <c r="O305" s="51" t="str">
        <f t="shared" si="4"/>
        <v/>
      </c>
      <c r="P305" s="51" t="str">
        <f t="shared" si="5"/>
        <v/>
      </c>
      <c r="Q305" s="51" t="str">
        <f t="shared" si="6"/>
        <v/>
      </c>
      <c r="R305" s="51" t="str">
        <f t="shared" si="7"/>
        <v/>
      </c>
      <c r="S305" s="51"/>
      <c r="T305" s="51"/>
      <c r="U305" s="51"/>
      <c r="V305" s="51"/>
      <c r="W305" s="51"/>
      <c r="X305" s="51"/>
      <c r="Y305" s="82"/>
      <c r="Z305" s="51"/>
      <c r="AA305" s="51"/>
      <c r="AB305" s="51" t="s">
        <v>1346</v>
      </c>
      <c r="AC305" s="51" t="s">
        <v>1347</v>
      </c>
      <c r="AD305" s="51" t="s">
        <v>648</v>
      </c>
      <c r="AE305" s="51" t="s">
        <v>649</v>
      </c>
      <c r="AF305" s="51" t="s">
        <v>636</v>
      </c>
      <c r="AG305" s="51" t="s">
        <v>650</v>
      </c>
    </row>
    <row r="306" spans="1:33" ht="15.75" customHeight="1">
      <c r="A306" s="79" t="str">
        <f>IF(C306="","",VLOOKUP('OPĆI DIO'!$C$3,'OPĆI DIO'!$L$6:$U$120,10,FALSE))</f>
        <v/>
      </c>
      <c r="B306" s="79" t="str">
        <f>IF(C306="","",VLOOKUP('OPĆI DIO'!$C$3,'OPĆI DIO'!$L$6:$U$120,9,FALSE))</f>
        <v/>
      </c>
      <c r="C306" s="84"/>
      <c r="D306" s="79" t="str">
        <f t="shared" si="0"/>
        <v/>
      </c>
      <c r="E306" s="84"/>
      <c r="F306" s="79" t="str">
        <f t="shared" si="1"/>
        <v/>
      </c>
      <c r="G306" s="84"/>
      <c r="H306" s="79" t="str">
        <f t="shared" si="40"/>
        <v/>
      </c>
      <c r="I306" s="79" t="str">
        <f t="shared" si="41"/>
        <v/>
      </c>
      <c r="J306" s="67"/>
      <c r="K306" s="67"/>
      <c r="L306" s="67"/>
      <c r="M306" s="68"/>
      <c r="N306" s="51"/>
      <c r="O306" s="51" t="str">
        <f t="shared" si="4"/>
        <v/>
      </c>
      <c r="P306" s="51" t="str">
        <f t="shared" si="5"/>
        <v/>
      </c>
      <c r="Q306" s="51" t="str">
        <f t="shared" si="6"/>
        <v/>
      </c>
      <c r="R306" s="51" t="str">
        <f t="shared" si="7"/>
        <v/>
      </c>
      <c r="S306" s="51"/>
      <c r="T306" s="51"/>
      <c r="U306" s="51"/>
      <c r="V306" s="51"/>
      <c r="W306" s="51"/>
      <c r="X306" s="51"/>
      <c r="Y306" s="82"/>
      <c r="Z306" s="51"/>
      <c r="AA306" s="51"/>
      <c r="AB306" s="51" t="s">
        <v>1348</v>
      </c>
      <c r="AC306" s="51" t="s">
        <v>1349</v>
      </c>
      <c r="AD306" s="51" t="s">
        <v>648</v>
      </c>
      <c r="AE306" s="51" t="s">
        <v>649</v>
      </c>
      <c r="AF306" s="51" t="s">
        <v>636</v>
      </c>
      <c r="AG306" s="51" t="s">
        <v>650</v>
      </c>
    </row>
    <row r="307" spans="1:33" ht="15.75" customHeight="1">
      <c r="A307" s="79" t="str">
        <f>IF(C307="","",VLOOKUP('OPĆI DIO'!$C$3,'OPĆI DIO'!$L$6:$U$120,10,FALSE))</f>
        <v/>
      </c>
      <c r="B307" s="79" t="str">
        <f>IF(C307="","",VLOOKUP('OPĆI DIO'!$C$3,'OPĆI DIO'!$L$6:$U$120,9,FALSE))</f>
        <v/>
      </c>
      <c r="C307" s="84"/>
      <c r="D307" s="79" t="str">
        <f t="shared" si="0"/>
        <v/>
      </c>
      <c r="E307" s="84"/>
      <c r="F307" s="79" t="str">
        <f t="shared" si="1"/>
        <v/>
      </c>
      <c r="G307" s="84"/>
      <c r="H307" s="79" t="str">
        <f t="shared" si="40"/>
        <v/>
      </c>
      <c r="I307" s="79" t="str">
        <f t="shared" si="41"/>
        <v/>
      </c>
      <c r="J307" s="67"/>
      <c r="K307" s="67"/>
      <c r="L307" s="67"/>
      <c r="M307" s="68"/>
      <c r="N307" s="51"/>
      <c r="O307" s="51" t="str">
        <f t="shared" si="4"/>
        <v/>
      </c>
      <c r="P307" s="51" t="str">
        <f t="shared" si="5"/>
        <v/>
      </c>
      <c r="Q307" s="51" t="str">
        <f t="shared" si="6"/>
        <v/>
      </c>
      <c r="R307" s="51" t="str">
        <f t="shared" si="7"/>
        <v/>
      </c>
      <c r="S307" s="51"/>
      <c r="T307" s="51"/>
      <c r="U307" s="51"/>
      <c r="V307" s="51"/>
      <c r="W307" s="51"/>
      <c r="X307" s="51"/>
      <c r="Y307" s="82"/>
      <c r="Z307" s="51"/>
      <c r="AA307" s="51"/>
      <c r="AB307" s="51" t="s">
        <v>1350</v>
      </c>
      <c r="AC307" s="51" t="s">
        <v>1351</v>
      </c>
      <c r="AD307" s="51" t="s">
        <v>648</v>
      </c>
      <c r="AE307" s="51" t="s">
        <v>649</v>
      </c>
      <c r="AF307" s="51" t="s">
        <v>636</v>
      </c>
      <c r="AG307" s="51" t="s">
        <v>650</v>
      </c>
    </row>
    <row r="308" spans="1:33" ht="15.75" customHeight="1">
      <c r="A308" s="79" t="str">
        <f>IF(C308="","",VLOOKUP('OPĆI DIO'!$C$3,'OPĆI DIO'!$L$6:$U$120,10,FALSE))</f>
        <v/>
      </c>
      <c r="B308" s="79" t="str">
        <f>IF(C308="","",VLOOKUP('OPĆI DIO'!$C$3,'OPĆI DIO'!$L$6:$U$120,9,FALSE))</f>
        <v/>
      </c>
      <c r="C308" s="84"/>
      <c r="D308" s="79" t="str">
        <f t="shared" si="0"/>
        <v/>
      </c>
      <c r="E308" s="84"/>
      <c r="F308" s="79" t="str">
        <f t="shared" si="1"/>
        <v/>
      </c>
      <c r="G308" s="84"/>
      <c r="H308" s="79" t="str">
        <f t="shared" si="40"/>
        <v/>
      </c>
      <c r="I308" s="79" t="str">
        <f t="shared" si="41"/>
        <v/>
      </c>
      <c r="J308" s="67"/>
      <c r="K308" s="67"/>
      <c r="L308" s="67"/>
      <c r="M308" s="68"/>
      <c r="N308" s="51"/>
      <c r="O308" s="51" t="str">
        <f t="shared" si="4"/>
        <v/>
      </c>
      <c r="P308" s="51" t="str">
        <f t="shared" si="5"/>
        <v/>
      </c>
      <c r="Q308" s="51" t="str">
        <f t="shared" si="6"/>
        <v/>
      </c>
      <c r="R308" s="51" t="str">
        <f t="shared" si="7"/>
        <v/>
      </c>
      <c r="S308" s="51"/>
      <c r="T308" s="51"/>
      <c r="U308" s="51"/>
      <c r="V308" s="51"/>
      <c r="W308" s="51"/>
      <c r="X308" s="51"/>
      <c r="Y308" s="82"/>
      <c r="Z308" s="51"/>
      <c r="AA308" s="51"/>
      <c r="AB308" s="51" t="s">
        <v>1352</v>
      </c>
      <c r="AC308" s="51" t="s">
        <v>1353</v>
      </c>
      <c r="AD308" s="51" t="s">
        <v>648</v>
      </c>
      <c r="AE308" s="51" t="s">
        <v>649</v>
      </c>
      <c r="AF308" s="51" t="s">
        <v>636</v>
      </c>
      <c r="AG308" s="51" t="s">
        <v>650</v>
      </c>
    </row>
    <row r="309" spans="1:33" ht="15.75" customHeight="1">
      <c r="A309" s="79" t="str">
        <f>IF(C309="","",VLOOKUP('OPĆI DIO'!$C$3,'OPĆI DIO'!$L$6:$U$120,10,FALSE))</f>
        <v/>
      </c>
      <c r="B309" s="79" t="str">
        <f>IF(C309="","",VLOOKUP('OPĆI DIO'!$C$3,'OPĆI DIO'!$L$6:$U$120,9,FALSE))</f>
        <v/>
      </c>
      <c r="C309" s="84"/>
      <c r="D309" s="79" t="str">
        <f t="shared" si="0"/>
        <v/>
      </c>
      <c r="E309" s="84"/>
      <c r="F309" s="79" t="str">
        <f t="shared" si="1"/>
        <v/>
      </c>
      <c r="G309" s="84"/>
      <c r="H309" s="79" t="str">
        <f t="shared" si="40"/>
        <v/>
      </c>
      <c r="I309" s="79" t="str">
        <f t="shared" si="41"/>
        <v/>
      </c>
      <c r="J309" s="67"/>
      <c r="K309" s="67"/>
      <c r="L309" s="67"/>
      <c r="M309" s="68"/>
      <c r="N309" s="51"/>
      <c r="O309" s="51" t="str">
        <f t="shared" si="4"/>
        <v/>
      </c>
      <c r="P309" s="51" t="str">
        <f t="shared" si="5"/>
        <v/>
      </c>
      <c r="Q309" s="51" t="str">
        <f t="shared" si="6"/>
        <v/>
      </c>
      <c r="R309" s="51" t="str">
        <f t="shared" si="7"/>
        <v/>
      </c>
      <c r="S309" s="51"/>
      <c r="T309" s="51"/>
      <c r="U309" s="51"/>
      <c r="V309" s="51"/>
      <c r="W309" s="51"/>
      <c r="X309" s="51"/>
      <c r="Y309" s="82"/>
      <c r="Z309" s="51"/>
      <c r="AA309" s="51"/>
      <c r="AB309" s="51" t="s">
        <v>1354</v>
      </c>
      <c r="AC309" s="51" t="s">
        <v>784</v>
      </c>
      <c r="AD309" s="51" t="s">
        <v>648</v>
      </c>
      <c r="AE309" s="51" t="s">
        <v>649</v>
      </c>
      <c r="AF309" s="51" t="s">
        <v>636</v>
      </c>
      <c r="AG309" s="51" t="s">
        <v>650</v>
      </c>
    </row>
    <row r="310" spans="1:33" ht="15.75" customHeight="1">
      <c r="A310" s="79" t="str">
        <f>IF(C310="","",VLOOKUP('OPĆI DIO'!$C$3,'OPĆI DIO'!$L$6:$U$120,10,FALSE))</f>
        <v/>
      </c>
      <c r="B310" s="79" t="str">
        <f>IF(C310="","",VLOOKUP('OPĆI DIO'!$C$3,'OPĆI DIO'!$L$6:$U$120,9,FALSE))</f>
        <v/>
      </c>
      <c r="C310" s="84"/>
      <c r="D310" s="79" t="str">
        <f t="shared" si="0"/>
        <v/>
      </c>
      <c r="E310" s="84"/>
      <c r="F310" s="79" t="str">
        <f t="shared" si="1"/>
        <v/>
      </c>
      <c r="G310" s="84"/>
      <c r="H310" s="79" t="str">
        <f t="shared" si="40"/>
        <v/>
      </c>
      <c r="I310" s="79" t="str">
        <f t="shared" si="41"/>
        <v/>
      </c>
      <c r="J310" s="67"/>
      <c r="K310" s="67"/>
      <c r="L310" s="67"/>
      <c r="M310" s="68"/>
      <c r="N310" s="51"/>
      <c r="O310" s="51" t="str">
        <f t="shared" si="4"/>
        <v/>
      </c>
      <c r="P310" s="51" t="str">
        <f t="shared" si="5"/>
        <v/>
      </c>
      <c r="Q310" s="51" t="str">
        <f t="shared" si="6"/>
        <v/>
      </c>
      <c r="R310" s="51" t="str">
        <f t="shared" si="7"/>
        <v/>
      </c>
      <c r="S310" s="51"/>
      <c r="T310" s="51"/>
      <c r="U310" s="51"/>
      <c r="V310" s="51"/>
      <c r="W310" s="51"/>
      <c r="X310" s="51"/>
      <c r="Y310" s="82"/>
      <c r="Z310" s="51"/>
      <c r="AA310" s="51"/>
      <c r="AB310" s="51" t="s">
        <v>1355</v>
      </c>
      <c r="AC310" s="51" t="s">
        <v>1356</v>
      </c>
      <c r="AD310" s="51" t="s">
        <v>648</v>
      </c>
      <c r="AE310" s="51" t="s">
        <v>649</v>
      </c>
      <c r="AF310" s="51" t="s">
        <v>636</v>
      </c>
      <c r="AG310" s="51" t="s">
        <v>650</v>
      </c>
    </row>
    <row r="311" spans="1:33" ht="15.75" customHeight="1">
      <c r="A311" s="79" t="str">
        <f>IF(C311="","",VLOOKUP('OPĆI DIO'!$C$3,'OPĆI DIO'!$L$6:$U$120,10,FALSE))</f>
        <v/>
      </c>
      <c r="B311" s="79" t="str">
        <f>IF(C311="","",VLOOKUP('OPĆI DIO'!$C$3,'OPĆI DIO'!$L$6:$U$120,9,FALSE))</f>
        <v/>
      </c>
      <c r="C311" s="84"/>
      <c r="D311" s="79" t="str">
        <f t="shared" si="0"/>
        <v/>
      </c>
      <c r="E311" s="84"/>
      <c r="F311" s="79" t="str">
        <f t="shared" si="1"/>
        <v/>
      </c>
      <c r="G311" s="84"/>
      <c r="H311" s="79" t="str">
        <f t="shared" si="40"/>
        <v/>
      </c>
      <c r="I311" s="79" t="str">
        <f t="shared" si="41"/>
        <v/>
      </c>
      <c r="J311" s="67"/>
      <c r="K311" s="67"/>
      <c r="L311" s="67"/>
      <c r="M311" s="68"/>
      <c r="N311" s="51"/>
      <c r="O311" s="51" t="str">
        <f t="shared" si="4"/>
        <v/>
      </c>
      <c r="P311" s="51" t="str">
        <f t="shared" si="5"/>
        <v/>
      </c>
      <c r="Q311" s="51" t="str">
        <f t="shared" si="6"/>
        <v/>
      </c>
      <c r="R311" s="51" t="str">
        <f t="shared" si="7"/>
        <v/>
      </c>
      <c r="S311" s="51"/>
      <c r="T311" s="51"/>
      <c r="U311" s="51"/>
      <c r="V311" s="51"/>
      <c r="W311" s="51"/>
      <c r="X311" s="51"/>
      <c r="Y311" s="82"/>
      <c r="Z311" s="51"/>
      <c r="AA311" s="51"/>
      <c r="AB311" s="51" t="s">
        <v>1357</v>
      </c>
      <c r="AC311" s="51" t="s">
        <v>1358</v>
      </c>
      <c r="AD311" s="51" t="s">
        <v>648</v>
      </c>
      <c r="AE311" s="51" t="s">
        <v>649</v>
      </c>
      <c r="AF311" s="51" t="s">
        <v>636</v>
      </c>
      <c r="AG311" s="51" t="s">
        <v>650</v>
      </c>
    </row>
    <row r="312" spans="1:33" ht="15.75" customHeight="1">
      <c r="A312" s="79" t="str">
        <f>IF(C312="","",VLOOKUP('OPĆI DIO'!$C$3,'OPĆI DIO'!$L$6:$U$120,10,FALSE))</f>
        <v/>
      </c>
      <c r="B312" s="79" t="str">
        <f>IF(C312="","",VLOOKUP('OPĆI DIO'!$C$3,'OPĆI DIO'!$L$6:$U$120,9,FALSE))</f>
        <v/>
      </c>
      <c r="C312" s="84"/>
      <c r="D312" s="79" t="str">
        <f t="shared" si="0"/>
        <v/>
      </c>
      <c r="E312" s="84"/>
      <c r="F312" s="79" t="str">
        <f t="shared" si="1"/>
        <v/>
      </c>
      <c r="G312" s="84"/>
      <c r="H312" s="79" t="str">
        <f t="shared" si="40"/>
        <v/>
      </c>
      <c r="I312" s="79" t="str">
        <f t="shared" si="41"/>
        <v/>
      </c>
      <c r="J312" s="67"/>
      <c r="K312" s="67"/>
      <c r="L312" s="67"/>
      <c r="M312" s="68"/>
      <c r="N312" s="51"/>
      <c r="O312" s="51" t="str">
        <f t="shared" si="4"/>
        <v/>
      </c>
      <c r="P312" s="51" t="str">
        <f t="shared" si="5"/>
        <v/>
      </c>
      <c r="Q312" s="51" t="str">
        <f t="shared" si="6"/>
        <v/>
      </c>
      <c r="R312" s="51" t="str">
        <f t="shared" si="7"/>
        <v/>
      </c>
      <c r="S312" s="51"/>
      <c r="T312" s="51"/>
      <c r="U312" s="51"/>
      <c r="V312" s="51"/>
      <c r="W312" s="51"/>
      <c r="X312" s="51"/>
      <c r="Y312" s="82"/>
      <c r="Z312" s="51"/>
      <c r="AA312" s="51"/>
      <c r="AB312" s="51" t="s">
        <v>1359</v>
      </c>
      <c r="AC312" s="51" t="s">
        <v>1360</v>
      </c>
      <c r="AD312" s="51" t="s">
        <v>1041</v>
      </c>
      <c r="AE312" s="51" t="s">
        <v>1042</v>
      </c>
      <c r="AF312" s="51" t="s">
        <v>636</v>
      </c>
      <c r="AG312" s="51" t="s">
        <v>1043</v>
      </c>
    </row>
    <row r="313" spans="1:33" ht="15.75" customHeight="1">
      <c r="A313" s="79" t="str">
        <f>IF(C313="","",VLOOKUP('OPĆI DIO'!$C$3,'OPĆI DIO'!$L$6:$U$120,10,FALSE))</f>
        <v/>
      </c>
      <c r="B313" s="79" t="str">
        <f>IF(C313="","",VLOOKUP('OPĆI DIO'!$C$3,'OPĆI DIO'!$L$6:$U$120,9,FALSE))</f>
        <v/>
      </c>
      <c r="C313" s="84"/>
      <c r="D313" s="79" t="str">
        <f t="shared" si="0"/>
        <v/>
      </c>
      <c r="E313" s="84"/>
      <c r="F313" s="79" t="str">
        <f t="shared" si="1"/>
        <v/>
      </c>
      <c r="G313" s="84"/>
      <c r="H313" s="79" t="str">
        <f t="shared" si="40"/>
        <v/>
      </c>
      <c r="I313" s="79" t="str">
        <f t="shared" si="41"/>
        <v/>
      </c>
      <c r="J313" s="67"/>
      <c r="K313" s="67"/>
      <c r="L313" s="67"/>
      <c r="M313" s="68"/>
      <c r="N313" s="51"/>
      <c r="O313" s="51" t="str">
        <f t="shared" si="4"/>
        <v/>
      </c>
      <c r="P313" s="51" t="str">
        <f t="shared" si="5"/>
        <v/>
      </c>
      <c r="Q313" s="51" t="str">
        <f t="shared" si="6"/>
        <v/>
      </c>
      <c r="R313" s="51" t="str">
        <f t="shared" si="7"/>
        <v/>
      </c>
      <c r="S313" s="51"/>
      <c r="T313" s="51"/>
      <c r="U313" s="51"/>
      <c r="V313" s="51"/>
      <c r="W313" s="51"/>
      <c r="X313" s="51"/>
      <c r="Y313" s="82"/>
      <c r="Z313" s="51"/>
      <c r="AA313" s="51"/>
      <c r="AB313" s="51" t="s">
        <v>1359</v>
      </c>
      <c r="AC313" s="51" t="s">
        <v>1360</v>
      </c>
      <c r="AD313" s="51" t="s">
        <v>648</v>
      </c>
      <c r="AE313" s="51" t="s">
        <v>649</v>
      </c>
      <c r="AF313" s="51" t="s">
        <v>636</v>
      </c>
      <c r="AG313" s="51" t="s">
        <v>650</v>
      </c>
    </row>
    <row r="314" spans="1:33" ht="15.75" customHeight="1">
      <c r="A314" s="79" t="str">
        <f>IF(C314="","",VLOOKUP('OPĆI DIO'!$C$3,'OPĆI DIO'!$L$6:$U$120,10,FALSE))</f>
        <v/>
      </c>
      <c r="B314" s="79" t="str">
        <f>IF(C314="","",VLOOKUP('OPĆI DIO'!$C$3,'OPĆI DIO'!$L$6:$U$120,9,FALSE))</f>
        <v/>
      </c>
      <c r="C314" s="84"/>
      <c r="D314" s="79" t="str">
        <f t="shared" si="0"/>
        <v/>
      </c>
      <c r="E314" s="84"/>
      <c r="F314" s="79" t="str">
        <f t="shared" si="1"/>
        <v/>
      </c>
      <c r="G314" s="84"/>
      <c r="H314" s="79" t="str">
        <f t="shared" si="40"/>
        <v/>
      </c>
      <c r="I314" s="79" t="str">
        <f t="shared" si="41"/>
        <v/>
      </c>
      <c r="J314" s="67"/>
      <c r="K314" s="67"/>
      <c r="L314" s="67"/>
      <c r="M314" s="68"/>
      <c r="N314" s="51"/>
      <c r="O314" s="51" t="str">
        <f t="shared" si="4"/>
        <v/>
      </c>
      <c r="P314" s="51" t="str">
        <f t="shared" si="5"/>
        <v/>
      </c>
      <c r="Q314" s="51" t="str">
        <f t="shared" si="6"/>
        <v/>
      </c>
      <c r="R314" s="51" t="str">
        <f t="shared" si="7"/>
        <v/>
      </c>
      <c r="S314" s="51"/>
      <c r="T314" s="51"/>
      <c r="U314" s="51"/>
      <c r="V314" s="51"/>
      <c r="W314" s="51"/>
      <c r="X314" s="51"/>
      <c r="Y314" s="82"/>
      <c r="Z314" s="51"/>
      <c r="AA314" s="51"/>
      <c r="AB314" s="51" t="s">
        <v>1361</v>
      </c>
      <c r="AC314" s="51" t="s">
        <v>1362</v>
      </c>
      <c r="AD314" s="51" t="s">
        <v>648</v>
      </c>
      <c r="AE314" s="51" t="s">
        <v>649</v>
      </c>
      <c r="AF314" s="51" t="s">
        <v>636</v>
      </c>
      <c r="AG314" s="51" t="s">
        <v>650</v>
      </c>
    </row>
    <row r="315" spans="1:33" ht="15.75" customHeight="1">
      <c r="A315" s="79" t="str">
        <f>IF(C315="","",VLOOKUP('OPĆI DIO'!$C$3,'OPĆI DIO'!$L$6:$U$120,10,FALSE))</f>
        <v/>
      </c>
      <c r="B315" s="79" t="str">
        <f>IF(C315="","",VLOOKUP('OPĆI DIO'!$C$3,'OPĆI DIO'!$L$6:$U$120,9,FALSE))</f>
        <v/>
      </c>
      <c r="C315" s="84"/>
      <c r="D315" s="79" t="str">
        <f t="shared" si="0"/>
        <v/>
      </c>
      <c r="E315" s="84"/>
      <c r="F315" s="79" t="str">
        <f t="shared" si="1"/>
        <v/>
      </c>
      <c r="G315" s="84"/>
      <c r="H315" s="79" t="str">
        <f t="shared" si="40"/>
        <v/>
      </c>
      <c r="I315" s="79" t="str">
        <f t="shared" si="41"/>
        <v/>
      </c>
      <c r="J315" s="67"/>
      <c r="K315" s="67"/>
      <c r="L315" s="67"/>
      <c r="M315" s="68"/>
      <c r="N315" s="51"/>
      <c r="O315" s="51" t="str">
        <f t="shared" si="4"/>
        <v/>
      </c>
      <c r="P315" s="51" t="str">
        <f t="shared" si="5"/>
        <v/>
      </c>
      <c r="Q315" s="51" t="str">
        <f t="shared" si="6"/>
        <v/>
      </c>
      <c r="R315" s="51" t="str">
        <f t="shared" si="7"/>
        <v/>
      </c>
      <c r="S315" s="51"/>
      <c r="T315" s="51"/>
      <c r="U315" s="51"/>
      <c r="V315" s="51"/>
      <c r="W315" s="51"/>
      <c r="X315" s="51"/>
      <c r="Y315" s="82"/>
      <c r="Z315" s="51"/>
      <c r="AA315" s="51"/>
      <c r="AB315" s="51" t="s">
        <v>1363</v>
      </c>
      <c r="AC315" s="51" t="s">
        <v>1364</v>
      </c>
      <c r="AD315" s="51" t="s">
        <v>648</v>
      </c>
      <c r="AE315" s="51" t="s">
        <v>649</v>
      </c>
      <c r="AF315" s="51" t="s">
        <v>636</v>
      </c>
      <c r="AG315" s="51" t="s">
        <v>650</v>
      </c>
    </row>
    <row r="316" spans="1:33" ht="15.75" customHeight="1">
      <c r="A316" s="79" t="str">
        <f>IF(C316="","",VLOOKUP('OPĆI DIO'!$C$3,'OPĆI DIO'!$L$6:$U$120,10,FALSE))</f>
        <v/>
      </c>
      <c r="B316" s="79" t="str">
        <f>IF(C316="","",VLOOKUP('OPĆI DIO'!$C$3,'OPĆI DIO'!$L$6:$U$120,9,FALSE))</f>
        <v/>
      </c>
      <c r="C316" s="84"/>
      <c r="D316" s="79" t="str">
        <f t="shared" si="0"/>
        <v/>
      </c>
      <c r="E316" s="84"/>
      <c r="F316" s="79" t="str">
        <f t="shared" si="1"/>
        <v/>
      </c>
      <c r="G316" s="84"/>
      <c r="H316" s="79" t="str">
        <f t="shared" si="40"/>
        <v/>
      </c>
      <c r="I316" s="79" t="str">
        <f t="shared" si="41"/>
        <v/>
      </c>
      <c r="J316" s="67"/>
      <c r="K316" s="67"/>
      <c r="L316" s="67"/>
      <c r="M316" s="68"/>
      <c r="N316" s="51"/>
      <c r="O316" s="51" t="str">
        <f t="shared" si="4"/>
        <v/>
      </c>
      <c r="P316" s="51" t="str">
        <f t="shared" si="5"/>
        <v/>
      </c>
      <c r="Q316" s="51" t="str">
        <f t="shared" si="6"/>
        <v/>
      </c>
      <c r="R316" s="51" t="str">
        <f t="shared" si="7"/>
        <v/>
      </c>
      <c r="S316" s="51"/>
      <c r="T316" s="51"/>
      <c r="U316" s="51"/>
      <c r="V316" s="51"/>
      <c r="W316" s="51"/>
      <c r="X316" s="51"/>
      <c r="Y316" s="82"/>
      <c r="Z316" s="51"/>
      <c r="AA316" s="51"/>
      <c r="AB316" s="51" t="s">
        <v>1365</v>
      </c>
      <c r="AC316" s="51" t="s">
        <v>1366</v>
      </c>
      <c r="AD316" s="51" t="s">
        <v>648</v>
      </c>
      <c r="AE316" s="51" t="s">
        <v>649</v>
      </c>
      <c r="AF316" s="51" t="s">
        <v>636</v>
      </c>
      <c r="AG316" s="51" t="s">
        <v>650</v>
      </c>
    </row>
    <row r="317" spans="1:33" ht="15.75" customHeight="1">
      <c r="A317" s="79" t="str">
        <f>IF(C317="","",VLOOKUP('OPĆI DIO'!$C$3,'OPĆI DIO'!$L$6:$U$120,10,FALSE))</f>
        <v/>
      </c>
      <c r="B317" s="79" t="str">
        <f>IF(C317="","",VLOOKUP('OPĆI DIO'!$C$3,'OPĆI DIO'!$L$6:$U$120,9,FALSE))</f>
        <v/>
      </c>
      <c r="C317" s="84"/>
      <c r="D317" s="79" t="str">
        <f t="shared" si="0"/>
        <v/>
      </c>
      <c r="E317" s="84"/>
      <c r="F317" s="79" t="str">
        <f t="shared" si="1"/>
        <v/>
      </c>
      <c r="G317" s="84"/>
      <c r="H317" s="79" t="str">
        <f t="shared" ref="H317:H380" si="42">IFERROR(VLOOKUP(G317,$AB$6:$AC$332,2,FALSE),"")</f>
        <v/>
      </c>
      <c r="I317" s="79" t="str">
        <f t="shared" ref="I317:I380" si="43">IFERROR(VLOOKUP(G317,$AB$6:$AF$332,3,FALSE),"")</f>
        <v/>
      </c>
      <c r="J317" s="67"/>
      <c r="K317" s="67"/>
      <c r="L317" s="67"/>
      <c r="M317" s="68"/>
      <c r="N317" s="51"/>
      <c r="O317" s="51" t="str">
        <f t="shared" si="4"/>
        <v/>
      </c>
      <c r="P317" s="51" t="str">
        <f t="shared" si="5"/>
        <v/>
      </c>
      <c r="Q317" s="51" t="str">
        <f t="shared" si="6"/>
        <v/>
      </c>
      <c r="R317" s="51" t="str">
        <f t="shared" si="7"/>
        <v/>
      </c>
      <c r="S317" s="51"/>
      <c r="T317" s="51"/>
      <c r="U317" s="51"/>
      <c r="V317" s="51"/>
      <c r="W317" s="51"/>
      <c r="X317" s="51"/>
      <c r="Y317" s="82"/>
      <c r="Z317" s="51"/>
      <c r="AA317" s="51"/>
      <c r="AB317" s="51" t="s">
        <v>1367</v>
      </c>
      <c r="AC317" s="51" t="s">
        <v>1368</v>
      </c>
      <c r="AD317" s="51" t="s">
        <v>648</v>
      </c>
      <c r="AE317" s="51" t="s">
        <v>649</v>
      </c>
      <c r="AF317" s="51" t="s">
        <v>636</v>
      </c>
      <c r="AG317" s="51" t="s">
        <v>650</v>
      </c>
    </row>
    <row r="318" spans="1:33" ht="15.75" customHeight="1">
      <c r="A318" s="79" t="str">
        <f>IF(C318="","",VLOOKUP('OPĆI DIO'!$C$3,'OPĆI DIO'!$L$6:$U$120,10,FALSE))</f>
        <v/>
      </c>
      <c r="B318" s="79" t="str">
        <f>IF(C318="","",VLOOKUP('OPĆI DIO'!$C$3,'OPĆI DIO'!$L$6:$U$120,9,FALSE))</f>
        <v/>
      </c>
      <c r="C318" s="84"/>
      <c r="D318" s="79" t="str">
        <f t="shared" si="0"/>
        <v/>
      </c>
      <c r="E318" s="84"/>
      <c r="F318" s="79" t="str">
        <f t="shared" si="1"/>
        <v/>
      </c>
      <c r="G318" s="84"/>
      <c r="H318" s="79" t="str">
        <f t="shared" si="42"/>
        <v/>
      </c>
      <c r="I318" s="79" t="str">
        <f t="shared" si="43"/>
        <v/>
      </c>
      <c r="J318" s="67"/>
      <c r="K318" s="67"/>
      <c r="L318" s="67"/>
      <c r="M318" s="68"/>
      <c r="N318" s="51"/>
      <c r="O318" s="51" t="str">
        <f t="shared" si="4"/>
        <v/>
      </c>
      <c r="P318" s="51" t="str">
        <f t="shared" si="5"/>
        <v/>
      </c>
      <c r="Q318" s="51" t="str">
        <f t="shared" si="6"/>
        <v/>
      </c>
      <c r="R318" s="51" t="str">
        <f t="shared" si="7"/>
        <v/>
      </c>
      <c r="S318" s="51"/>
      <c r="T318" s="51"/>
      <c r="U318" s="51"/>
      <c r="V318" s="51"/>
      <c r="W318" s="51"/>
      <c r="X318" s="51"/>
      <c r="Y318" s="82"/>
      <c r="Z318" s="51"/>
      <c r="AA318" s="51"/>
      <c r="AB318" s="51" t="s">
        <v>1369</v>
      </c>
      <c r="AC318" s="51" t="s">
        <v>1370</v>
      </c>
      <c r="AD318" s="51" t="s">
        <v>648</v>
      </c>
      <c r="AE318" s="51" t="s">
        <v>649</v>
      </c>
      <c r="AF318" s="51" t="s">
        <v>636</v>
      </c>
      <c r="AG318" s="51" t="s">
        <v>650</v>
      </c>
    </row>
    <row r="319" spans="1:33" ht="15.75" customHeight="1">
      <c r="A319" s="79" t="str">
        <f>IF(C319="","",VLOOKUP('OPĆI DIO'!$C$3,'OPĆI DIO'!$L$6:$U$120,10,FALSE))</f>
        <v/>
      </c>
      <c r="B319" s="79" t="str">
        <f>IF(C319="","",VLOOKUP('OPĆI DIO'!$C$3,'OPĆI DIO'!$L$6:$U$120,9,FALSE))</f>
        <v/>
      </c>
      <c r="C319" s="84"/>
      <c r="D319" s="79" t="str">
        <f t="shared" si="0"/>
        <v/>
      </c>
      <c r="E319" s="84"/>
      <c r="F319" s="79" t="str">
        <f t="shared" si="1"/>
        <v/>
      </c>
      <c r="G319" s="84"/>
      <c r="H319" s="79" t="str">
        <f t="shared" si="42"/>
        <v/>
      </c>
      <c r="I319" s="79" t="str">
        <f t="shared" si="43"/>
        <v/>
      </c>
      <c r="J319" s="67"/>
      <c r="K319" s="67"/>
      <c r="L319" s="67"/>
      <c r="M319" s="68"/>
      <c r="N319" s="51"/>
      <c r="O319" s="51" t="str">
        <f t="shared" si="4"/>
        <v/>
      </c>
      <c r="P319" s="51" t="str">
        <f t="shared" si="5"/>
        <v/>
      </c>
      <c r="Q319" s="51" t="str">
        <f t="shared" si="6"/>
        <v/>
      </c>
      <c r="R319" s="51" t="str">
        <f t="shared" si="7"/>
        <v/>
      </c>
      <c r="S319" s="51"/>
      <c r="T319" s="51"/>
      <c r="U319" s="51"/>
      <c r="V319" s="51"/>
      <c r="W319" s="51"/>
      <c r="X319" s="51"/>
      <c r="Y319" s="82"/>
      <c r="Z319" s="51"/>
      <c r="AA319" s="51"/>
      <c r="AB319" s="51" t="s">
        <v>1371</v>
      </c>
      <c r="AC319" s="51" t="s">
        <v>1372</v>
      </c>
      <c r="AD319" s="51" t="s">
        <v>648</v>
      </c>
      <c r="AE319" s="51" t="s">
        <v>649</v>
      </c>
      <c r="AF319" s="51" t="s">
        <v>636</v>
      </c>
      <c r="AG319" s="51" t="s">
        <v>650</v>
      </c>
    </row>
    <row r="320" spans="1:33" ht="15.75" customHeight="1">
      <c r="A320" s="79" t="str">
        <f>IF(C320="","",VLOOKUP('OPĆI DIO'!$C$3,'OPĆI DIO'!$L$6:$U$120,10,FALSE))</f>
        <v/>
      </c>
      <c r="B320" s="79" t="str">
        <f>IF(C320="","",VLOOKUP('OPĆI DIO'!$C$3,'OPĆI DIO'!$L$6:$U$120,9,FALSE))</f>
        <v/>
      </c>
      <c r="C320" s="84"/>
      <c r="D320" s="79" t="str">
        <f t="shared" si="0"/>
        <v/>
      </c>
      <c r="E320" s="84"/>
      <c r="F320" s="79" t="str">
        <f t="shared" si="1"/>
        <v/>
      </c>
      <c r="G320" s="84"/>
      <c r="H320" s="79" t="str">
        <f t="shared" si="42"/>
        <v/>
      </c>
      <c r="I320" s="79" t="str">
        <f t="shared" si="43"/>
        <v/>
      </c>
      <c r="J320" s="67"/>
      <c r="K320" s="67"/>
      <c r="L320" s="67"/>
      <c r="M320" s="68"/>
      <c r="N320" s="51"/>
      <c r="O320" s="51" t="str">
        <f t="shared" si="4"/>
        <v/>
      </c>
      <c r="P320" s="51" t="str">
        <f t="shared" si="5"/>
        <v/>
      </c>
      <c r="Q320" s="51" t="str">
        <f t="shared" si="6"/>
        <v/>
      </c>
      <c r="R320" s="51" t="str">
        <f t="shared" si="7"/>
        <v/>
      </c>
      <c r="S320" s="51"/>
      <c r="T320" s="51"/>
      <c r="U320" s="51"/>
      <c r="V320" s="51"/>
      <c r="W320" s="51"/>
      <c r="X320" s="51"/>
      <c r="Y320" s="82"/>
      <c r="Z320" s="51"/>
      <c r="AA320" s="51"/>
      <c r="AB320" s="51" t="s">
        <v>1373</v>
      </c>
      <c r="AC320" s="51" t="s">
        <v>1146</v>
      </c>
      <c r="AD320" s="51" t="s">
        <v>1041</v>
      </c>
      <c r="AE320" s="51" t="s">
        <v>1042</v>
      </c>
      <c r="AF320" s="51" t="s">
        <v>636</v>
      </c>
      <c r="AG320" s="51" t="s">
        <v>1043</v>
      </c>
    </row>
    <row r="321" spans="1:33" ht="15.75" customHeight="1">
      <c r="A321" s="79" t="str">
        <f>IF(C321="","",VLOOKUP('OPĆI DIO'!$C$3,'OPĆI DIO'!$L$6:$U$120,10,FALSE))</f>
        <v/>
      </c>
      <c r="B321" s="79" t="str">
        <f>IF(C321="","",VLOOKUP('OPĆI DIO'!$C$3,'OPĆI DIO'!$L$6:$U$120,9,FALSE))</f>
        <v/>
      </c>
      <c r="C321" s="84"/>
      <c r="D321" s="79" t="str">
        <f t="shared" si="0"/>
        <v/>
      </c>
      <c r="E321" s="84"/>
      <c r="F321" s="79" t="str">
        <f t="shared" si="1"/>
        <v/>
      </c>
      <c r="G321" s="84"/>
      <c r="H321" s="79" t="str">
        <f t="shared" si="42"/>
        <v/>
      </c>
      <c r="I321" s="79" t="str">
        <f t="shared" si="43"/>
        <v/>
      </c>
      <c r="J321" s="67"/>
      <c r="K321" s="67"/>
      <c r="L321" s="67"/>
      <c r="M321" s="68"/>
      <c r="N321" s="51"/>
      <c r="O321" s="51" t="str">
        <f t="shared" si="4"/>
        <v/>
      </c>
      <c r="P321" s="51" t="str">
        <f t="shared" si="5"/>
        <v/>
      </c>
      <c r="Q321" s="51" t="str">
        <f t="shared" si="6"/>
        <v/>
      </c>
      <c r="R321" s="51" t="str">
        <f t="shared" si="7"/>
        <v/>
      </c>
      <c r="S321" s="51"/>
      <c r="T321" s="51"/>
      <c r="U321" s="51"/>
      <c r="V321" s="51"/>
      <c r="W321" s="51"/>
      <c r="X321" s="51"/>
      <c r="Y321" s="82"/>
      <c r="Z321" s="51"/>
      <c r="AA321" s="51"/>
      <c r="AB321" s="51" t="s">
        <v>1374</v>
      </c>
      <c r="AC321" s="51" t="s">
        <v>1375</v>
      </c>
      <c r="AD321" s="51" t="s">
        <v>1041</v>
      </c>
      <c r="AE321" s="51" t="s">
        <v>1042</v>
      </c>
      <c r="AF321" s="51" t="s">
        <v>636</v>
      </c>
      <c r="AG321" s="51" t="s">
        <v>1043</v>
      </c>
    </row>
    <row r="322" spans="1:33" ht="15.75" customHeight="1">
      <c r="A322" s="79" t="str">
        <f>IF(C322="","",VLOOKUP('OPĆI DIO'!$C$3,'OPĆI DIO'!$L$6:$U$120,10,FALSE))</f>
        <v/>
      </c>
      <c r="B322" s="79" t="str">
        <f>IF(C322="","",VLOOKUP('OPĆI DIO'!$C$3,'OPĆI DIO'!$L$6:$U$120,9,FALSE))</f>
        <v/>
      </c>
      <c r="C322" s="84"/>
      <c r="D322" s="79" t="str">
        <f t="shared" si="0"/>
        <v/>
      </c>
      <c r="E322" s="84"/>
      <c r="F322" s="79" t="str">
        <f t="shared" si="1"/>
        <v/>
      </c>
      <c r="G322" s="84"/>
      <c r="H322" s="79" t="str">
        <f t="shared" si="42"/>
        <v/>
      </c>
      <c r="I322" s="79" t="str">
        <f t="shared" si="43"/>
        <v/>
      </c>
      <c r="J322" s="67"/>
      <c r="K322" s="67"/>
      <c r="L322" s="67"/>
      <c r="M322" s="68"/>
      <c r="N322" s="51"/>
      <c r="O322" s="51" t="str">
        <f t="shared" si="4"/>
        <v/>
      </c>
      <c r="P322" s="51" t="str">
        <f t="shared" si="5"/>
        <v/>
      </c>
      <c r="Q322" s="51" t="str">
        <f t="shared" si="6"/>
        <v/>
      </c>
      <c r="R322" s="51" t="str">
        <f t="shared" si="7"/>
        <v/>
      </c>
      <c r="S322" s="51"/>
      <c r="T322" s="51"/>
      <c r="U322" s="51"/>
      <c r="V322" s="51"/>
      <c r="W322" s="51"/>
      <c r="X322" s="51"/>
      <c r="Y322" s="82"/>
      <c r="Z322" s="51"/>
      <c r="AA322" s="51"/>
      <c r="AB322" s="51" t="s">
        <v>639</v>
      </c>
      <c r="AC322" s="51" t="s">
        <v>640</v>
      </c>
      <c r="AD322" s="51" t="s">
        <v>641</v>
      </c>
      <c r="AE322" s="51" t="s">
        <v>642</v>
      </c>
      <c r="AF322" s="51" t="s">
        <v>643</v>
      </c>
      <c r="AG322" s="51" t="s">
        <v>644</v>
      </c>
    </row>
    <row r="323" spans="1:33" ht="15.75" customHeight="1">
      <c r="A323" s="79" t="str">
        <f>IF(C323="","",VLOOKUP('OPĆI DIO'!$C$3,'OPĆI DIO'!$L$6:$U$120,10,FALSE))</f>
        <v/>
      </c>
      <c r="B323" s="79" t="str">
        <f>IF(C323="","",VLOOKUP('OPĆI DIO'!$C$3,'OPĆI DIO'!$L$6:$U$120,9,FALSE))</f>
        <v/>
      </c>
      <c r="C323" s="84"/>
      <c r="D323" s="79" t="str">
        <f t="shared" si="0"/>
        <v/>
      </c>
      <c r="E323" s="84"/>
      <c r="F323" s="79" t="str">
        <f t="shared" si="1"/>
        <v/>
      </c>
      <c r="G323" s="84"/>
      <c r="H323" s="79" t="str">
        <f t="shared" si="42"/>
        <v/>
      </c>
      <c r="I323" s="79" t="str">
        <f t="shared" si="43"/>
        <v/>
      </c>
      <c r="J323" s="67"/>
      <c r="K323" s="67"/>
      <c r="L323" s="67"/>
      <c r="M323" s="68"/>
      <c r="N323" s="51"/>
      <c r="O323" s="51" t="str">
        <f t="shared" si="4"/>
        <v/>
      </c>
      <c r="P323" s="51" t="str">
        <f t="shared" si="5"/>
        <v/>
      </c>
      <c r="Q323" s="51" t="str">
        <f t="shared" si="6"/>
        <v/>
      </c>
      <c r="R323" s="51" t="str">
        <f t="shared" si="7"/>
        <v/>
      </c>
      <c r="S323" s="51"/>
      <c r="T323" s="51"/>
      <c r="U323" s="51"/>
      <c r="V323" s="51"/>
      <c r="W323" s="51"/>
      <c r="X323" s="51"/>
      <c r="Y323" s="82"/>
      <c r="Z323" s="51"/>
      <c r="AA323" s="51"/>
      <c r="AB323" s="51" t="s">
        <v>729</v>
      </c>
      <c r="AC323" s="51" t="s">
        <v>730</v>
      </c>
      <c r="AD323" s="51" t="s">
        <v>641</v>
      </c>
      <c r="AE323" s="51" t="s">
        <v>642</v>
      </c>
      <c r="AF323" s="51" t="s">
        <v>643</v>
      </c>
      <c r="AG323" s="51" t="s">
        <v>644</v>
      </c>
    </row>
    <row r="324" spans="1:33" ht="15.75" customHeight="1">
      <c r="A324" s="79" t="str">
        <f>IF(C324="","",VLOOKUP('OPĆI DIO'!$C$3,'OPĆI DIO'!$L$6:$U$120,10,FALSE))</f>
        <v/>
      </c>
      <c r="B324" s="79" t="str">
        <f>IF(C324="","",VLOOKUP('OPĆI DIO'!$C$3,'OPĆI DIO'!$L$6:$U$120,9,FALSE))</f>
        <v/>
      </c>
      <c r="C324" s="84"/>
      <c r="D324" s="79" t="str">
        <f t="shared" si="0"/>
        <v/>
      </c>
      <c r="E324" s="84"/>
      <c r="F324" s="79" t="str">
        <f t="shared" si="1"/>
        <v/>
      </c>
      <c r="G324" s="84"/>
      <c r="H324" s="79" t="str">
        <f t="shared" si="42"/>
        <v/>
      </c>
      <c r="I324" s="79" t="str">
        <f t="shared" si="43"/>
        <v/>
      </c>
      <c r="J324" s="67"/>
      <c r="K324" s="67"/>
      <c r="L324" s="67"/>
      <c r="M324" s="68"/>
      <c r="N324" s="51"/>
      <c r="O324" s="51" t="str">
        <f t="shared" si="4"/>
        <v/>
      </c>
      <c r="P324" s="51" t="str">
        <f t="shared" si="5"/>
        <v/>
      </c>
      <c r="Q324" s="51" t="str">
        <f t="shared" si="6"/>
        <v/>
      </c>
      <c r="R324" s="51" t="str">
        <f t="shared" si="7"/>
        <v/>
      </c>
      <c r="S324" s="51"/>
      <c r="T324" s="51"/>
      <c r="U324" s="51"/>
      <c r="V324" s="51"/>
      <c r="W324" s="51"/>
      <c r="X324" s="51"/>
      <c r="Y324" s="82"/>
      <c r="Z324" s="51"/>
      <c r="AA324" s="51"/>
      <c r="AB324" s="51" t="s">
        <v>1376</v>
      </c>
      <c r="AC324" s="51" t="s">
        <v>1377</v>
      </c>
      <c r="AD324" s="51" t="s">
        <v>641</v>
      </c>
      <c r="AE324" s="51" t="s">
        <v>642</v>
      </c>
      <c r="AF324" s="51" t="s">
        <v>643</v>
      </c>
      <c r="AG324" s="51" t="s">
        <v>644</v>
      </c>
    </row>
    <row r="325" spans="1:33" ht="15.75" customHeight="1">
      <c r="A325" s="79" t="str">
        <f>IF(C325="","",VLOOKUP('OPĆI DIO'!$C$3,'OPĆI DIO'!$L$6:$U$120,10,FALSE))</f>
        <v/>
      </c>
      <c r="B325" s="79" t="str">
        <f>IF(C325="","",VLOOKUP('OPĆI DIO'!$C$3,'OPĆI DIO'!$L$6:$U$120,9,FALSE))</f>
        <v/>
      </c>
      <c r="C325" s="84"/>
      <c r="D325" s="79" t="str">
        <f t="shared" si="0"/>
        <v/>
      </c>
      <c r="E325" s="84"/>
      <c r="F325" s="79" t="str">
        <f t="shared" si="1"/>
        <v/>
      </c>
      <c r="G325" s="84"/>
      <c r="H325" s="79" t="str">
        <f t="shared" si="42"/>
        <v/>
      </c>
      <c r="I325" s="79" t="str">
        <f t="shared" si="43"/>
        <v/>
      </c>
      <c r="J325" s="67"/>
      <c r="K325" s="67"/>
      <c r="L325" s="67"/>
      <c r="M325" s="68"/>
      <c r="N325" s="51"/>
      <c r="O325" s="51" t="str">
        <f t="shared" si="4"/>
        <v/>
      </c>
      <c r="P325" s="51" t="str">
        <f t="shared" si="5"/>
        <v/>
      </c>
      <c r="Q325" s="51" t="str">
        <f t="shared" si="6"/>
        <v/>
      </c>
      <c r="R325" s="51" t="str">
        <f t="shared" si="7"/>
        <v/>
      </c>
      <c r="S325" s="51"/>
      <c r="T325" s="51"/>
      <c r="U325" s="51"/>
      <c r="V325" s="51"/>
      <c r="W325" s="51"/>
      <c r="X325" s="51"/>
      <c r="Y325" s="82"/>
      <c r="Z325" s="51"/>
      <c r="AA325" s="51"/>
      <c r="AB325" s="51" t="s">
        <v>1378</v>
      </c>
      <c r="AC325" s="51" t="s">
        <v>1379</v>
      </c>
      <c r="AD325" s="51" t="s">
        <v>641</v>
      </c>
      <c r="AE325" s="51" t="s">
        <v>642</v>
      </c>
      <c r="AF325" s="51" t="s">
        <v>643</v>
      </c>
      <c r="AG325" s="51" t="s">
        <v>644</v>
      </c>
    </row>
    <row r="326" spans="1:33" ht="15.75" customHeight="1">
      <c r="A326" s="79" t="str">
        <f>IF(C326="","",VLOOKUP('OPĆI DIO'!$C$3,'OPĆI DIO'!$L$6:$U$120,10,FALSE))</f>
        <v/>
      </c>
      <c r="B326" s="79" t="str">
        <f>IF(C326="","",VLOOKUP('OPĆI DIO'!$C$3,'OPĆI DIO'!$L$6:$U$120,9,FALSE))</f>
        <v/>
      </c>
      <c r="C326" s="84"/>
      <c r="D326" s="79" t="str">
        <f t="shared" si="0"/>
        <v/>
      </c>
      <c r="E326" s="84"/>
      <c r="F326" s="79" t="str">
        <f t="shared" si="1"/>
        <v/>
      </c>
      <c r="G326" s="84"/>
      <c r="H326" s="79" t="str">
        <f t="shared" si="42"/>
        <v/>
      </c>
      <c r="I326" s="79" t="str">
        <f t="shared" si="43"/>
        <v/>
      </c>
      <c r="J326" s="67"/>
      <c r="K326" s="67"/>
      <c r="L326" s="67"/>
      <c r="M326" s="68"/>
      <c r="N326" s="51"/>
      <c r="O326" s="51" t="str">
        <f t="shared" si="4"/>
        <v/>
      </c>
      <c r="P326" s="51" t="str">
        <f t="shared" si="5"/>
        <v/>
      </c>
      <c r="Q326" s="51" t="str">
        <f t="shared" si="6"/>
        <v/>
      </c>
      <c r="R326" s="51" t="str">
        <f t="shared" si="7"/>
        <v/>
      </c>
      <c r="S326" s="51"/>
      <c r="T326" s="51"/>
      <c r="U326" s="51"/>
      <c r="V326" s="51"/>
      <c r="W326" s="51"/>
      <c r="X326" s="51"/>
      <c r="Y326" s="82"/>
      <c r="Z326" s="51"/>
      <c r="AA326" s="51"/>
      <c r="AB326" s="51" t="s">
        <v>1380</v>
      </c>
      <c r="AC326" s="51" t="s">
        <v>1381</v>
      </c>
      <c r="AD326" s="51" t="s">
        <v>641</v>
      </c>
      <c r="AE326" s="51" t="s">
        <v>642</v>
      </c>
      <c r="AF326" s="51" t="s">
        <v>643</v>
      </c>
      <c r="AG326" s="51" t="s">
        <v>644</v>
      </c>
    </row>
    <row r="327" spans="1:33" ht="15.75" customHeight="1">
      <c r="A327" s="79" t="str">
        <f>IF(C327="","",VLOOKUP('OPĆI DIO'!$C$3,'OPĆI DIO'!$L$6:$U$120,10,FALSE))</f>
        <v/>
      </c>
      <c r="B327" s="79" t="str">
        <f>IF(C327="","",VLOOKUP('OPĆI DIO'!$C$3,'OPĆI DIO'!$L$6:$U$120,9,FALSE))</f>
        <v/>
      </c>
      <c r="C327" s="84"/>
      <c r="D327" s="79" t="str">
        <f t="shared" si="0"/>
        <v/>
      </c>
      <c r="E327" s="84"/>
      <c r="F327" s="79" t="str">
        <f t="shared" si="1"/>
        <v/>
      </c>
      <c r="G327" s="84"/>
      <c r="H327" s="79" t="str">
        <f t="shared" si="42"/>
        <v/>
      </c>
      <c r="I327" s="79" t="str">
        <f t="shared" si="43"/>
        <v/>
      </c>
      <c r="J327" s="67"/>
      <c r="K327" s="67"/>
      <c r="L327" s="67"/>
      <c r="M327" s="68"/>
      <c r="N327" s="51"/>
      <c r="O327" s="51" t="str">
        <f t="shared" si="4"/>
        <v/>
      </c>
      <c r="P327" s="51" t="str">
        <f t="shared" si="5"/>
        <v/>
      </c>
      <c r="Q327" s="51" t="str">
        <f t="shared" si="6"/>
        <v/>
      </c>
      <c r="R327" s="51" t="str">
        <f t="shared" si="7"/>
        <v/>
      </c>
      <c r="S327" s="51"/>
      <c r="T327" s="51"/>
      <c r="U327" s="51"/>
      <c r="V327" s="51"/>
      <c r="W327" s="51"/>
      <c r="X327" s="51"/>
      <c r="Y327" s="82"/>
      <c r="Z327" s="51"/>
      <c r="AA327" s="51"/>
      <c r="AB327" s="51" t="s">
        <v>823</v>
      </c>
      <c r="AC327" s="51" t="s">
        <v>824</v>
      </c>
      <c r="AD327" s="51" t="s">
        <v>641</v>
      </c>
      <c r="AE327" s="51" t="s">
        <v>642</v>
      </c>
      <c r="AF327" s="51" t="s">
        <v>643</v>
      </c>
      <c r="AG327" s="51" t="s">
        <v>644</v>
      </c>
    </row>
    <row r="328" spans="1:33" ht="15.75" customHeight="1">
      <c r="A328" s="79" t="str">
        <f>IF(C328="","",VLOOKUP('OPĆI DIO'!$C$3,'OPĆI DIO'!$L$6:$U$120,10,FALSE))</f>
        <v/>
      </c>
      <c r="B328" s="79" t="str">
        <f>IF(C328="","",VLOOKUP('OPĆI DIO'!$C$3,'OPĆI DIO'!$L$6:$U$120,9,FALSE))</f>
        <v/>
      </c>
      <c r="C328" s="84"/>
      <c r="D328" s="79" t="str">
        <f t="shared" si="0"/>
        <v/>
      </c>
      <c r="E328" s="84"/>
      <c r="F328" s="79" t="str">
        <f t="shared" si="1"/>
        <v/>
      </c>
      <c r="G328" s="84"/>
      <c r="H328" s="79" t="str">
        <f t="shared" si="42"/>
        <v/>
      </c>
      <c r="I328" s="79" t="str">
        <f t="shared" si="43"/>
        <v/>
      </c>
      <c r="J328" s="67"/>
      <c r="K328" s="67"/>
      <c r="L328" s="67"/>
      <c r="M328" s="68"/>
      <c r="N328" s="51"/>
      <c r="O328" s="51" t="str">
        <f t="shared" si="4"/>
        <v/>
      </c>
      <c r="P328" s="51" t="str">
        <f t="shared" si="5"/>
        <v/>
      </c>
      <c r="Q328" s="51" t="str">
        <f t="shared" si="6"/>
        <v/>
      </c>
      <c r="R328" s="51" t="str">
        <f t="shared" si="7"/>
        <v/>
      </c>
      <c r="S328" s="51"/>
      <c r="T328" s="51"/>
      <c r="U328" s="51"/>
      <c r="V328" s="51"/>
      <c r="W328" s="51"/>
      <c r="X328" s="51"/>
      <c r="Y328" s="82"/>
      <c r="Z328" s="51"/>
      <c r="AA328" s="51"/>
      <c r="AB328" s="51" t="s">
        <v>905</v>
      </c>
      <c r="AC328" s="51" t="s">
        <v>906</v>
      </c>
      <c r="AD328" s="51" t="s">
        <v>641</v>
      </c>
      <c r="AE328" s="51" t="s">
        <v>642</v>
      </c>
      <c r="AF328" s="51" t="s">
        <v>643</v>
      </c>
      <c r="AG328" s="51" t="s">
        <v>644</v>
      </c>
    </row>
    <row r="329" spans="1:33" ht="15.75" customHeight="1">
      <c r="A329" s="79" t="str">
        <f>IF(C329="","",VLOOKUP('OPĆI DIO'!$C$3,'OPĆI DIO'!$L$6:$U$120,10,FALSE))</f>
        <v/>
      </c>
      <c r="B329" s="79" t="str">
        <f>IF(C329="","",VLOOKUP('OPĆI DIO'!$C$3,'OPĆI DIO'!$L$6:$U$120,9,FALSE))</f>
        <v/>
      </c>
      <c r="C329" s="84"/>
      <c r="D329" s="79" t="str">
        <f t="shared" si="0"/>
        <v/>
      </c>
      <c r="E329" s="84"/>
      <c r="F329" s="79" t="str">
        <f t="shared" si="1"/>
        <v/>
      </c>
      <c r="G329" s="84"/>
      <c r="H329" s="79" t="str">
        <f t="shared" si="42"/>
        <v/>
      </c>
      <c r="I329" s="79" t="str">
        <f t="shared" si="43"/>
        <v/>
      </c>
      <c r="J329" s="67"/>
      <c r="K329" s="67"/>
      <c r="L329" s="67"/>
      <c r="M329" s="68"/>
      <c r="N329" s="51"/>
      <c r="O329" s="51" t="str">
        <f t="shared" si="4"/>
        <v/>
      </c>
      <c r="P329" s="51" t="str">
        <f t="shared" si="5"/>
        <v/>
      </c>
      <c r="Q329" s="51" t="str">
        <f t="shared" si="6"/>
        <v/>
      </c>
      <c r="R329" s="51" t="str">
        <f t="shared" si="7"/>
        <v/>
      </c>
      <c r="S329" s="51"/>
      <c r="T329" s="51"/>
      <c r="U329" s="51"/>
      <c r="V329" s="51"/>
      <c r="W329" s="51"/>
      <c r="X329" s="51"/>
      <c r="Y329" s="82"/>
      <c r="Z329" s="51"/>
      <c r="AA329" s="51"/>
      <c r="AB329" s="51" t="s">
        <v>1382</v>
      </c>
      <c r="AC329" s="51" t="s">
        <v>1383</v>
      </c>
      <c r="AD329" s="51" t="s">
        <v>641</v>
      </c>
      <c r="AE329" s="51" t="s">
        <v>642</v>
      </c>
      <c r="AF329" s="51" t="s">
        <v>643</v>
      </c>
      <c r="AG329" s="51" t="s">
        <v>644</v>
      </c>
    </row>
    <row r="330" spans="1:33" ht="15.75" customHeight="1">
      <c r="A330" s="79" t="str">
        <f>IF(C330="","",VLOOKUP('OPĆI DIO'!$C$3,'OPĆI DIO'!$L$6:$U$120,10,FALSE))</f>
        <v/>
      </c>
      <c r="B330" s="79" t="str">
        <f>IF(C330="","",VLOOKUP('OPĆI DIO'!$C$3,'OPĆI DIO'!$L$6:$U$120,9,FALSE))</f>
        <v/>
      </c>
      <c r="C330" s="84"/>
      <c r="D330" s="79" t="str">
        <f t="shared" si="0"/>
        <v/>
      </c>
      <c r="E330" s="84"/>
      <c r="F330" s="79" t="str">
        <f t="shared" si="1"/>
        <v/>
      </c>
      <c r="G330" s="84"/>
      <c r="H330" s="79" t="str">
        <f t="shared" si="42"/>
        <v/>
      </c>
      <c r="I330" s="79" t="str">
        <f t="shared" si="43"/>
        <v/>
      </c>
      <c r="J330" s="67"/>
      <c r="K330" s="67"/>
      <c r="L330" s="67"/>
      <c r="M330" s="68"/>
      <c r="N330" s="51"/>
      <c r="O330" s="51" t="str">
        <f t="shared" si="4"/>
        <v/>
      </c>
      <c r="P330" s="51" t="str">
        <f t="shared" si="5"/>
        <v/>
      </c>
      <c r="Q330" s="51" t="str">
        <f t="shared" si="6"/>
        <v/>
      </c>
      <c r="R330" s="51" t="str">
        <f t="shared" si="7"/>
        <v/>
      </c>
      <c r="S330" s="51"/>
      <c r="T330" s="51"/>
      <c r="U330" s="51"/>
      <c r="V330" s="51"/>
      <c r="W330" s="51"/>
      <c r="X330" s="51"/>
      <c r="Y330" s="82"/>
      <c r="Z330" s="51"/>
      <c r="AA330" s="51"/>
      <c r="AB330" s="51" t="s">
        <v>1384</v>
      </c>
      <c r="AC330" s="51" t="s">
        <v>1385</v>
      </c>
      <c r="AD330" s="51" t="s">
        <v>641</v>
      </c>
      <c r="AE330" s="51" t="s">
        <v>642</v>
      </c>
      <c r="AF330" s="51" t="s">
        <v>643</v>
      </c>
      <c r="AG330" s="51" t="s">
        <v>644</v>
      </c>
    </row>
    <row r="331" spans="1:33" ht="15.75" customHeight="1">
      <c r="A331" s="79" t="str">
        <f>IF(C331="","",VLOOKUP('OPĆI DIO'!$C$3,'OPĆI DIO'!$L$6:$U$120,10,FALSE))</f>
        <v/>
      </c>
      <c r="B331" s="79" t="str">
        <f>IF(C331="","",VLOOKUP('OPĆI DIO'!$C$3,'OPĆI DIO'!$L$6:$U$120,9,FALSE))</f>
        <v/>
      </c>
      <c r="C331" s="84"/>
      <c r="D331" s="79" t="str">
        <f t="shared" si="0"/>
        <v/>
      </c>
      <c r="E331" s="84"/>
      <c r="F331" s="79" t="str">
        <f t="shared" si="1"/>
        <v/>
      </c>
      <c r="G331" s="84"/>
      <c r="H331" s="79" t="str">
        <f t="shared" si="42"/>
        <v/>
      </c>
      <c r="I331" s="79" t="str">
        <f t="shared" si="43"/>
        <v/>
      </c>
      <c r="J331" s="67"/>
      <c r="K331" s="67"/>
      <c r="L331" s="67"/>
      <c r="M331" s="68"/>
      <c r="N331" s="51"/>
      <c r="O331" s="51" t="str">
        <f t="shared" si="4"/>
        <v/>
      </c>
      <c r="P331" s="51" t="str">
        <f t="shared" si="5"/>
        <v/>
      </c>
      <c r="Q331" s="51" t="str">
        <f t="shared" si="6"/>
        <v/>
      </c>
      <c r="R331" s="51" t="str">
        <f t="shared" si="7"/>
        <v/>
      </c>
      <c r="S331" s="51"/>
      <c r="T331" s="51"/>
      <c r="U331" s="51"/>
      <c r="V331" s="51"/>
      <c r="W331" s="51"/>
      <c r="X331" s="51"/>
      <c r="Y331" s="82"/>
      <c r="Z331" s="51"/>
      <c r="AA331" s="51"/>
      <c r="AB331" s="51" t="s">
        <v>1386</v>
      </c>
      <c r="AC331" s="51" t="s">
        <v>1387</v>
      </c>
      <c r="AD331" s="51" t="s">
        <v>641</v>
      </c>
      <c r="AE331" s="51" t="s">
        <v>642</v>
      </c>
      <c r="AF331" s="51" t="s">
        <v>643</v>
      </c>
      <c r="AG331" s="51" t="s">
        <v>644</v>
      </c>
    </row>
    <row r="332" spans="1:33" ht="15.75" customHeight="1">
      <c r="A332" s="79" t="str">
        <f>IF(C332="","",VLOOKUP('OPĆI DIO'!$C$3,'OPĆI DIO'!$L$6:$U$120,10,FALSE))</f>
        <v/>
      </c>
      <c r="B332" s="79" t="str">
        <f>IF(C332="","",VLOOKUP('OPĆI DIO'!$C$3,'OPĆI DIO'!$L$6:$U$120,9,FALSE))</f>
        <v/>
      </c>
      <c r="C332" s="84"/>
      <c r="D332" s="79" t="str">
        <f t="shared" si="0"/>
        <v/>
      </c>
      <c r="E332" s="84"/>
      <c r="F332" s="79" t="str">
        <f t="shared" si="1"/>
        <v/>
      </c>
      <c r="G332" s="84"/>
      <c r="H332" s="79" t="str">
        <f t="shared" si="42"/>
        <v/>
      </c>
      <c r="I332" s="79" t="str">
        <f t="shared" si="43"/>
        <v/>
      </c>
      <c r="J332" s="67"/>
      <c r="K332" s="67"/>
      <c r="L332" s="67"/>
      <c r="M332" s="68"/>
      <c r="N332" s="51"/>
      <c r="O332" s="51" t="str">
        <f t="shared" si="4"/>
        <v/>
      </c>
      <c r="P332" s="51" t="str">
        <f t="shared" si="5"/>
        <v/>
      </c>
      <c r="Q332" s="51" t="str">
        <f t="shared" si="6"/>
        <v/>
      </c>
      <c r="R332" s="51" t="str">
        <f t="shared" si="7"/>
        <v/>
      </c>
      <c r="S332" s="51"/>
      <c r="T332" s="51"/>
      <c r="U332" s="51"/>
      <c r="V332" s="51"/>
      <c r="W332" s="51"/>
      <c r="X332" s="51"/>
      <c r="Y332" s="82"/>
      <c r="Z332" s="51"/>
      <c r="AA332" s="51"/>
      <c r="AB332" s="51" t="s">
        <v>1388</v>
      </c>
      <c r="AC332" s="51" t="s">
        <v>1146</v>
      </c>
      <c r="AD332" s="51" t="s">
        <v>641</v>
      </c>
      <c r="AE332" s="51" t="s">
        <v>642</v>
      </c>
      <c r="AF332" s="51" t="s">
        <v>643</v>
      </c>
      <c r="AG332" s="51" t="s">
        <v>644</v>
      </c>
    </row>
    <row r="333" spans="1:33" ht="15.75" customHeight="1">
      <c r="A333" s="79" t="str">
        <f>IF(C333="","",VLOOKUP('OPĆI DIO'!$C$3,'OPĆI DIO'!$L$6:$U$120,10,FALSE))</f>
        <v/>
      </c>
      <c r="B333" s="79" t="str">
        <f>IF(C333="","",VLOOKUP('OPĆI DIO'!$C$3,'OPĆI DIO'!$L$6:$U$120,9,FALSE))</f>
        <v/>
      </c>
      <c r="C333" s="84"/>
      <c r="D333" s="79" t="str">
        <f t="shared" si="0"/>
        <v/>
      </c>
      <c r="E333" s="84"/>
      <c r="F333" s="79" t="str">
        <f t="shared" si="1"/>
        <v/>
      </c>
      <c r="G333" s="84"/>
      <c r="H333" s="79" t="str">
        <f t="shared" si="42"/>
        <v/>
      </c>
      <c r="I333" s="79" t="str">
        <f t="shared" si="43"/>
        <v/>
      </c>
      <c r="J333" s="67"/>
      <c r="K333" s="67"/>
      <c r="L333" s="67"/>
      <c r="M333" s="68"/>
      <c r="N333" s="51"/>
      <c r="O333" s="51" t="str">
        <f t="shared" si="4"/>
        <v/>
      </c>
      <c r="P333" s="51" t="str">
        <f t="shared" si="5"/>
        <v/>
      </c>
      <c r="Q333" s="51" t="str">
        <f t="shared" si="6"/>
        <v/>
      </c>
      <c r="R333" s="51" t="str">
        <f t="shared" si="7"/>
        <v/>
      </c>
      <c r="S333" s="51"/>
      <c r="T333" s="51"/>
      <c r="U333" s="51"/>
      <c r="V333" s="51"/>
      <c r="W333" s="51"/>
      <c r="X333" s="51"/>
      <c r="Y333" s="82"/>
      <c r="Z333" s="51"/>
      <c r="AA333" s="51"/>
      <c r="AB333" s="51"/>
      <c r="AC333" s="51"/>
      <c r="AD333" s="51"/>
      <c r="AE333" s="51"/>
      <c r="AF333" s="51"/>
      <c r="AG333" s="51"/>
    </row>
    <row r="334" spans="1:33" ht="15.75" customHeight="1">
      <c r="A334" s="79" t="str">
        <f>IF(C334="","",VLOOKUP('OPĆI DIO'!$C$3,'OPĆI DIO'!$L$6:$U$120,10,FALSE))</f>
        <v/>
      </c>
      <c r="B334" s="79" t="str">
        <f>IF(C334="","",VLOOKUP('OPĆI DIO'!$C$3,'OPĆI DIO'!$L$6:$U$120,9,FALSE))</f>
        <v/>
      </c>
      <c r="C334" s="84"/>
      <c r="D334" s="79" t="str">
        <f t="shared" si="0"/>
        <v/>
      </c>
      <c r="E334" s="84"/>
      <c r="F334" s="79" t="str">
        <f t="shared" si="1"/>
        <v/>
      </c>
      <c r="G334" s="84"/>
      <c r="H334" s="79" t="str">
        <f t="shared" si="42"/>
        <v/>
      </c>
      <c r="I334" s="79" t="str">
        <f t="shared" si="43"/>
        <v/>
      </c>
      <c r="J334" s="67"/>
      <c r="K334" s="67"/>
      <c r="L334" s="67"/>
      <c r="M334" s="68"/>
      <c r="N334" s="51"/>
      <c r="O334" s="51" t="str">
        <f t="shared" si="4"/>
        <v/>
      </c>
      <c r="P334" s="51" t="str">
        <f t="shared" si="5"/>
        <v/>
      </c>
      <c r="Q334" s="51" t="str">
        <f t="shared" si="6"/>
        <v/>
      </c>
      <c r="R334" s="51" t="str">
        <f t="shared" si="7"/>
        <v/>
      </c>
      <c r="S334" s="51"/>
      <c r="T334" s="51"/>
      <c r="U334" s="51"/>
      <c r="V334" s="51"/>
      <c r="W334" s="51"/>
      <c r="X334" s="51"/>
      <c r="Y334" s="82"/>
      <c r="Z334" s="51"/>
      <c r="AA334" s="51"/>
      <c r="AB334" s="51"/>
      <c r="AC334" s="51"/>
      <c r="AD334" s="51"/>
      <c r="AE334" s="51"/>
      <c r="AF334" s="51"/>
      <c r="AG334" s="51"/>
    </row>
    <row r="335" spans="1:33" ht="15.75" customHeight="1">
      <c r="A335" s="79" t="str">
        <f>IF(C335="","",VLOOKUP('OPĆI DIO'!$C$3,'OPĆI DIO'!$L$6:$U$120,10,FALSE))</f>
        <v/>
      </c>
      <c r="B335" s="79" t="str">
        <f>IF(C335="","",VLOOKUP('OPĆI DIO'!$C$3,'OPĆI DIO'!$L$6:$U$120,9,FALSE))</f>
        <v/>
      </c>
      <c r="C335" s="84"/>
      <c r="D335" s="79" t="str">
        <f t="shared" si="0"/>
        <v/>
      </c>
      <c r="E335" s="84"/>
      <c r="F335" s="79" t="str">
        <f t="shared" si="1"/>
        <v/>
      </c>
      <c r="G335" s="84"/>
      <c r="H335" s="79" t="str">
        <f t="shared" si="42"/>
        <v/>
      </c>
      <c r="I335" s="79" t="str">
        <f t="shared" si="43"/>
        <v/>
      </c>
      <c r="J335" s="67"/>
      <c r="K335" s="67"/>
      <c r="L335" s="67"/>
      <c r="M335" s="68"/>
      <c r="N335" s="51"/>
      <c r="O335" s="51" t="str">
        <f t="shared" si="4"/>
        <v/>
      </c>
      <c r="P335" s="51" t="str">
        <f t="shared" si="5"/>
        <v/>
      </c>
      <c r="Q335" s="51" t="str">
        <f t="shared" si="6"/>
        <v/>
      </c>
      <c r="R335" s="51" t="str">
        <f t="shared" si="7"/>
        <v/>
      </c>
      <c r="S335" s="51"/>
      <c r="T335" s="51"/>
      <c r="U335" s="51"/>
      <c r="V335" s="51"/>
      <c r="W335" s="51"/>
      <c r="X335" s="51"/>
      <c r="Y335" s="82"/>
      <c r="Z335" s="51"/>
      <c r="AA335" s="51"/>
      <c r="AB335" s="51"/>
      <c r="AC335" s="51"/>
      <c r="AD335" s="51"/>
      <c r="AE335" s="51"/>
      <c r="AF335" s="51"/>
      <c r="AG335" s="51"/>
    </row>
    <row r="336" spans="1:33" ht="15.75" customHeight="1">
      <c r="A336" s="79" t="str">
        <f>IF(C336="","",VLOOKUP('OPĆI DIO'!$C$3,'OPĆI DIO'!$L$6:$U$120,10,FALSE))</f>
        <v/>
      </c>
      <c r="B336" s="79" t="str">
        <f>IF(C336="","",VLOOKUP('OPĆI DIO'!$C$3,'OPĆI DIO'!$L$6:$U$120,9,FALSE))</f>
        <v/>
      </c>
      <c r="C336" s="84"/>
      <c r="D336" s="79" t="str">
        <f t="shared" si="0"/>
        <v/>
      </c>
      <c r="E336" s="84"/>
      <c r="F336" s="79" t="str">
        <f t="shared" si="1"/>
        <v/>
      </c>
      <c r="G336" s="84"/>
      <c r="H336" s="79" t="str">
        <f t="shared" si="42"/>
        <v/>
      </c>
      <c r="I336" s="79" t="str">
        <f t="shared" si="43"/>
        <v/>
      </c>
      <c r="J336" s="67"/>
      <c r="K336" s="67"/>
      <c r="L336" s="67"/>
      <c r="M336" s="68"/>
      <c r="N336" s="51"/>
      <c r="O336" s="51" t="str">
        <f t="shared" si="4"/>
        <v/>
      </c>
      <c r="P336" s="51" t="str">
        <f t="shared" si="5"/>
        <v/>
      </c>
      <c r="Q336" s="51" t="str">
        <f t="shared" si="6"/>
        <v/>
      </c>
      <c r="R336" s="51" t="str">
        <f t="shared" si="7"/>
        <v/>
      </c>
      <c r="S336" s="51"/>
      <c r="T336" s="51"/>
      <c r="U336" s="51"/>
      <c r="V336" s="51"/>
      <c r="W336" s="51"/>
      <c r="X336" s="51"/>
      <c r="Y336" s="82"/>
      <c r="Z336" s="51"/>
      <c r="AA336" s="51"/>
      <c r="AB336" s="51"/>
      <c r="AC336" s="51"/>
      <c r="AD336" s="51"/>
      <c r="AE336" s="51"/>
      <c r="AF336" s="51"/>
      <c r="AG336" s="51"/>
    </row>
    <row r="337" spans="1:33" ht="15.75" customHeight="1">
      <c r="A337" s="79" t="str">
        <f>IF(C337="","",VLOOKUP('OPĆI DIO'!$C$3,'OPĆI DIO'!$L$6:$U$120,10,FALSE))</f>
        <v/>
      </c>
      <c r="B337" s="79" t="str">
        <f>IF(C337="","",VLOOKUP('OPĆI DIO'!$C$3,'OPĆI DIO'!$L$6:$U$120,9,FALSE))</f>
        <v/>
      </c>
      <c r="C337" s="84"/>
      <c r="D337" s="79" t="str">
        <f t="shared" si="0"/>
        <v/>
      </c>
      <c r="E337" s="84"/>
      <c r="F337" s="79" t="str">
        <f t="shared" si="1"/>
        <v/>
      </c>
      <c r="G337" s="84"/>
      <c r="H337" s="79" t="str">
        <f t="shared" si="42"/>
        <v/>
      </c>
      <c r="I337" s="79" t="str">
        <f t="shared" si="43"/>
        <v/>
      </c>
      <c r="J337" s="67"/>
      <c r="K337" s="67"/>
      <c r="L337" s="67"/>
      <c r="M337" s="68"/>
      <c r="N337" s="51"/>
      <c r="O337" s="51" t="str">
        <f t="shared" si="4"/>
        <v/>
      </c>
      <c r="P337" s="51" t="str">
        <f t="shared" si="5"/>
        <v/>
      </c>
      <c r="Q337" s="51" t="str">
        <f t="shared" si="6"/>
        <v/>
      </c>
      <c r="R337" s="51" t="str">
        <f t="shared" si="7"/>
        <v/>
      </c>
      <c r="S337" s="51"/>
      <c r="T337" s="51"/>
      <c r="U337" s="51"/>
      <c r="V337" s="51"/>
      <c r="W337" s="51"/>
      <c r="X337" s="51"/>
      <c r="Y337" s="82"/>
      <c r="Z337" s="51"/>
      <c r="AA337" s="51"/>
      <c r="AB337" s="51"/>
      <c r="AC337" s="51"/>
      <c r="AD337" s="51"/>
      <c r="AE337" s="51"/>
      <c r="AF337" s="51"/>
      <c r="AG337" s="51"/>
    </row>
    <row r="338" spans="1:33" ht="15.75" customHeight="1">
      <c r="A338" s="79" t="str">
        <f>IF(C338="","",VLOOKUP('OPĆI DIO'!$C$3,'OPĆI DIO'!$L$6:$U$120,10,FALSE))</f>
        <v/>
      </c>
      <c r="B338" s="79" t="str">
        <f>IF(C338="","",VLOOKUP('OPĆI DIO'!$C$3,'OPĆI DIO'!$L$6:$U$120,9,FALSE))</f>
        <v/>
      </c>
      <c r="C338" s="84"/>
      <c r="D338" s="79" t="str">
        <f t="shared" si="0"/>
        <v/>
      </c>
      <c r="E338" s="84"/>
      <c r="F338" s="79" t="str">
        <f t="shared" si="1"/>
        <v/>
      </c>
      <c r="G338" s="84"/>
      <c r="H338" s="79" t="str">
        <f t="shared" si="42"/>
        <v/>
      </c>
      <c r="I338" s="79" t="str">
        <f t="shared" si="43"/>
        <v/>
      </c>
      <c r="J338" s="67"/>
      <c r="K338" s="67"/>
      <c r="L338" s="67"/>
      <c r="M338" s="68"/>
      <c r="N338" s="51"/>
      <c r="O338" s="51" t="str">
        <f t="shared" si="4"/>
        <v/>
      </c>
      <c r="P338" s="51" t="str">
        <f t="shared" si="5"/>
        <v/>
      </c>
      <c r="Q338" s="51" t="str">
        <f t="shared" si="6"/>
        <v/>
      </c>
      <c r="R338" s="51" t="str">
        <f t="shared" si="7"/>
        <v/>
      </c>
      <c r="S338" s="51"/>
      <c r="T338" s="51"/>
      <c r="U338" s="51"/>
      <c r="V338" s="51"/>
      <c r="W338" s="51"/>
      <c r="X338" s="51"/>
      <c r="Y338" s="82"/>
      <c r="Z338" s="51"/>
      <c r="AA338" s="51"/>
      <c r="AB338" s="51"/>
      <c r="AC338" s="51"/>
      <c r="AD338" s="51"/>
      <c r="AE338" s="51"/>
      <c r="AF338" s="51"/>
      <c r="AG338" s="51"/>
    </row>
    <row r="339" spans="1:33" ht="15.75" customHeight="1">
      <c r="A339" s="79" t="str">
        <f>IF(C339="","",VLOOKUP('OPĆI DIO'!$C$3,'OPĆI DIO'!$L$6:$U$120,10,FALSE))</f>
        <v/>
      </c>
      <c r="B339" s="79" t="str">
        <f>IF(C339="","",VLOOKUP('OPĆI DIO'!$C$3,'OPĆI DIO'!$L$6:$U$120,9,FALSE))</f>
        <v/>
      </c>
      <c r="C339" s="84"/>
      <c r="D339" s="79" t="str">
        <f t="shared" si="0"/>
        <v/>
      </c>
      <c r="E339" s="84"/>
      <c r="F339" s="79" t="str">
        <f t="shared" si="1"/>
        <v/>
      </c>
      <c r="G339" s="84"/>
      <c r="H339" s="79" t="str">
        <f t="shared" si="42"/>
        <v/>
      </c>
      <c r="I339" s="79" t="str">
        <f t="shared" si="43"/>
        <v/>
      </c>
      <c r="J339" s="67"/>
      <c r="K339" s="67"/>
      <c r="L339" s="67"/>
      <c r="M339" s="68"/>
      <c r="N339" s="51"/>
      <c r="O339" s="51" t="str">
        <f t="shared" si="4"/>
        <v/>
      </c>
      <c r="P339" s="51" t="str">
        <f t="shared" si="5"/>
        <v/>
      </c>
      <c r="Q339" s="51" t="str">
        <f t="shared" si="6"/>
        <v/>
      </c>
      <c r="R339" s="51" t="str">
        <f t="shared" si="7"/>
        <v/>
      </c>
      <c r="S339" s="51"/>
      <c r="T339" s="51"/>
      <c r="U339" s="51"/>
      <c r="V339" s="51"/>
      <c r="W339" s="51"/>
      <c r="X339" s="51"/>
      <c r="Y339" s="82"/>
      <c r="Z339" s="51"/>
      <c r="AA339" s="51"/>
      <c r="AB339" s="51"/>
      <c r="AC339" s="51"/>
      <c r="AD339" s="51"/>
      <c r="AE339" s="51"/>
      <c r="AF339" s="51"/>
      <c r="AG339" s="51"/>
    </row>
    <row r="340" spans="1:33" ht="15.75" customHeight="1">
      <c r="A340" s="79" t="str">
        <f>IF(C340="","",VLOOKUP('OPĆI DIO'!$C$3,'OPĆI DIO'!$L$6:$U$120,10,FALSE))</f>
        <v/>
      </c>
      <c r="B340" s="79" t="str">
        <f>IF(C340="","",VLOOKUP('OPĆI DIO'!$C$3,'OPĆI DIO'!$L$6:$U$120,9,FALSE))</f>
        <v/>
      </c>
      <c r="C340" s="84"/>
      <c r="D340" s="79" t="str">
        <f t="shared" si="0"/>
        <v/>
      </c>
      <c r="E340" s="84"/>
      <c r="F340" s="79" t="str">
        <f t="shared" si="1"/>
        <v/>
      </c>
      <c r="G340" s="84"/>
      <c r="H340" s="79" t="str">
        <f t="shared" si="42"/>
        <v/>
      </c>
      <c r="I340" s="79" t="str">
        <f t="shared" si="43"/>
        <v/>
      </c>
      <c r="J340" s="67"/>
      <c r="K340" s="67"/>
      <c r="L340" s="67"/>
      <c r="M340" s="68"/>
      <c r="N340" s="51"/>
      <c r="O340" s="51" t="str">
        <f t="shared" si="4"/>
        <v/>
      </c>
      <c r="P340" s="51" t="str">
        <f t="shared" si="5"/>
        <v/>
      </c>
      <c r="Q340" s="51" t="str">
        <f t="shared" si="6"/>
        <v/>
      </c>
      <c r="R340" s="51" t="str">
        <f t="shared" si="7"/>
        <v/>
      </c>
      <c r="S340" s="51"/>
      <c r="T340" s="51"/>
      <c r="U340" s="51"/>
      <c r="V340" s="51"/>
      <c r="W340" s="51"/>
      <c r="X340" s="51"/>
      <c r="Y340" s="82"/>
      <c r="Z340" s="51"/>
      <c r="AA340" s="51"/>
      <c r="AB340" s="51"/>
      <c r="AC340" s="51"/>
      <c r="AD340" s="51"/>
      <c r="AE340" s="51"/>
      <c r="AF340" s="51"/>
      <c r="AG340" s="51"/>
    </row>
    <row r="341" spans="1:33" ht="15.75" customHeight="1">
      <c r="A341" s="79" t="str">
        <f>IF(C341="","",VLOOKUP('OPĆI DIO'!$C$3,'OPĆI DIO'!$L$6:$U$120,10,FALSE))</f>
        <v/>
      </c>
      <c r="B341" s="79" t="str">
        <f>IF(C341="","",VLOOKUP('OPĆI DIO'!$C$3,'OPĆI DIO'!$L$6:$U$120,9,FALSE))</f>
        <v/>
      </c>
      <c r="C341" s="84"/>
      <c r="D341" s="79" t="str">
        <f t="shared" si="0"/>
        <v/>
      </c>
      <c r="E341" s="84"/>
      <c r="F341" s="79" t="str">
        <f t="shared" si="1"/>
        <v/>
      </c>
      <c r="G341" s="84"/>
      <c r="H341" s="79" t="str">
        <f t="shared" si="42"/>
        <v/>
      </c>
      <c r="I341" s="79" t="str">
        <f t="shared" si="43"/>
        <v/>
      </c>
      <c r="J341" s="67"/>
      <c r="K341" s="67"/>
      <c r="L341" s="67"/>
      <c r="M341" s="68"/>
      <c r="N341" s="51"/>
      <c r="O341" s="51" t="str">
        <f t="shared" si="4"/>
        <v/>
      </c>
      <c r="P341" s="51" t="str">
        <f t="shared" si="5"/>
        <v/>
      </c>
      <c r="Q341" s="51" t="str">
        <f t="shared" si="6"/>
        <v/>
      </c>
      <c r="R341" s="51" t="str">
        <f t="shared" si="7"/>
        <v/>
      </c>
      <c r="S341" s="51"/>
      <c r="T341" s="51"/>
      <c r="U341" s="51"/>
      <c r="V341" s="51"/>
      <c r="W341" s="51"/>
      <c r="X341" s="51"/>
      <c r="Y341" s="82"/>
      <c r="Z341" s="51"/>
      <c r="AA341" s="51"/>
      <c r="AB341" s="51"/>
      <c r="AC341" s="51"/>
      <c r="AD341" s="51"/>
      <c r="AE341" s="51"/>
      <c r="AF341" s="51"/>
      <c r="AG341" s="51"/>
    </row>
    <row r="342" spans="1:33" ht="15.75" customHeight="1">
      <c r="A342" s="79" t="str">
        <f>IF(C342="","",VLOOKUP('OPĆI DIO'!$C$3,'OPĆI DIO'!$L$6:$U$120,10,FALSE))</f>
        <v/>
      </c>
      <c r="B342" s="79" t="str">
        <f>IF(C342="","",VLOOKUP('OPĆI DIO'!$C$3,'OPĆI DIO'!$L$6:$U$120,9,FALSE))</f>
        <v/>
      </c>
      <c r="C342" s="84"/>
      <c r="D342" s="79" t="str">
        <f t="shared" si="0"/>
        <v/>
      </c>
      <c r="E342" s="84"/>
      <c r="F342" s="79" t="str">
        <f t="shared" si="1"/>
        <v/>
      </c>
      <c r="G342" s="84"/>
      <c r="H342" s="79" t="str">
        <f t="shared" si="42"/>
        <v/>
      </c>
      <c r="I342" s="79" t="str">
        <f t="shared" si="43"/>
        <v/>
      </c>
      <c r="J342" s="67"/>
      <c r="K342" s="67"/>
      <c r="L342" s="67"/>
      <c r="M342" s="68"/>
      <c r="N342" s="51"/>
      <c r="O342" s="51" t="str">
        <f t="shared" si="4"/>
        <v/>
      </c>
      <c r="P342" s="51" t="str">
        <f t="shared" si="5"/>
        <v/>
      </c>
      <c r="Q342" s="51" t="str">
        <f t="shared" si="6"/>
        <v/>
      </c>
      <c r="R342" s="51" t="str">
        <f t="shared" si="7"/>
        <v/>
      </c>
      <c r="S342" s="51"/>
      <c r="T342" s="51"/>
      <c r="U342" s="51"/>
      <c r="V342" s="51"/>
      <c r="W342" s="51"/>
      <c r="X342" s="51"/>
      <c r="Y342" s="82"/>
      <c r="Z342" s="51"/>
      <c r="AA342" s="51"/>
      <c r="AB342" s="51"/>
      <c r="AC342" s="51"/>
      <c r="AD342" s="51"/>
      <c r="AE342" s="51"/>
      <c r="AF342" s="51"/>
      <c r="AG342" s="51"/>
    </row>
    <row r="343" spans="1:33" ht="15.75" customHeight="1">
      <c r="A343" s="79" t="str">
        <f>IF(C343="","",VLOOKUP('OPĆI DIO'!$C$3,'OPĆI DIO'!$L$6:$U$120,10,FALSE))</f>
        <v/>
      </c>
      <c r="B343" s="79" t="str">
        <f>IF(C343="","",VLOOKUP('OPĆI DIO'!$C$3,'OPĆI DIO'!$L$6:$U$120,9,FALSE))</f>
        <v/>
      </c>
      <c r="C343" s="84"/>
      <c r="D343" s="79" t="str">
        <f t="shared" si="0"/>
        <v/>
      </c>
      <c r="E343" s="84"/>
      <c r="F343" s="79" t="str">
        <f t="shared" si="1"/>
        <v/>
      </c>
      <c r="G343" s="84"/>
      <c r="H343" s="79" t="str">
        <f t="shared" si="42"/>
        <v/>
      </c>
      <c r="I343" s="79" t="str">
        <f t="shared" si="43"/>
        <v/>
      </c>
      <c r="J343" s="67"/>
      <c r="K343" s="67"/>
      <c r="L343" s="67"/>
      <c r="M343" s="68"/>
      <c r="N343" s="51"/>
      <c r="O343" s="51" t="str">
        <f t="shared" si="4"/>
        <v/>
      </c>
      <c r="P343" s="51" t="str">
        <f t="shared" si="5"/>
        <v/>
      </c>
      <c r="Q343" s="51" t="str">
        <f t="shared" si="6"/>
        <v/>
      </c>
      <c r="R343" s="51" t="str">
        <f t="shared" si="7"/>
        <v/>
      </c>
      <c r="S343" s="51"/>
      <c r="T343" s="51"/>
      <c r="U343" s="51"/>
      <c r="V343" s="51"/>
      <c r="W343" s="51"/>
      <c r="X343" s="51"/>
      <c r="Y343" s="82"/>
      <c r="Z343" s="51"/>
      <c r="AA343" s="51"/>
      <c r="AB343" s="51"/>
      <c r="AC343" s="51"/>
      <c r="AD343" s="51"/>
      <c r="AE343" s="51"/>
      <c r="AF343" s="51"/>
      <c r="AG343" s="51"/>
    </row>
    <row r="344" spans="1:33" ht="15.75" customHeight="1">
      <c r="A344" s="79" t="str">
        <f>IF(C344="","",VLOOKUP('OPĆI DIO'!$C$3,'OPĆI DIO'!$L$6:$U$120,10,FALSE))</f>
        <v/>
      </c>
      <c r="B344" s="79" t="str">
        <f>IF(C344="","",VLOOKUP('OPĆI DIO'!$C$3,'OPĆI DIO'!$L$6:$U$120,9,FALSE))</f>
        <v/>
      </c>
      <c r="C344" s="84"/>
      <c r="D344" s="79" t="str">
        <f t="shared" si="0"/>
        <v/>
      </c>
      <c r="E344" s="84"/>
      <c r="F344" s="79" t="str">
        <f t="shared" si="1"/>
        <v/>
      </c>
      <c r="G344" s="84"/>
      <c r="H344" s="79" t="str">
        <f t="shared" si="42"/>
        <v/>
      </c>
      <c r="I344" s="79" t="str">
        <f t="shared" si="43"/>
        <v/>
      </c>
      <c r="J344" s="67"/>
      <c r="K344" s="67"/>
      <c r="L344" s="67"/>
      <c r="M344" s="68"/>
      <c r="N344" s="51"/>
      <c r="O344" s="51" t="str">
        <f t="shared" si="4"/>
        <v/>
      </c>
      <c r="P344" s="51" t="str">
        <f t="shared" si="5"/>
        <v/>
      </c>
      <c r="Q344" s="51" t="str">
        <f t="shared" si="6"/>
        <v/>
      </c>
      <c r="R344" s="51" t="str">
        <f t="shared" si="7"/>
        <v/>
      </c>
      <c r="S344" s="51"/>
      <c r="T344" s="51"/>
      <c r="U344" s="51"/>
      <c r="V344" s="51"/>
      <c r="W344" s="51"/>
      <c r="X344" s="51"/>
      <c r="Y344" s="82"/>
      <c r="Z344" s="51"/>
      <c r="AA344" s="51"/>
      <c r="AB344" s="51"/>
      <c r="AC344" s="51"/>
      <c r="AD344" s="51"/>
      <c r="AE344" s="51"/>
      <c r="AF344" s="51"/>
      <c r="AG344" s="51"/>
    </row>
    <row r="345" spans="1:33" ht="15.75" customHeight="1">
      <c r="A345" s="79" t="str">
        <f>IF(C345="","",VLOOKUP('OPĆI DIO'!$C$3,'OPĆI DIO'!$L$6:$U$120,10,FALSE))</f>
        <v/>
      </c>
      <c r="B345" s="79" t="str">
        <f>IF(C345="","",VLOOKUP('OPĆI DIO'!$C$3,'OPĆI DIO'!$L$6:$U$120,9,FALSE))</f>
        <v/>
      </c>
      <c r="C345" s="84"/>
      <c r="D345" s="79" t="str">
        <f t="shared" si="0"/>
        <v/>
      </c>
      <c r="E345" s="84"/>
      <c r="F345" s="79" t="str">
        <f t="shared" si="1"/>
        <v/>
      </c>
      <c r="G345" s="84"/>
      <c r="H345" s="79" t="str">
        <f t="shared" si="42"/>
        <v/>
      </c>
      <c r="I345" s="79" t="str">
        <f t="shared" si="43"/>
        <v/>
      </c>
      <c r="J345" s="67"/>
      <c r="K345" s="67"/>
      <c r="L345" s="67"/>
      <c r="M345" s="68"/>
      <c r="N345" s="51"/>
      <c r="O345" s="51" t="str">
        <f t="shared" si="4"/>
        <v/>
      </c>
      <c r="P345" s="51" t="str">
        <f t="shared" si="5"/>
        <v/>
      </c>
      <c r="Q345" s="51" t="str">
        <f t="shared" si="6"/>
        <v/>
      </c>
      <c r="R345" s="51" t="str">
        <f t="shared" si="7"/>
        <v/>
      </c>
      <c r="S345" s="51"/>
      <c r="T345" s="51"/>
      <c r="U345" s="51"/>
      <c r="V345" s="51"/>
      <c r="W345" s="51"/>
      <c r="X345" s="51"/>
      <c r="Y345" s="82"/>
      <c r="Z345" s="51"/>
      <c r="AA345" s="51"/>
      <c r="AB345" s="51"/>
      <c r="AC345" s="51"/>
      <c r="AD345" s="51"/>
      <c r="AE345" s="51"/>
      <c r="AF345" s="51"/>
      <c r="AG345" s="51"/>
    </row>
    <row r="346" spans="1:33" ht="15.75" customHeight="1">
      <c r="A346" s="79" t="str">
        <f>IF(C346="","",VLOOKUP('OPĆI DIO'!$C$3,'OPĆI DIO'!$L$6:$U$120,10,FALSE))</f>
        <v/>
      </c>
      <c r="B346" s="79" t="str">
        <f>IF(C346="","",VLOOKUP('OPĆI DIO'!$C$3,'OPĆI DIO'!$L$6:$U$120,9,FALSE))</f>
        <v/>
      </c>
      <c r="C346" s="84"/>
      <c r="D346" s="79" t="str">
        <f t="shared" si="0"/>
        <v/>
      </c>
      <c r="E346" s="84"/>
      <c r="F346" s="79" t="str">
        <f t="shared" si="1"/>
        <v/>
      </c>
      <c r="G346" s="84"/>
      <c r="H346" s="79" t="str">
        <f t="shared" si="42"/>
        <v/>
      </c>
      <c r="I346" s="79" t="str">
        <f t="shared" si="43"/>
        <v/>
      </c>
      <c r="J346" s="67"/>
      <c r="K346" s="67"/>
      <c r="L346" s="67"/>
      <c r="M346" s="68"/>
      <c r="N346" s="51"/>
      <c r="O346" s="51" t="str">
        <f t="shared" si="4"/>
        <v/>
      </c>
      <c r="P346" s="51" t="str">
        <f t="shared" si="5"/>
        <v/>
      </c>
      <c r="Q346" s="51" t="str">
        <f t="shared" si="6"/>
        <v/>
      </c>
      <c r="R346" s="51" t="str">
        <f t="shared" si="7"/>
        <v/>
      </c>
      <c r="S346" s="51"/>
      <c r="T346" s="51"/>
      <c r="U346" s="51"/>
      <c r="V346" s="51"/>
      <c r="W346" s="51"/>
      <c r="X346" s="51"/>
      <c r="Y346" s="82"/>
      <c r="Z346" s="51"/>
      <c r="AA346" s="51"/>
      <c r="AB346" s="51"/>
      <c r="AC346" s="51"/>
      <c r="AD346" s="51"/>
      <c r="AE346" s="51"/>
      <c r="AF346" s="51"/>
      <c r="AG346" s="51"/>
    </row>
    <row r="347" spans="1:33" ht="15.75" customHeight="1">
      <c r="A347" s="79" t="str">
        <f>IF(C347="","",VLOOKUP('OPĆI DIO'!$C$3,'OPĆI DIO'!$L$6:$U$120,10,FALSE))</f>
        <v/>
      </c>
      <c r="B347" s="79" t="str">
        <f>IF(C347="","",VLOOKUP('OPĆI DIO'!$C$3,'OPĆI DIO'!$L$6:$U$120,9,FALSE))</f>
        <v/>
      </c>
      <c r="C347" s="84"/>
      <c r="D347" s="79" t="str">
        <f t="shared" si="0"/>
        <v/>
      </c>
      <c r="E347" s="84"/>
      <c r="F347" s="79" t="str">
        <f t="shared" si="1"/>
        <v/>
      </c>
      <c r="G347" s="84"/>
      <c r="H347" s="79" t="str">
        <f t="shared" si="42"/>
        <v/>
      </c>
      <c r="I347" s="79" t="str">
        <f t="shared" si="43"/>
        <v/>
      </c>
      <c r="J347" s="67"/>
      <c r="K347" s="67"/>
      <c r="L347" s="67"/>
      <c r="M347" s="68"/>
      <c r="N347" s="51"/>
      <c r="O347" s="51" t="str">
        <f t="shared" si="4"/>
        <v/>
      </c>
      <c r="P347" s="51" t="str">
        <f t="shared" si="5"/>
        <v/>
      </c>
      <c r="Q347" s="51" t="str">
        <f t="shared" si="6"/>
        <v/>
      </c>
      <c r="R347" s="51" t="str">
        <f t="shared" si="7"/>
        <v/>
      </c>
      <c r="S347" s="51"/>
      <c r="T347" s="51"/>
      <c r="U347" s="51"/>
      <c r="V347" s="51"/>
      <c r="W347" s="51"/>
      <c r="X347" s="51"/>
      <c r="Y347" s="82"/>
      <c r="Z347" s="51"/>
      <c r="AA347" s="51"/>
      <c r="AB347" s="51"/>
      <c r="AC347" s="51"/>
      <c r="AD347" s="51"/>
      <c r="AE347" s="51"/>
      <c r="AF347" s="51"/>
      <c r="AG347" s="51"/>
    </row>
    <row r="348" spans="1:33" ht="15.75" customHeight="1">
      <c r="A348" s="79" t="str">
        <f>IF(C348="","",VLOOKUP('OPĆI DIO'!$C$3,'OPĆI DIO'!$L$6:$U$120,10,FALSE))</f>
        <v/>
      </c>
      <c r="B348" s="79" t="str">
        <f>IF(C348="","",VLOOKUP('OPĆI DIO'!$C$3,'OPĆI DIO'!$L$6:$U$120,9,FALSE))</f>
        <v/>
      </c>
      <c r="C348" s="84"/>
      <c r="D348" s="79" t="str">
        <f t="shared" si="0"/>
        <v/>
      </c>
      <c r="E348" s="84"/>
      <c r="F348" s="79" t="str">
        <f t="shared" si="1"/>
        <v/>
      </c>
      <c r="G348" s="84"/>
      <c r="H348" s="79" t="str">
        <f t="shared" si="42"/>
        <v/>
      </c>
      <c r="I348" s="79" t="str">
        <f t="shared" si="43"/>
        <v/>
      </c>
      <c r="J348" s="67"/>
      <c r="K348" s="67"/>
      <c r="L348" s="67"/>
      <c r="M348" s="68"/>
      <c r="N348" s="51"/>
      <c r="O348" s="51" t="str">
        <f t="shared" si="4"/>
        <v/>
      </c>
      <c r="P348" s="51" t="str">
        <f t="shared" si="5"/>
        <v/>
      </c>
      <c r="Q348" s="51" t="str">
        <f t="shared" si="6"/>
        <v/>
      </c>
      <c r="R348" s="51" t="str">
        <f t="shared" si="7"/>
        <v/>
      </c>
      <c r="S348" s="51"/>
      <c r="T348" s="51"/>
      <c r="U348" s="51"/>
      <c r="V348" s="51"/>
      <c r="W348" s="51"/>
      <c r="X348" s="51"/>
      <c r="Y348" s="82"/>
      <c r="Z348" s="51"/>
      <c r="AA348" s="51"/>
      <c r="AB348" s="51"/>
      <c r="AC348" s="51"/>
      <c r="AD348" s="51"/>
      <c r="AE348" s="51"/>
      <c r="AF348" s="51"/>
      <c r="AG348" s="51"/>
    </row>
    <row r="349" spans="1:33" ht="15.75" customHeight="1">
      <c r="A349" s="79" t="str">
        <f>IF(C349="","",VLOOKUP('OPĆI DIO'!$C$3,'OPĆI DIO'!$L$6:$U$120,10,FALSE))</f>
        <v/>
      </c>
      <c r="B349" s="79" t="str">
        <f>IF(C349="","",VLOOKUP('OPĆI DIO'!$C$3,'OPĆI DIO'!$L$6:$U$120,9,FALSE))</f>
        <v/>
      </c>
      <c r="C349" s="84"/>
      <c r="D349" s="79" t="str">
        <f t="shared" si="0"/>
        <v/>
      </c>
      <c r="E349" s="84"/>
      <c r="F349" s="79" t="str">
        <f t="shared" si="1"/>
        <v/>
      </c>
      <c r="G349" s="84"/>
      <c r="H349" s="79" t="str">
        <f t="shared" si="42"/>
        <v/>
      </c>
      <c r="I349" s="79" t="str">
        <f t="shared" si="43"/>
        <v/>
      </c>
      <c r="J349" s="67"/>
      <c r="K349" s="67"/>
      <c r="L349" s="67"/>
      <c r="M349" s="68"/>
      <c r="N349" s="51"/>
      <c r="O349" s="51" t="str">
        <f t="shared" si="4"/>
        <v/>
      </c>
      <c r="P349" s="51" t="str">
        <f t="shared" si="5"/>
        <v/>
      </c>
      <c r="Q349" s="51" t="str">
        <f t="shared" si="6"/>
        <v/>
      </c>
      <c r="R349" s="51" t="str">
        <f t="shared" si="7"/>
        <v/>
      </c>
      <c r="S349" s="51"/>
      <c r="T349" s="51"/>
      <c r="U349" s="51"/>
      <c r="V349" s="51"/>
      <c r="W349" s="51"/>
      <c r="X349" s="51"/>
      <c r="Y349" s="82"/>
      <c r="Z349" s="51"/>
      <c r="AA349" s="51"/>
      <c r="AB349" s="51"/>
      <c r="AC349" s="51"/>
      <c r="AD349" s="51"/>
      <c r="AE349" s="51"/>
      <c r="AF349" s="51"/>
      <c r="AG349" s="51"/>
    </row>
    <row r="350" spans="1:33" ht="15.75" customHeight="1">
      <c r="A350" s="79" t="str">
        <f>IF(C350="","",VLOOKUP('OPĆI DIO'!$C$3,'OPĆI DIO'!$L$6:$U$120,10,FALSE))</f>
        <v/>
      </c>
      <c r="B350" s="79" t="str">
        <f>IF(C350="","",VLOOKUP('OPĆI DIO'!$C$3,'OPĆI DIO'!$L$6:$U$120,9,FALSE))</f>
        <v/>
      </c>
      <c r="C350" s="84"/>
      <c r="D350" s="79" t="str">
        <f t="shared" si="0"/>
        <v/>
      </c>
      <c r="E350" s="84"/>
      <c r="F350" s="79" t="str">
        <f t="shared" si="1"/>
        <v/>
      </c>
      <c r="G350" s="84"/>
      <c r="H350" s="79" t="str">
        <f t="shared" si="42"/>
        <v/>
      </c>
      <c r="I350" s="79" t="str">
        <f t="shared" si="43"/>
        <v/>
      </c>
      <c r="J350" s="67"/>
      <c r="K350" s="67"/>
      <c r="L350" s="67"/>
      <c r="M350" s="68"/>
      <c r="N350" s="51"/>
      <c r="O350" s="51" t="str">
        <f t="shared" si="4"/>
        <v/>
      </c>
      <c r="P350" s="51" t="str">
        <f t="shared" si="5"/>
        <v/>
      </c>
      <c r="Q350" s="51" t="str">
        <f t="shared" si="6"/>
        <v/>
      </c>
      <c r="R350" s="51" t="str">
        <f t="shared" si="7"/>
        <v/>
      </c>
      <c r="S350" s="51"/>
      <c r="T350" s="51"/>
      <c r="U350" s="51"/>
      <c r="V350" s="51"/>
      <c r="W350" s="51"/>
      <c r="X350" s="51"/>
      <c r="Y350" s="82"/>
      <c r="Z350" s="51"/>
      <c r="AA350" s="51"/>
      <c r="AB350" s="51"/>
      <c r="AC350" s="51"/>
      <c r="AD350" s="51"/>
      <c r="AE350" s="51"/>
      <c r="AF350" s="51"/>
      <c r="AG350" s="51"/>
    </row>
    <row r="351" spans="1:33" ht="15.75" customHeight="1">
      <c r="A351" s="79" t="str">
        <f>IF(C351="","",VLOOKUP('OPĆI DIO'!$C$3,'OPĆI DIO'!$L$6:$U$120,10,FALSE))</f>
        <v/>
      </c>
      <c r="B351" s="79" t="str">
        <f>IF(C351="","",VLOOKUP('OPĆI DIO'!$C$3,'OPĆI DIO'!$L$6:$U$120,9,FALSE))</f>
        <v/>
      </c>
      <c r="C351" s="84"/>
      <c r="D351" s="79" t="str">
        <f t="shared" si="0"/>
        <v/>
      </c>
      <c r="E351" s="84"/>
      <c r="F351" s="79" t="str">
        <f t="shared" si="1"/>
        <v/>
      </c>
      <c r="G351" s="84"/>
      <c r="H351" s="79" t="str">
        <f t="shared" si="42"/>
        <v/>
      </c>
      <c r="I351" s="79" t="str">
        <f t="shared" si="43"/>
        <v/>
      </c>
      <c r="J351" s="67"/>
      <c r="K351" s="67"/>
      <c r="L351" s="67"/>
      <c r="M351" s="68"/>
      <c r="N351" s="51"/>
      <c r="O351" s="51" t="str">
        <f t="shared" si="4"/>
        <v/>
      </c>
      <c r="P351" s="51" t="str">
        <f t="shared" si="5"/>
        <v/>
      </c>
      <c r="Q351" s="51" t="str">
        <f t="shared" si="6"/>
        <v/>
      </c>
      <c r="R351" s="51" t="str">
        <f t="shared" si="7"/>
        <v/>
      </c>
      <c r="S351" s="51"/>
      <c r="T351" s="51"/>
      <c r="U351" s="51"/>
      <c r="V351" s="51"/>
      <c r="W351" s="51"/>
      <c r="X351" s="51"/>
      <c r="Y351" s="82"/>
      <c r="Z351" s="51"/>
      <c r="AA351" s="51"/>
      <c r="AB351" s="51"/>
      <c r="AC351" s="51"/>
      <c r="AD351" s="51"/>
      <c r="AE351" s="51"/>
      <c r="AF351" s="51"/>
      <c r="AG351" s="51"/>
    </row>
    <row r="352" spans="1:33" ht="15.75" customHeight="1">
      <c r="A352" s="79" t="str">
        <f>IF(C352="","",VLOOKUP('OPĆI DIO'!$C$3,'OPĆI DIO'!$L$6:$U$120,10,FALSE))</f>
        <v/>
      </c>
      <c r="B352" s="79" t="str">
        <f>IF(C352="","",VLOOKUP('OPĆI DIO'!$C$3,'OPĆI DIO'!$L$6:$U$120,9,FALSE))</f>
        <v/>
      </c>
      <c r="C352" s="84"/>
      <c r="D352" s="79" t="str">
        <f t="shared" si="0"/>
        <v/>
      </c>
      <c r="E352" s="84"/>
      <c r="F352" s="79" t="str">
        <f t="shared" si="1"/>
        <v/>
      </c>
      <c r="G352" s="84"/>
      <c r="H352" s="79" t="str">
        <f t="shared" si="42"/>
        <v/>
      </c>
      <c r="I352" s="79" t="str">
        <f t="shared" si="43"/>
        <v/>
      </c>
      <c r="J352" s="67"/>
      <c r="K352" s="67"/>
      <c r="L352" s="67"/>
      <c r="M352" s="68"/>
      <c r="N352" s="51"/>
      <c r="O352" s="51" t="str">
        <f t="shared" si="4"/>
        <v/>
      </c>
      <c r="P352" s="51" t="str">
        <f t="shared" si="5"/>
        <v/>
      </c>
      <c r="Q352" s="51" t="str">
        <f t="shared" si="6"/>
        <v/>
      </c>
      <c r="R352" s="51" t="str">
        <f t="shared" si="7"/>
        <v/>
      </c>
      <c r="S352" s="51"/>
      <c r="T352" s="51"/>
      <c r="U352" s="51"/>
      <c r="V352" s="51"/>
      <c r="W352" s="51"/>
      <c r="X352" s="51"/>
      <c r="Y352" s="82"/>
      <c r="Z352" s="51"/>
      <c r="AA352" s="51"/>
      <c r="AB352" s="51"/>
      <c r="AC352" s="51"/>
      <c r="AD352" s="51"/>
      <c r="AE352" s="51"/>
      <c r="AF352" s="51"/>
      <c r="AG352" s="51"/>
    </row>
    <row r="353" spans="1:33" ht="15.75" customHeight="1">
      <c r="A353" s="79" t="str">
        <f>IF(C353="","",VLOOKUP('OPĆI DIO'!$C$3,'OPĆI DIO'!$L$6:$U$120,10,FALSE))</f>
        <v/>
      </c>
      <c r="B353" s="79" t="str">
        <f>IF(C353="","",VLOOKUP('OPĆI DIO'!$C$3,'OPĆI DIO'!$L$6:$U$120,9,FALSE))</f>
        <v/>
      </c>
      <c r="C353" s="84"/>
      <c r="D353" s="79" t="str">
        <f t="shared" si="0"/>
        <v/>
      </c>
      <c r="E353" s="84"/>
      <c r="F353" s="79" t="str">
        <f t="shared" si="1"/>
        <v/>
      </c>
      <c r="G353" s="84"/>
      <c r="H353" s="79" t="str">
        <f t="shared" si="42"/>
        <v/>
      </c>
      <c r="I353" s="79" t="str">
        <f t="shared" si="43"/>
        <v/>
      </c>
      <c r="J353" s="67"/>
      <c r="K353" s="67"/>
      <c r="L353" s="67"/>
      <c r="M353" s="68"/>
      <c r="N353" s="51"/>
      <c r="O353" s="51" t="str">
        <f t="shared" si="4"/>
        <v/>
      </c>
      <c r="P353" s="51" t="str">
        <f t="shared" si="5"/>
        <v/>
      </c>
      <c r="Q353" s="51" t="str">
        <f t="shared" si="6"/>
        <v/>
      </c>
      <c r="R353" s="51" t="str">
        <f t="shared" si="7"/>
        <v/>
      </c>
      <c r="S353" s="51"/>
      <c r="T353" s="51"/>
      <c r="U353" s="51"/>
      <c r="V353" s="51"/>
      <c r="W353" s="51"/>
      <c r="X353" s="51"/>
      <c r="Y353" s="82"/>
      <c r="Z353" s="51"/>
      <c r="AA353" s="51"/>
      <c r="AB353" s="51"/>
      <c r="AC353" s="51"/>
      <c r="AD353" s="51"/>
      <c r="AE353" s="51"/>
      <c r="AF353" s="51"/>
      <c r="AG353" s="51"/>
    </row>
    <row r="354" spans="1:33" ht="15.75" customHeight="1">
      <c r="A354" s="79" t="str">
        <f>IF(C354="","",VLOOKUP('OPĆI DIO'!$C$3,'OPĆI DIO'!$L$6:$U$120,10,FALSE))</f>
        <v/>
      </c>
      <c r="B354" s="79" t="str">
        <f>IF(C354="","",VLOOKUP('OPĆI DIO'!$C$3,'OPĆI DIO'!$L$6:$U$120,9,FALSE))</f>
        <v/>
      </c>
      <c r="C354" s="84"/>
      <c r="D354" s="79" t="str">
        <f t="shared" si="0"/>
        <v/>
      </c>
      <c r="E354" s="84"/>
      <c r="F354" s="79" t="str">
        <f t="shared" si="1"/>
        <v/>
      </c>
      <c r="G354" s="84"/>
      <c r="H354" s="79" t="str">
        <f t="shared" si="42"/>
        <v/>
      </c>
      <c r="I354" s="79" t="str">
        <f t="shared" si="43"/>
        <v/>
      </c>
      <c r="J354" s="67"/>
      <c r="K354" s="67"/>
      <c r="L354" s="67"/>
      <c r="M354" s="68"/>
      <c r="N354" s="51"/>
      <c r="O354" s="51" t="str">
        <f t="shared" si="4"/>
        <v/>
      </c>
      <c r="P354" s="51" t="str">
        <f t="shared" si="5"/>
        <v/>
      </c>
      <c r="Q354" s="51" t="str">
        <f t="shared" si="6"/>
        <v/>
      </c>
      <c r="R354" s="51" t="str">
        <f t="shared" si="7"/>
        <v/>
      </c>
      <c r="S354" s="51"/>
      <c r="T354" s="51"/>
      <c r="U354" s="51"/>
      <c r="V354" s="51"/>
      <c r="W354" s="51"/>
      <c r="X354" s="51"/>
      <c r="Y354" s="82"/>
      <c r="Z354" s="51"/>
      <c r="AA354" s="51"/>
      <c r="AB354" s="51"/>
      <c r="AC354" s="51"/>
      <c r="AD354" s="51"/>
      <c r="AE354" s="51"/>
      <c r="AF354" s="51"/>
      <c r="AG354" s="51"/>
    </row>
    <row r="355" spans="1:33" ht="15.75" customHeight="1">
      <c r="A355" s="79" t="str">
        <f>IF(C355="","",VLOOKUP('OPĆI DIO'!$C$3,'OPĆI DIO'!$L$6:$U$120,10,FALSE))</f>
        <v/>
      </c>
      <c r="B355" s="79" t="str">
        <f>IF(C355="","",VLOOKUP('OPĆI DIO'!$C$3,'OPĆI DIO'!$L$6:$U$120,9,FALSE))</f>
        <v/>
      </c>
      <c r="C355" s="84"/>
      <c r="D355" s="79" t="str">
        <f t="shared" si="0"/>
        <v/>
      </c>
      <c r="E355" s="84"/>
      <c r="F355" s="79" t="str">
        <f t="shared" si="1"/>
        <v/>
      </c>
      <c r="G355" s="84"/>
      <c r="H355" s="79" t="str">
        <f t="shared" si="42"/>
        <v/>
      </c>
      <c r="I355" s="79" t="str">
        <f t="shared" si="43"/>
        <v/>
      </c>
      <c r="J355" s="67"/>
      <c r="K355" s="67"/>
      <c r="L355" s="67"/>
      <c r="M355" s="68"/>
      <c r="N355" s="51"/>
      <c r="O355" s="51" t="str">
        <f t="shared" si="4"/>
        <v/>
      </c>
      <c r="P355" s="51" t="str">
        <f t="shared" si="5"/>
        <v/>
      </c>
      <c r="Q355" s="51" t="str">
        <f t="shared" si="6"/>
        <v/>
      </c>
      <c r="R355" s="51" t="str">
        <f t="shared" si="7"/>
        <v/>
      </c>
      <c r="S355" s="51"/>
      <c r="T355" s="51"/>
      <c r="U355" s="51"/>
      <c r="V355" s="51"/>
      <c r="W355" s="51"/>
      <c r="X355" s="51"/>
      <c r="Y355" s="82"/>
      <c r="Z355" s="51"/>
      <c r="AA355" s="51"/>
      <c r="AB355" s="51"/>
      <c r="AC355" s="51"/>
      <c r="AD355" s="51"/>
      <c r="AE355" s="51"/>
      <c r="AF355" s="51"/>
      <c r="AG355" s="51"/>
    </row>
    <row r="356" spans="1:33" ht="15.75" customHeight="1">
      <c r="A356" s="79" t="str">
        <f>IF(C356="","",VLOOKUP('OPĆI DIO'!$C$3,'OPĆI DIO'!$L$6:$U$120,10,FALSE))</f>
        <v/>
      </c>
      <c r="B356" s="79" t="str">
        <f>IF(C356="","",VLOOKUP('OPĆI DIO'!$C$3,'OPĆI DIO'!$L$6:$U$120,9,FALSE))</f>
        <v/>
      </c>
      <c r="C356" s="84"/>
      <c r="D356" s="79" t="str">
        <f t="shared" si="0"/>
        <v/>
      </c>
      <c r="E356" s="84"/>
      <c r="F356" s="79" t="str">
        <f t="shared" si="1"/>
        <v/>
      </c>
      <c r="G356" s="84"/>
      <c r="H356" s="79" t="str">
        <f t="shared" si="42"/>
        <v/>
      </c>
      <c r="I356" s="79" t="str">
        <f t="shared" si="43"/>
        <v/>
      </c>
      <c r="J356" s="67"/>
      <c r="K356" s="67"/>
      <c r="L356" s="67"/>
      <c r="M356" s="68"/>
      <c r="N356" s="51"/>
      <c r="O356" s="51" t="str">
        <f t="shared" si="4"/>
        <v/>
      </c>
      <c r="P356" s="51" t="str">
        <f t="shared" si="5"/>
        <v/>
      </c>
      <c r="Q356" s="51" t="str">
        <f t="shared" si="6"/>
        <v/>
      </c>
      <c r="R356" s="51" t="str">
        <f t="shared" si="7"/>
        <v/>
      </c>
      <c r="S356" s="51"/>
      <c r="T356" s="51"/>
      <c r="U356" s="51"/>
      <c r="V356" s="51"/>
      <c r="W356" s="51"/>
      <c r="X356" s="51"/>
      <c r="Y356" s="82"/>
      <c r="Z356" s="51"/>
      <c r="AA356" s="51"/>
      <c r="AB356" s="51"/>
      <c r="AC356" s="51"/>
      <c r="AD356" s="51"/>
      <c r="AE356" s="51"/>
      <c r="AF356" s="51"/>
      <c r="AG356" s="51"/>
    </row>
    <row r="357" spans="1:33" ht="15.75" customHeight="1">
      <c r="A357" s="79" t="str">
        <f>IF(C357="","",VLOOKUP('OPĆI DIO'!$C$3,'OPĆI DIO'!$L$6:$U$120,10,FALSE))</f>
        <v/>
      </c>
      <c r="B357" s="79" t="str">
        <f>IF(C357="","",VLOOKUP('OPĆI DIO'!$C$3,'OPĆI DIO'!$L$6:$U$120,9,FALSE))</f>
        <v/>
      </c>
      <c r="C357" s="84"/>
      <c r="D357" s="79" t="str">
        <f t="shared" si="0"/>
        <v/>
      </c>
      <c r="E357" s="84"/>
      <c r="F357" s="79" t="str">
        <f t="shared" si="1"/>
        <v/>
      </c>
      <c r="G357" s="84"/>
      <c r="H357" s="79" t="str">
        <f t="shared" si="42"/>
        <v/>
      </c>
      <c r="I357" s="79" t="str">
        <f t="shared" si="43"/>
        <v/>
      </c>
      <c r="J357" s="67"/>
      <c r="K357" s="67"/>
      <c r="L357" s="67"/>
      <c r="M357" s="68"/>
      <c r="N357" s="51"/>
      <c r="O357" s="51" t="str">
        <f t="shared" si="4"/>
        <v/>
      </c>
      <c r="P357" s="51" t="str">
        <f t="shared" si="5"/>
        <v/>
      </c>
      <c r="Q357" s="51" t="str">
        <f t="shared" si="6"/>
        <v/>
      </c>
      <c r="R357" s="51" t="str">
        <f t="shared" si="7"/>
        <v/>
      </c>
      <c r="S357" s="51"/>
      <c r="T357" s="51"/>
      <c r="U357" s="51"/>
      <c r="V357" s="51"/>
      <c r="W357" s="51"/>
      <c r="X357" s="51"/>
      <c r="Y357" s="82"/>
      <c r="Z357" s="51"/>
      <c r="AA357" s="51"/>
      <c r="AB357" s="51"/>
      <c r="AC357" s="51"/>
      <c r="AD357" s="51"/>
      <c r="AE357" s="51"/>
      <c r="AF357" s="51"/>
      <c r="AG357" s="51"/>
    </row>
    <row r="358" spans="1:33" ht="15.75" customHeight="1">
      <c r="A358" s="79" t="str">
        <f>IF(C358="","",VLOOKUP('OPĆI DIO'!$C$3,'OPĆI DIO'!$L$6:$U$120,10,FALSE))</f>
        <v/>
      </c>
      <c r="B358" s="79" t="str">
        <f>IF(C358="","",VLOOKUP('OPĆI DIO'!$C$3,'OPĆI DIO'!$L$6:$U$120,9,FALSE))</f>
        <v/>
      </c>
      <c r="C358" s="84"/>
      <c r="D358" s="79" t="str">
        <f t="shared" si="0"/>
        <v/>
      </c>
      <c r="E358" s="84"/>
      <c r="F358" s="79" t="str">
        <f t="shared" si="1"/>
        <v/>
      </c>
      <c r="G358" s="84"/>
      <c r="H358" s="79" t="str">
        <f t="shared" si="42"/>
        <v/>
      </c>
      <c r="I358" s="79" t="str">
        <f t="shared" si="43"/>
        <v/>
      </c>
      <c r="J358" s="67"/>
      <c r="K358" s="67"/>
      <c r="L358" s="67"/>
      <c r="M358" s="68"/>
      <c r="N358" s="51"/>
      <c r="O358" s="51" t="str">
        <f t="shared" si="4"/>
        <v/>
      </c>
      <c r="P358" s="51" t="str">
        <f t="shared" si="5"/>
        <v/>
      </c>
      <c r="Q358" s="51" t="str">
        <f t="shared" si="6"/>
        <v/>
      </c>
      <c r="R358" s="51" t="str">
        <f t="shared" si="7"/>
        <v/>
      </c>
      <c r="S358" s="51"/>
      <c r="T358" s="51"/>
      <c r="U358" s="51"/>
      <c r="V358" s="51"/>
      <c r="W358" s="51"/>
      <c r="X358" s="51"/>
      <c r="Y358" s="82"/>
      <c r="Z358" s="51"/>
      <c r="AA358" s="51"/>
      <c r="AB358" s="51"/>
      <c r="AC358" s="51"/>
      <c r="AD358" s="51"/>
      <c r="AE358" s="51"/>
      <c r="AF358" s="51"/>
      <c r="AG358" s="51"/>
    </row>
    <row r="359" spans="1:33" ht="15.75" customHeight="1">
      <c r="A359" s="79" t="str">
        <f>IF(C359="","",VLOOKUP('OPĆI DIO'!$C$3,'OPĆI DIO'!$L$6:$U$120,10,FALSE))</f>
        <v/>
      </c>
      <c r="B359" s="79" t="str">
        <f>IF(C359="","",VLOOKUP('OPĆI DIO'!$C$3,'OPĆI DIO'!$L$6:$U$120,9,FALSE))</f>
        <v/>
      </c>
      <c r="C359" s="84"/>
      <c r="D359" s="79" t="str">
        <f t="shared" si="0"/>
        <v/>
      </c>
      <c r="E359" s="84"/>
      <c r="F359" s="79" t="str">
        <f t="shared" si="1"/>
        <v/>
      </c>
      <c r="G359" s="84"/>
      <c r="H359" s="79" t="str">
        <f t="shared" si="42"/>
        <v/>
      </c>
      <c r="I359" s="79" t="str">
        <f t="shared" si="43"/>
        <v/>
      </c>
      <c r="J359" s="67"/>
      <c r="K359" s="67"/>
      <c r="L359" s="67"/>
      <c r="M359" s="68"/>
      <c r="N359" s="51"/>
      <c r="O359" s="51" t="str">
        <f t="shared" si="4"/>
        <v/>
      </c>
      <c r="P359" s="51" t="str">
        <f t="shared" si="5"/>
        <v/>
      </c>
      <c r="Q359" s="51" t="str">
        <f t="shared" si="6"/>
        <v/>
      </c>
      <c r="R359" s="51" t="str">
        <f t="shared" si="7"/>
        <v/>
      </c>
      <c r="S359" s="51"/>
      <c r="T359" s="51"/>
      <c r="U359" s="51"/>
      <c r="V359" s="51"/>
      <c r="W359" s="51"/>
      <c r="X359" s="51"/>
      <c r="Y359" s="82"/>
      <c r="Z359" s="51"/>
      <c r="AA359" s="51"/>
      <c r="AB359" s="51"/>
      <c r="AC359" s="51"/>
      <c r="AD359" s="51"/>
      <c r="AE359" s="51"/>
      <c r="AF359" s="51"/>
      <c r="AG359" s="51"/>
    </row>
    <row r="360" spans="1:33" ht="15.75" customHeight="1">
      <c r="A360" s="79" t="str">
        <f>IF(C360="","",VLOOKUP('OPĆI DIO'!$C$3,'OPĆI DIO'!$L$6:$U$120,10,FALSE))</f>
        <v/>
      </c>
      <c r="B360" s="79" t="str">
        <f>IF(C360="","",VLOOKUP('OPĆI DIO'!$C$3,'OPĆI DIO'!$L$6:$U$120,9,FALSE))</f>
        <v/>
      </c>
      <c r="C360" s="84"/>
      <c r="D360" s="79" t="str">
        <f t="shared" si="0"/>
        <v/>
      </c>
      <c r="E360" s="84"/>
      <c r="F360" s="79" t="str">
        <f t="shared" si="1"/>
        <v/>
      </c>
      <c r="G360" s="84"/>
      <c r="H360" s="79" t="str">
        <f t="shared" si="42"/>
        <v/>
      </c>
      <c r="I360" s="79" t="str">
        <f t="shared" si="43"/>
        <v/>
      </c>
      <c r="J360" s="67"/>
      <c r="K360" s="67"/>
      <c r="L360" s="67"/>
      <c r="M360" s="68"/>
      <c r="N360" s="51"/>
      <c r="O360" s="51" t="str">
        <f t="shared" si="4"/>
        <v/>
      </c>
      <c r="P360" s="51" t="str">
        <f t="shared" si="5"/>
        <v/>
      </c>
      <c r="Q360" s="51" t="str">
        <f t="shared" si="6"/>
        <v/>
      </c>
      <c r="R360" s="51" t="str">
        <f t="shared" si="7"/>
        <v/>
      </c>
      <c r="S360" s="51"/>
      <c r="T360" s="51"/>
      <c r="U360" s="51"/>
      <c r="V360" s="51"/>
      <c r="W360" s="51"/>
      <c r="X360" s="51"/>
      <c r="Y360" s="82"/>
      <c r="Z360" s="51"/>
      <c r="AA360" s="51"/>
      <c r="AB360" s="51"/>
      <c r="AC360" s="51"/>
      <c r="AD360" s="51"/>
      <c r="AE360" s="51"/>
      <c r="AF360" s="51"/>
      <c r="AG360" s="51"/>
    </row>
    <row r="361" spans="1:33" ht="15.75" customHeight="1">
      <c r="A361" s="79" t="str">
        <f>IF(C361="","",VLOOKUP('OPĆI DIO'!$C$3,'OPĆI DIO'!$L$6:$U$120,10,FALSE))</f>
        <v/>
      </c>
      <c r="B361" s="79" t="str">
        <f>IF(C361="","",VLOOKUP('OPĆI DIO'!$C$3,'OPĆI DIO'!$L$6:$U$120,9,FALSE))</f>
        <v/>
      </c>
      <c r="C361" s="84"/>
      <c r="D361" s="79" t="str">
        <f t="shared" si="0"/>
        <v/>
      </c>
      <c r="E361" s="84"/>
      <c r="F361" s="79" t="str">
        <f t="shared" si="1"/>
        <v/>
      </c>
      <c r="G361" s="84"/>
      <c r="H361" s="79" t="str">
        <f t="shared" si="42"/>
        <v/>
      </c>
      <c r="I361" s="79" t="str">
        <f t="shared" si="43"/>
        <v/>
      </c>
      <c r="J361" s="67"/>
      <c r="K361" s="67"/>
      <c r="L361" s="67"/>
      <c r="M361" s="68"/>
      <c r="N361" s="51"/>
      <c r="O361" s="51" t="str">
        <f t="shared" si="4"/>
        <v/>
      </c>
      <c r="P361" s="51" t="str">
        <f t="shared" si="5"/>
        <v/>
      </c>
      <c r="Q361" s="51" t="str">
        <f t="shared" si="6"/>
        <v/>
      </c>
      <c r="R361" s="51" t="str">
        <f t="shared" si="7"/>
        <v/>
      </c>
      <c r="S361" s="51"/>
      <c r="T361" s="51"/>
      <c r="U361" s="51"/>
      <c r="V361" s="51"/>
      <c r="W361" s="51"/>
      <c r="X361" s="51"/>
      <c r="Y361" s="82"/>
      <c r="Z361" s="51"/>
      <c r="AA361" s="51"/>
      <c r="AB361" s="51"/>
      <c r="AC361" s="51"/>
      <c r="AD361" s="51"/>
      <c r="AE361" s="51"/>
      <c r="AF361" s="51"/>
      <c r="AG361" s="51"/>
    </row>
    <row r="362" spans="1:33" ht="15.75" customHeight="1">
      <c r="A362" s="79" t="str">
        <f>IF(C362="","",VLOOKUP('OPĆI DIO'!$C$3,'OPĆI DIO'!$L$6:$U$120,10,FALSE))</f>
        <v/>
      </c>
      <c r="B362" s="79" t="str">
        <f>IF(C362="","",VLOOKUP('OPĆI DIO'!$C$3,'OPĆI DIO'!$L$6:$U$120,9,FALSE))</f>
        <v/>
      </c>
      <c r="C362" s="84"/>
      <c r="D362" s="79" t="str">
        <f t="shared" si="0"/>
        <v/>
      </c>
      <c r="E362" s="84"/>
      <c r="F362" s="79" t="str">
        <f t="shared" si="1"/>
        <v/>
      </c>
      <c r="G362" s="84"/>
      <c r="H362" s="79" t="str">
        <f t="shared" si="42"/>
        <v/>
      </c>
      <c r="I362" s="79" t="str">
        <f t="shared" si="43"/>
        <v/>
      </c>
      <c r="J362" s="67"/>
      <c r="K362" s="67"/>
      <c r="L362" s="67"/>
      <c r="M362" s="68"/>
      <c r="N362" s="51"/>
      <c r="O362" s="51" t="str">
        <f t="shared" si="4"/>
        <v/>
      </c>
      <c r="P362" s="51" t="str">
        <f t="shared" si="5"/>
        <v/>
      </c>
      <c r="Q362" s="51" t="str">
        <f t="shared" si="6"/>
        <v/>
      </c>
      <c r="R362" s="51" t="str">
        <f t="shared" si="7"/>
        <v/>
      </c>
      <c r="S362" s="51"/>
      <c r="T362" s="51"/>
      <c r="U362" s="51"/>
      <c r="V362" s="51"/>
      <c r="W362" s="51"/>
      <c r="X362" s="51"/>
      <c r="Y362" s="82"/>
      <c r="Z362" s="51"/>
      <c r="AA362" s="51"/>
      <c r="AB362" s="51"/>
      <c r="AC362" s="51"/>
      <c r="AD362" s="51"/>
      <c r="AE362" s="51"/>
      <c r="AF362" s="51"/>
      <c r="AG362" s="51"/>
    </row>
    <row r="363" spans="1:33" ht="15.75" customHeight="1">
      <c r="A363" s="79" t="str">
        <f>IF(C363="","",VLOOKUP('OPĆI DIO'!$C$3,'OPĆI DIO'!$L$6:$U$120,10,FALSE))</f>
        <v/>
      </c>
      <c r="B363" s="79" t="str">
        <f>IF(C363="","",VLOOKUP('OPĆI DIO'!$C$3,'OPĆI DIO'!$L$6:$U$120,9,FALSE))</f>
        <v/>
      </c>
      <c r="C363" s="84"/>
      <c r="D363" s="79" t="str">
        <f t="shared" si="0"/>
        <v/>
      </c>
      <c r="E363" s="84"/>
      <c r="F363" s="79" t="str">
        <f t="shared" si="1"/>
        <v/>
      </c>
      <c r="G363" s="84"/>
      <c r="H363" s="79" t="str">
        <f t="shared" si="42"/>
        <v/>
      </c>
      <c r="I363" s="79" t="str">
        <f t="shared" si="43"/>
        <v/>
      </c>
      <c r="J363" s="67"/>
      <c r="K363" s="67"/>
      <c r="L363" s="67"/>
      <c r="M363" s="68"/>
      <c r="N363" s="51"/>
      <c r="O363" s="51" t="str">
        <f t="shared" si="4"/>
        <v/>
      </c>
      <c r="P363" s="51" t="str">
        <f t="shared" si="5"/>
        <v/>
      </c>
      <c r="Q363" s="51" t="str">
        <f t="shared" si="6"/>
        <v/>
      </c>
      <c r="R363" s="51" t="str">
        <f t="shared" si="7"/>
        <v/>
      </c>
      <c r="S363" s="51"/>
      <c r="T363" s="51"/>
      <c r="U363" s="51"/>
      <c r="V363" s="51"/>
      <c r="W363" s="51"/>
      <c r="X363" s="51"/>
      <c r="Y363" s="82"/>
      <c r="Z363" s="51"/>
      <c r="AA363" s="51"/>
      <c r="AB363" s="51"/>
      <c r="AC363" s="51"/>
      <c r="AD363" s="51"/>
      <c r="AE363" s="51"/>
      <c r="AF363" s="51"/>
      <c r="AG363" s="51"/>
    </row>
    <row r="364" spans="1:33" ht="15.75" customHeight="1">
      <c r="A364" s="79" t="str">
        <f>IF(C364="","",VLOOKUP('OPĆI DIO'!$C$3,'OPĆI DIO'!$L$6:$U$120,10,FALSE))</f>
        <v/>
      </c>
      <c r="B364" s="79" t="str">
        <f>IF(C364="","",VLOOKUP('OPĆI DIO'!$C$3,'OPĆI DIO'!$L$6:$U$120,9,FALSE))</f>
        <v/>
      </c>
      <c r="C364" s="84"/>
      <c r="D364" s="79" t="str">
        <f t="shared" si="0"/>
        <v/>
      </c>
      <c r="E364" s="84"/>
      <c r="F364" s="79" t="str">
        <f t="shared" si="1"/>
        <v/>
      </c>
      <c r="G364" s="84"/>
      <c r="H364" s="79" t="str">
        <f t="shared" si="42"/>
        <v/>
      </c>
      <c r="I364" s="79" t="str">
        <f t="shared" si="43"/>
        <v/>
      </c>
      <c r="J364" s="67"/>
      <c r="K364" s="67"/>
      <c r="L364" s="67"/>
      <c r="M364" s="68"/>
      <c r="N364" s="51"/>
      <c r="O364" s="51" t="str">
        <f t="shared" si="4"/>
        <v/>
      </c>
      <c r="P364" s="51" t="str">
        <f t="shared" si="5"/>
        <v/>
      </c>
      <c r="Q364" s="51" t="str">
        <f t="shared" si="6"/>
        <v/>
      </c>
      <c r="R364" s="51" t="str">
        <f t="shared" si="7"/>
        <v/>
      </c>
      <c r="S364" s="51"/>
      <c r="T364" s="51"/>
      <c r="U364" s="51"/>
      <c r="V364" s="51"/>
      <c r="W364" s="51"/>
      <c r="X364" s="51"/>
      <c r="Y364" s="82"/>
      <c r="Z364" s="51"/>
      <c r="AA364" s="51"/>
      <c r="AB364" s="51"/>
      <c r="AC364" s="51"/>
      <c r="AD364" s="51"/>
      <c r="AE364" s="51"/>
      <c r="AF364" s="51"/>
      <c r="AG364" s="51"/>
    </row>
    <row r="365" spans="1:33" ht="15.75" customHeight="1">
      <c r="A365" s="79" t="str">
        <f>IF(C365="","",VLOOKUP('OPĆI DIO'!$C$3,'OPĆI DIO'!$L$6:$U$120,10,FALSE))</f>
        <v/>
      </c>
      <c r="B365" s="79" t="str">
        <f>IF(C365="","",VLOOKUP('OPĆI DIO'!$C$3,'OPĆI DIO'!$L$6:$U$120,9,FALSE))</f>
        <v/>
      </c>
      <c r="C365" s="84"/>
      <c r="D365" s="79" t="str">
        <f t="shared" si="0"/>
        <v/>
      </c>
      <c r="E365" s="84"/>
      <c r="F365" s="79" t="str">
        <f t="shared" si="1"/>
        <v/>
      </c>
      <c r="G365" s="84"/>
      <c r="H365" s="79" t="str">
        <f t="shared" si="42"/>
        <v/>
      </c>
      <c r="I365" s="79" t="str">
        <f t="shared" si="43"/>
        <v/>
      </c>
      <c r="J365" s="67"/>
      <c r="K365" s="67"/>
      <c r="L365" s="67"/>
      <c r="M365" s="68"/>
      <c r="N365" s="51"/>
      <c r="O365" s="51" t="str">
        <f t="shared" si="4"/>
        <v/>
      </c>
      <c r="P365" s="51" t="str">
        <f t="shared" si="5"/>
        <v/>
      </c>
      <c r="Q365" s="51" t="str">
        <f t="shared" si="6"/>
        <v/>
      </c>
      <c r="R365" s="51" t="str">
        <f t="shared" si="7"/>
        <v/>
      </c>
      <c r="S365" s="51"/>
      <c r="T365" s="51"/>
      <c r="U365" s="51"/>
      <c r="V365" s="51"/>
      <c r="W365" s="51"/>
      <c r="X365" s="51"/>
      <c r="Y365" s="82"/>
      <c r="Z365" s="51"/>
      <c r="AA365" s="51"/>
      <c r="AB365" s="51"/>
      <c r="AC365" s="51"/>
      <c r="AD365" s="51"/>
      <c r="AE365" s="51"/>
      <c r="AF365" s="51"/>
      <c r="AG365" s="51"/>
    </row>
    <row r="366" spans="1:33" ht="15.75" customHeight="1">
      <c r="A366" s="79" t="str">
        <f>IF(C366="","",VLOOKUP('OPĆI DIO'!$C$3,'OPĆI DIO'!$L$6:$U$120,10,FALSE))</f>
        <v/>
      </c>
      <c r="B366" s="79" t="str">
        <f>IF(C366="","",VLOOKUP('OPĆI DIO'!$C$3,'OPĆI DIO'!$L$6:$U$120,9,FALSE))</f>
        <v/>
      </c>
      <c r="C366" s="84"/>
      <c r="D366" s="79" t="str">
        <f t="shared" si="0"/>
        <v/>
      </c>
      <c r="E366" s="84"/>
      <c r="F366" s="79" t="str">
        <f t="shared" si="1"/>
        <v/>
      </c>
      <c r="G366" s="84"/>
      <c r="H366" s="79" t="str">
        <f t="shared" si="42"/>
        <v/>
      </c>
      <c r="I366" s="79" t="str">
        <f t="shared" si="43"/>
        <v/>
      </c>
      <c r="J366" s="67"/>
      <c r="K366" s="67"/>
      <c r="L366" s="67"/>
      <c r="M366" s="68"/>
      <c r="N366" s="51"/>
      <c r="O366" s="51" t="str">
        <f t="shared" si="4"/>
        <v/>
      </c>
      <c r="P366" s="51" t="str">
        <f t="shared" si="5"/>
        <v/>
      </c>
      <c r="Q366" s="51" t="str">
        <f t="shared" si="6"/>
        <v/>
      </c>
      <c r="R366" s="51" t="str">
        <f t="shared" si="7"/>
        <v/>
      </c>
      <c r="S366" s="51"/>
      <c r="T366" s="51"/>
      <c r="U366" s="51"/>
      <c r="V366" s="51"/>
      <c r="W366" s="51"/>
      <c r="X366" s="51"/>
      <c r="Y366" s="82"/>
      <c r="Z366" s="51"/>
      <c r="AA366" s="51"/>
      <c r="AB366" s="51"/>
      <c r="AC366" s="51"/>
      <c r="AD366" s="51"/>
      <c r="AE366" s="51"/>
      <c r="AF366" s="51"/>
      <c r="AG366" s="51"/>
    </row>
    <row r="367" spans="1:33" ht="15.75" customHeight="1">
      <c r="A367" s="79" t="str">
        <f>IF(C367="","",VLOOKUP('OPĆI DIO'!$C$3,'OPĆI DIO'!$L$6:$U$120,10,FALSE))</f>
        <v/>
      </c>
      <c r="B367" s="79" t="str">
        <f>IF(C367="","",VLOOKUP('OPĆI DIO'!$C$3,'OPĆI DIO'!$L$6:$U$120,9,FALSE))</f>
        <v/>
      </c>
      <c r="C367" s="84"/>
      <c r="D367" s="79" t="str">
        <f t="shared" si="0"/>
        <v/>
      </c>
      <c r="E367" s="84"/>
      <c r="F367" s="79" t="str">
        <f t="shared" si="1"/>
        <v/>
      </c>
      <c r="G367" s="84"/>
      <c r="H367" s="79" t="str">
        <f t="shared" si="42"/>
        <v/>
      </c>
      <c r="I367" s="79" t="str">
        <f t="shared" si="43"/>
        <v/>
      </c>
      <c r="J367" s="67"/>
      <c r="K367" s="67"/>
      <c r="L367" s="67"/>
      <c r="M367" s="68"/>
      <c r="N367" s="51"/>
      <c r="O367" s="51" t="str">
        <f t="shared" si="4"/>
        <v/>
      </c>
      <c r="P367" s="51" t="str">
        <f t="shared" si="5"/>
        <v/>
      </c>
      <c r="Q367" s="51" t="str">
        <f t="shared" si="6"/>
        <v/>
      </c>
      <c r="R367" s="51" t="str">
        <f t="shared" si="7"/>
        <v/>
      </c>
      <c r="S367" s="51"/>
      <c r="T367" s="51"/>
      <c r="U367" s="51"/>
      <c r="V367" s="51"/>
      <c r="W367" s="51"/>
      <c r="X367" s="51"/>
      <c r="Y367" s="82"/>
      <c r="Z367" s="51"/>
      <c r="AA367" s="51"/>
      <c r="AB367" s="51"/>
      <c r="AC367" s="51"/>
      <c r="AD367" s="51"/>
      <c r="AE367" s="51"/>
      <c r="AF367" s="51"/>
      <c r="AG367" s="51"/>
    </row>
    <row r="368" spans="1:33" ht="15.75" customHeight="1">
      <c r="A368" s="79" t="str">
        <f>IF(C368="","",VLOOKUP('OPĆI DIO'!$C$3,'OPĆI DIO'!$L$6:$U$120,10,FALSE))</f>
        <v/>
      </c>
      <c r="B368" s="79" t="str">
        <f>IF(C368="","",VLOOKUP('OPĆI DIO'!$C$3,'OPĆI DIO'!$L$6:$U$120,9,FALSE))</f>
        <v/>
      </c>
      <c r="C368" s="84"/>
      <c r="D368" s="79" t="str">
        <f t="shared" si="0"/>
        <v/>
      </c>
      <c r="E368" s="84"/>
      <c r="F368" s="79" t="str">
        <f t="shared" si="1"/>
        <v/>
      </c>
      <c r="G368" s="84"/>
      <c r="H368" s="79" t="str">
        <f t="shared" si="42"/>
        <v/>
      </c>
      <c r="I368" s="79" t="str">
        <f t="shared" si="43"/>
        <v/>
      </c>
      <c r="J368" s="67"/>
      <c r="K368" s="67"/>
      <c r="L368" s="67"/>
      <c r="M368" s="68"/>
      <c r="N368" s="51"/>
      <c r="O368" s="51" t="str">
        <f t="shared" si="4"/>
        <v/>
      </c>
      <c r="P368" s="51" t="str">
        <f t="shared" si="5"/>
        <v/>
      </c>
      <c r="Q368" s="51" t="str">
        <f t="shared" si="6"/>
        <v/>
      </c>
      <c r="R368" s="51" t="str">
        <f t="shared" si="7"/>
        <v/>
      </c>
      <c r="S368" s="51"/>
      <c r="T368" s="51"/>
      <c r="U368" s="51"/>
      <c r="V368" s="51"/>
      <c r="W368" s="51"/>
      <c r="X368" s="51"/>
      <c r="Y368" s="82"/>
      <c r="Z368" s="51"/>
      <c r="AA368" s="51"/>
      <c r="AB368" s="51"/>
      <c r="AC368" s="51"/>
      <c r="AD368" s="51"/>
      <c r="AE368" s="51"/>
      <c r="AF368" s="51"/>
      <c r="AG368" s="51"/>
    </row>
    <row r="369" spans="1:33" ht="15.75" customHeight="1">
      <c r="A369" s="79" t="str">
        <f>IF(C369="","",VLOOKUP('OPĆI DIO'!$C$3,'OPĆI DIO'!$L$6:$U$120,10,FALSE))</f>
        <v/>
      </c>
      <c r="B369" s="79" t="str">
        <f>IF(C369="","",VLOOKUP('OPĆI DIO'!$C$3,'OPĆI DIO'!$L$6:$U$120,9,FALSE))</f>
        <v/>
      </c>
      <c r="C369" s="84"/>
      <c r="D369" s="79" t="str">
        <f t="shared" si="0"/>
        <v/>
      </c>
      <c r="E369" s="84"/>
      <c r="F369" s="79" t="str">
        <f t="shared" si="1"/>
        <v/>
      </c>
      <c r="G369" s="84"/>
      <c r="H369" s="79" t="str">
        <f t="shared" si="42"/>
        <v/>
      </c>
      <c r="I369" s="79" t="str">
        <f t="shared" si="43"/>
        <v/>
      </c>
      <c r="J369" s="67"/>
      <c r="K369" s="67"/>
      <c r="L369" s="67"/>
      <c r="M369" s="68"/>
      <c r="N369" s="51"/>
      <c r="O369" s="51" t="str">
        <f t="shared" si="4"/>
        <v/>
      </c>
      <c r="P369" s="51" t="str">
        <f t="shared" si="5"/>
        <v/>
      </c>
      <c r="Q369" s="51" t="str">
        <f t="shared" si="6"/>
        <v/>
      </c>
      <c r="R369" s="51" t="str">
        <f t="shared" si="7"/>
        <v/>
      </c>
      <c r="S369" s="51"/>
      <c r="T369" s="51"/>
      <c r="U369" s="51"/>
      <c r="V369" s="51"/>
      <c r="W369" s="51"/>
      <c r="X369" s="51"/>
      <c r="Y369" s="82"/>
      <c r="Z369" s="51"/>
      <c r="AA369" s="51"/>
      <c r="AB369" s="51"/>
      <c r="AC369" s="51"/>
      <c r="AD369" s="51"/>
      <c r="AE369" s="51"/>
      <c r="AF369" s="51"/>
      <c r="AG369" s="51"/>
    </row>
    <row r="370" spans="1:33" ht="15.75" customHeight="1">
      <c r="A370" s="79" t="str">
        <f>IF(C370="","",VLOOKUP('OPĆI DIO'!$C$3,'OPĆI DIO'!$L$6:$U$120,10,FALSE))</f>
        <v/>
      </c>
      <c r="B370" s="79" t="str">
        <f>IF(C370="","",VLOOKUP('OPĆI DIO'!$C$3,'OPĆI DIO'!$L$6:$U$120,9,FALSE))</f>
        <v/>
      </c>
      <c r="C370" s="84"/>
      <c r="D370" s="79" t="str">
        <f t="shared" si="0"/>
        <v/>
      </c>
      <c r="E370" s="84"/>
      <c r="F370" s="79" t="str">
        <f t="shared" si="1"/>
        <v/>
      </c>
      <c r="G370" s="84"/>
      <c r="H370" s="79" t="str">
        <f t="shared" si="42"/>
        <v/>
      </c>
      <c r="I370" s="79" t="str">
        <f t="shared" si="43"/>
        <v/>
      </c>
      <c r="J370" s="67"/>
      <c r="K370" s="67"/>
      <c r="L370" s="67"/>
      <c r="M370" s="68"/>
      <c r="N370" s="51"/>
      <c r="O370" s="51" t="str">
        <f t="shared" si="4"/>
        <v/>
      </c>
      <c r="P370" s="51" t="str">
        <f t="shared" si="5"/>
        <v/>
      </c>
      <c r="Q370" s="51" t="str">
        <f t="shared" si="6"/>
        <v/>
      </c>
      <c r="R370" s="51" t="str">
        <f t="shared" si="7"/>
        <v/>
      </c>
      <c r="S370" s="51"/>
      <c r="T370" s="51"/>
      <c r="U370" s="51"/>
      <c r="V370" s="51"/>
      <c r="W370" s="51"/>
      <c r="X370" s="51"/>
      <c r="Y370" s="82"/>
      <c r="Z370" s="51"/>
      <c r="AA370" s="51"/>
      <c r="AB370" s="51"/>
      <c r="AC370" s="51"/>
      <c r="AD370" s="51"/>
      <c r="AE370" s="51"/>
      <c r="AF370" s="51"/>
      <c r="AG370" s="51"/>
    </row>
    <row r="371" spans="1:33" ht="15.75" customHeight="1">
      <c r="A371" s="79" t="str">
        <f>IF(C371="","",VLOOKUP('OPĆI DIO'!$C$3,'OPĆI DIO'!$L$6:$U$120,10,FALSE))</f>
        <v/>
      </c>
      <c r="B371" s="79" t="str">
        <f>IF(C371="","",VLOOKUP('OPĆI DIO'!$C$3,'OPĆI DIO'!$L$6:$U$120,9,FALSE))</f>
        <v/>
      </c>
      <c r="C371" s="84"/>
      <c r="D371" s="79" t="str">
        <f t="shared" si="0"/>
        <v/>
      </c>
      <c r="E371" s="84"/>
      <c r="F371" s="79" t="str">
        <f t="shared" si="1"/>
        <v/>
      </c>
      <c r="G371" s="84"/>
      <c r="H371" s="79" t="str">
        <f t="shared" si="42"/>
        <v/>
      </c>
      <c r="I371" s="79" t="str">
        <f t="shared" si="43"/>
        <v/>
      </c>
      <c r="J371" s="67"/>
      <c r="K371" s="67"/>
      <c r="L371" s="67"/>
      <c r="M371" s="68"/>
      <c r="N371" s="51"/>
      <c r="O371" s="51" t="str">
        <f t="shared" si="4"/>
        <v/>
      </c>
      <c r="P371" s="51" t="str">
        <f t="shared" si="5"/>
        <v/>
      </c>
      <c r="Q371" s="51" t="str">
        <f t="shared" si="6"/>
        <v/>
      </c>
      <c r="R371" s="51" t="str">
        <f t="shared" si="7"/>
        <v/>
      </c>
      <c r="S371" s="51"/>
      <c r="T371" s="51"/>
      <c r="U371" s="51"/>
      <c r="V371" s="51"/>
      <c r="W371" s="51"/>
      <c r="X371" s="51"/>
      <c r="Y371" s="82"/>
      <c r="Z371" s="51"/>
      <c r="AA371" s="51"/>
      <c r="AB371" s="51"/>
      <c r="AC371" s="51"/>
      <c r="AD371" s="51"/>
      <c r="AE371" s="51"/>
      <c r="AF371" s="51"/>
      <c r="AG371" s="51"/>
    </row>
    <row r="372" spans="1:33" ht="15.75" customHeight="1">
      <c r="A372" s="79" t="str">
        <f>IF(C372="","",VLOOKUP('OPĆI DIO'!$C$3,'OPĆI DIO'!$L$6:$U$120,10,FALSE))</f>
        <v/>
      </c>
      <c r="B372" s="79" t="str">
        <f>IF(C372="","",VLOOKUP('OPĆI DIO'!$C$3,'OPĆI DIO'!$L$6:$U$120,9,FALSE))</f>
        <v/>
      </c>
      <c r="C372" s="84"/>
      <c r="D372" s="79" t="str">
        <f t="shared" si="0"/>
        <v/>
      </c>
      <c r="E372" s="84"/>
      <c r="F372" s="79" t="str">
        <f t="shared" si="1"/>
        <v/>
      </c>
      <c r="G372" s="84"/>
      <c r="H372" s="79" t="str">
        <f t="shared" si="42"/>
        <v/>
      </c>
      <c r="I372" s="79" t="str">
        <f t="shared" si="43"/>
        <v/>
      </c>
      <c r="J372" s="67"/>
      <c r="K372" s="67"/>
      <c r="L372" s="67"/>
      <c r="M372" s="68"/>
      <c r="N372" s="51"/>
      <c r="O372" s="51" t="str">
        <f t="shared" si="4"/>
        <v/>
      </c>
      <c r="P372" s="51" t="str">
        <f t="shared" si="5"/>
        <v/>
      </c>
      <c r="Q372" s="51" t="str">
        <f t="shared" si="6"/>
        <v/>
      </c>
      <c r="R372" s="51" t="str">
        <f t="shared" si="7"/>
        <v/>
      </c>
      <c r="S372" s="51"/>
      <c r="T372" s="51"/>
      <c r="U372" s="51"/>
      <c r="V372" s="51"/>
      <c r="W372" s="51"/>
      <c r="X372" s="51"/>
      <c r="Y372" s="82"/>
      <c r="Z372" s="51"/>
      <c r="AA372" s="51"/>
      <c r="AB372" s="51"/>
      <c r="AC372" s="51"/>
      <c r="AD372" s="51"/>
      <c r="AE372" s="51"/>
      <c r="AF372" s="51"/>
      <c r="AG372" s="51"/>
    </row>
    <row r="373" spans="1:33" ht="15.75" customHeight="1">
      <c r="A373" s="79" t="str">
        <f>IF(C373="","",VLOOKUP('OPĆI DIO'!$C$3,'OPĆI DIO'!$L$6:$U$120,10,FALSE))</f>
        <v/>
      </c>
      <c r="B373" s="79" t="str">
        <f>IF(C373="","",VLOOKUP('OPĆI DIO'!$C$3,'OPĆI DIO'!$L$6:$U$120,9,FALSE))</f>
        <v/>
      </c>
      <c r="C373" s="84"/>
      <c r="D373" s="79" t="str">
        <f t="shared" si="0"/>
        <v/>
      </c>
      <c r="E373" s="84"/>
      <c r="F373" s="79" t="str">
        <f t="shared" si="1"/>
        <v/>
      </c>
      <c r="G373" s="84"/>
      <c r="H373" s="79" t="str">
        <f t="shared" si="42"/>
        <v/>
      </c>
      <c r="I373" s="79" t="str">
        <f t="shared" si="43"/>
        <v/>
      </c>
      <c r="J373" s="67"/>
      <c r="K373" s="67"/>
      <c r="L373" s="67"/>
      <c r="M373" s="68"/>
      <c r="N373" s="51"/>
      <c r="O373" s="51" t="str">
        <f t="shared" si="4"/>
        <v/>
      </c>
      <c r="P373" s="51" t="str">
        <f t="shared" si="5"/>
        <v/>
      </c>
      <c r="Q373" s="51" t="str">
        <f t="shared" si="6"/>
        <v/>
      </c>
      <c r="R373" s="51" t="str">
        <f t="shared" si="7"/>
        <v/>
      </c>
      <c r="S373" s="51"/>
      <c r="T373" s="51"/>
      <c r="U373" s="51"/>
      <c r="V373" s="51"/>
      <c r="W373" s="51"/>
      <c r="X373" s="51"/>
      <c r="Y373" s="82"/>
      <c r="Z373" s="51"/>
      <c r="AA373" s="51"/>
      <c r="AB373" s="51"/>
      <c r="AC373" s="51"/>
      <c r="AD373" s="51"/>
      <c r="AE373" s="51"/>
      <c r="AF373" s="51"/>
      <c r="AG373" s="51"/>
    </row>
    <row r="374" spans="1:33" ht="15.75" customHeight="1">
      <c r="A374" s="79" t="str">
        <f>IF(C374="","",VLOOKUP('OPĆI DIO'!$C$3,'OPĆI DIO'!$L$6:$U$120,10,FALSE))</f>
        <v/>
      </c>
      <c r="B374" s="79" t="str">
        <f>IF(C374="","",VLOOKUP('OPĆI DIO'!$C$3,'OPĆI DIO'!$L$6:$U$120,9,FALSE))</f>
        <v/>
      </c>
      <c r="C374" s="84"/>
      <c r="D374" s="79" t="str">
        <f t="shared" si="0"/>
        <v/>
      </c>
      <c r="E374" s="84"/>
      <c r="F374" s="79" t="str">
        <f t="shared" si="1"/>
        <v/>
      </c>
      <c r="G374" s="84"/>
      <c r="H374" s="79" t="str">
        <f t="shared" si="42"/>
        <v/>
      </c>
      <c r="I374" s="79" t="str">
        <f t="shared" si="43"/>
        <v/>
      </c>
      <c r="J374" s="67"/>
      <c r="K374" s="67"/>
      <c r="L374" s="67"/>
      <c r="M374" s="68"/>
      <c r="N374" s="51"/>
      <c r="O374" s="51" t="str">
        <f t="shared" si="4"/>
        <v/>
      </c>
      <c r="P374" s="51" t="str">
        <f t="shared" si="5"/>
        <v/>
      </c>
      <c r="Q374" s="51" t="str">
        <f t="shared" si="6"/>
        <v/>
      </c>
      <c r="R374" s="51" t="str">
        <f t="shared" si="7"/>
        <v/>
      </c>
      <c r="S374" s="51"/>
      <c r="T374" s="51"/>
      <c r="U374" s="51"/>
      <c r="V374" s="51"/>
      <c r="W374" s="51"/>
      <c r="X374" s="51"/>
      <c r="Y374" s="82"/>
      <c r="Z374" s="51"/>
      <c r="AA374" s="51"/>
      <c r="AB374" s="51"/>
      <c r="AC374" s="51"/>
      <c r="AD374" s="51"/>
      <c r="AE374" s="51"/>
      <c r="AF374" s="51"/>
      <c r="AG374" s="51"/>
    </row>
    <row r="375" spans="1:33" ht="15.75" customHeight="1">
      <c r="A375" s="79" t="str">
        <f>IF(C375="","",VLOOKUP('OPĆI DIO'!$C$3,'OPĆI DIO'!$L$6:$U$120,10,FALSE))</f>
        <v/>
      </c>
      <c r="B375" s="79" t="str">
        <f>IF(C375="","",VLOOKUP('OPĆI DIO'!$C$3,'OPĆI DIO'!$L$6:$U$120,9,FALSE))</f>
        <v/>
      </c>
      <c r="C375" s="84"/>
      <c r="D375" s="79" t="str">
        <f t="shared" si="0"/>
        <v/>
      </c>
      <c r="E375" s="84"/>
      <c r="F375" s="79" t="str">
        <f t="shared" si="1"/>
        <v/>
      </c>
      <c r="G375" s="84"/>
      <c r="H375" s="79" t="str">
        <f t="shared" si="42"/>
        <v/>
      </c>
      <c r="I375" s="79" t="str">
        <f t="shared" si="43"/>
        <v/>
      </c>
      <c r="J375" s="67"/>
      <c r="K375" s="67"/>
      <c r="L375" s="67"/>
      <c r="M375" s="68"/>
      <c r="N375" s="51"/>
      <c r="O375" s="51" t="str">
        <f t="shared" si="4"/>
        <v/>
      </c>
      <c r="P375" s="51" t="str">
        <f t="shared" si="5"/>
        <v/>
      </c>
      <c r="Q375" s="51" t="str">
        <f t="shared" si="6"/>
        <v/>
      </c>
      <c r="R375" s="51" t="str">
        <f t="shared" si="7"/>
        <v/>
      </c>
      <c r="S375" s="51"/>
      <c r="T375" s="51"/>
      <c r="U375" s="51"/>
      <c r="V375" s="51"/>
      <c r="W375" s="51"/>
      <c r="X375" s="51"/>
      <c r="Y375" s="82"/>
      <c r="Z375" s="51"/>
      <c r="AA375" s="51"/>
      <c r="AB375" s="51"/>
      <c r="AC375" s="51"/>
      <c r="AD375" s="51"/>
      <c r="AE375" s="51"/>
      <c r="AF375" s="51"/>
      <c r="AG375" s="51"/>
    </row>
    <row r="376" spans="1:33" ht="15.75" customHeight="1">
      <c r="A376" s="79" t="str">
        <f>IF(C376="","",VLOOKUP('OPĆI DIO'!$C$3,'OPĆI DIO'!$L$6:$U$120,10,FALSE))</f>
        <v/>
      </c>
      <c r="B376" s="79" t="str">
        <f>IF(C376="","",VLOOKUP('OPĆI DIO'!$C$3,'OPĆI DIO'!$L$6:$U$120,9,FALSE))</f>
        <v/>
      </c>
      <c r="C376" s="84"/>
      <c r="D376" s="79" t="str">
        <f t="shared" si="0"/>
        <v/>
      </c>
      <c r="E376" s="84"/>
      <c r="F376" s="79" t="str">
        <f t="shared" si="1"/>
        <v/>
      </c>
      <c r="G376" s="84"/>
      <c r="H376" s="79" t="str">
        <f t="shared" si="42"/>
        <v/>
      </c>
      <c r="I376" s="79" t="str">
        <f t="shared" si="43"/>
        <v/>
      </c>
      <c r="J376" s="67"/>
      <c r="K376" s="67"/>
      <c r="L376" s="67"/>
      <c r="M376" s="68"/>
      <c r="N376" s="51"/>
      <c r="O376" s="51" t="str">
        <f t="shared" si="4"/>
        <v/>
      </c>
      <c r="P376" s="51" t="str">
        <f t="shared" si="5"/>
        <v/>
      </c>
      <c r="Q376" s="51" t="str">
        <f t="shared" si="6"/>
        <v/>
      </c>
      <c r="R376" s="51" t="str">
        <f t="shared" si="7"/>
        <v/>
      </c>
      <c r="S376" s="51"/>
      <c r="T376" s="51"/>
      <c r="U376" s="51"/>
      <c r="V376" s="51"/>
      <c r="W376" s="51"/>
      <c r="X376" s="51"/>
      <c r="Y376" s="82"/>
      <c r="Z376" s="51"/>
      <c r="AA376" s="51"/>
      <c r="AB376" s="51"/>
      <c r="AC376" s="51"/>
      <c r="AD376" s="51"/>
      <c r="AE376" s="51"/>
      <c r="AF376" s="51"/>
      <c r="AG376" s="51"/>
    </row>
    <row r="377" spans="1:33" ht="15.75" customHeight="1">
      <c r="A377" s="79" t="str">
        <f>IF(C377="","",VLOOKUP('OPĆI DIO'!$C$3,'OPĆI DIO'!$L$6:$U$120,10,FALSE))</f>
        <v/>
      </c>
      <c r="B377" s="79" t="str">
        <f>IF(C377="","",VLOOKUP('OPĆI DIO'!$C$3,'OPĆI DIO'!$L$6:$U$120,9,FALSE))</f>
        <v/>
      </c>
      <c r="C377" s="84"/>
      <c r="D377" s="79" t="str">
        <f t="shared" si="0"/>
        <v/>
      </c>
      <c r="E377" s="84"/>
      <c r="F377" s="79" t="str">
        <f t="shared" si="1"/>
        <v/>
      </c>
      <c r="G377" s="84"/>
      <c r="H377" s="79" t="str">
        <f t="shared" si="42"/>
        <v/>
      </c>
      <c r="I377" s="79" t="str">
        <f t="shared" si="43"/>
        <v/>
      </c>
      <c r="J377" s="67"/>
      <c r="K377" s="67"/>
      <c r="L377" s="67"/>
      <c r="M377" s="68"/>
      <c r="N377" s="51"/>
      <c r="O377" s="51" t="str">
        <f t="shared" si="4"/>
        <v/>
      </c>
      <c r="P377" s="51" t="str">
        <f t="shared" si="5"/>
        <v/>
      </c>
      <c r="Q377" s="51" t="str">
        <f t="shared" si="6"/>
        <v/>
      </c>
      <c r="R377" s="51" t="str">
        <f t="shared" si="7"/>
        <v/>
      </c>
      <c r="S377" s="51"/>
      <c r="T377" s="51"/>
      <c r="U377" s="51"/>
      <c r="V377" s="51"/>
      <c r="W377" s="51"/>
      <c r="X377" s="51"/>
      <c r="Y377" s="82"/>
      <c r="Z377" s="51"/>
      <c r="AA377" s="51"/>
      <c r="AB377" s="51"/>
      <c r="AC377" s="51"/>
      <c r="AD377" s="51"/>
      <c r="AE377" s="51"/>
      <c r="AF377" s="51"/>
      <c r="AG377" s="51"/>
    </row>
    <row r="378" spans="1:33" ht="15.75" customHeight="1">
      <c r="A378" s="79" t="str">
        <f>IF(C378="","",VLOOKUP('OPĆI DIO'!$C$3,'OPĆI DIO'!$L$6:$U$120,10,FALSE))</f>
        <v/>
      </c>
      <c r="B378" s="79" t="str">
        <f>IF(C378="","",VLOOKUP('OPĆI DIO'!$C$3,'OPĆI DIO'!$L$6:$U$120,9,FALSE))</f>
        <v/>
      </c>
      <c r="C378" s="84"/>
      <c r="D378" s="79" t="str">
        <f t="shared" si="0"/>
        <v/>
      </c>
      <c r="E378" s="84"/>
      <c r="F378" s="79" t="str">
        <f t="shared" si="1"/>
        <v/>
      </c>
      <c r="G378" s="84"/>
      <c r="H378" s="79" t="str">
        <f t="shared" si="42"/>
        <v/>
      </c>
      <c r="I378" s="79" t="str">
        <f t="shared" si="43"/>
        <v/>
      </c>
      <c r="J378" s="67"/>
      <c r="K378" s="67"/>
      <c r="L378" s="67"/>
      <c r="M378" s="68"/>
      <c r="N378" s="51"/>
      <c r="O378" s="51" t="str">
        <f t="shared" si="4"/>
        <v/>
      </c>
      <c r="P378" s="51" t="str">
        <f t="shared" si="5"/>
        <v/>
      </c>
      <c r="Q378" s="51" t="str">
        <f t="shared" si="6"/>
        <v/>
      </c>
      <c r="R378" s="51" t="str">
        <f t="shared" si="7"/>
        <v/>
      </c>
      <c r="S378" s="51"/>
      <c r="T378" s="51"/>
      <c r="U378" s="51"/>
      <c r="V378" s="51"/>
      <c r="W378" s="51"/>
      <c r="X378" s="51"/>
      <c r="Y378" s="82"/>
      <c r="Z378" s="51"/>
      <c r="AA378" s="51"/>
      <c r="AB378" s="51"/>
      <c r="AC378" s="51"/>
      <c r="AD378" s="51"/>
      <c r="AE378" s="51"/>
      <c r="AF378" s="51"/>
      <c r="AG378" s="51"/>
    </row>
    <row r="379" spans="1:33" ht="15.75" customHeight="1">
      <c r="A379" s="79" t="str">
        <f>IF(C379="","",VLOOKUP('OPĆI DIO'!$C$3,'OPĆI DIO'!$L$6:$U$120,10,FALSE))</f>
        <v/>
      </c>
      <c r="B379" s="79" t="str">
        <f>IF(C379="","",VLOOKUP('OPĆI DIO'!$C$3,'OPĆI DIO'!$L$6:$U$120,9,FALSE))</f>
        <v/>
      </c>
      <c r="C379" s="84"/>
      <c r="D379" s="79" t="str">
        <f t="shared" si="0"/>
        <v/>
      </c>
      <c r="E379" s="84"/>
      <c r="F379" s="79" t="str">
        <f t="shared" si="1"/>
        <v/>
      </c>
      <c r="G379" s="84"/>
      <c r="H379" s="79" t="str">
        <f t="shared" si="42"/>
        <v/>
      </c>
      <c r="I379" s="79" t="str">
        <f t="shared" si="43"/>
        <v/>
      </c>
      <c r="J379" s="67"/>
      <c r="K379" s="67"/>
      <c r="L379" s="67"/>
      <c r="M379" s="68"/>
      <c r="N379" s="51"/>
      <c r="O379" s="51" t="str">
        <f t="shared" si="4"/>
        <v/>
      </c>
      <c r="P379" s="51" t="str">
        <f t="shared" si="5"/>
        <v/>
      </c>
      <c r="Q379" s="51" t="str">
        <f t="shared" si="6"/>
        <v/>
      </c>
      <c r="R379" s="51" t="str">
        <f t="shared" si="7"/>
        <v/>
      </c>
      <c r="S379" s="51"/>
      <c r="T379" s="51"/>
      <c r="U379" s="51"/>
      <c r="V379" s="51"/>
      <c r="W379" s="51"/>
      <c r="X379" s="51"/>
      <c r="Y379" s="82"/>
      <c r="Z379" s="51"/>
      <c r="AA379" s="51"/>
      <c r="AB379" s="51"/>
      <c r="AC379" s="51"/>
      <c r="AD379" s="51"/>
      <c r="AE379" s="51"/>
      <c r="AF379" s="51"/>
      <c r="AG379" s="51"/>
    </row>
    <row r="380" spans="1:33" ht="15.75" customHeight="1">
      <c r="A380" s="79" t="str">
        <f>IF(C380="","",VLOOKUP('OPĆI DIO'!$C$3,'OPĆI DIO'!$L$6:$U$120,10,FALSE))</f>
        <v/>
      </c>
      <c r="B380" s="79" t="str">
        <f>IF(C380="","",VLOOKUP('OPĆI DIO'!$C$3,'OPĆI DIO'!$L$6:$U$120,9,FALSE))</f>
        <v/>
      </c>
      <c r="C380" s="84"/>
      <c r="D380" s="79" t="str">
        <f t="shared" si="0"/>
        <v/>
      </c>
      <c r="E380" s="84"/>
      <c r="F380" s="79" t="str">
        <f t="shared" si="1"/>
        <v/>
      </c>
      <c r="G380" s="84"/>
      <c r="H380" s="79" t="str">
        <f t="shared" si="42"/>
        <v/>
      </c>
      <c r="I380" s="79" t="str">
        <f t="shared" si="43"/>
        <v/>
      </c>
      <c r="J380" s="67"/>
      <c r="K380" s="67"/>
      <c r="L380" s="67"/>
      <c r="M380" s="68"/>
      <c r="N380" s="51"/>
      <c r="O380" s="51" t="str">
        <f t="shared" si="4"/>
        <v/>
      </c>
      <c r="P380" s="51" t="str">
        <f t="shared" si="5"/>
        <v/>
      </c>
      <c r="Q380" s="51" t="str">
        <f t="shared" si="6"/>
        <v/>
      </c>
      <c r="R380" s="51" t="str">
        <f t="shared" si="7"/>
        <v/>
      </c>
      <c r="S380" s="51"/>
      <c r="T380" s="51"/>
      <c r="U380" s="51"/>
      <c r="V380" s="51"/>
      <c r="W380" s="51"/>
      <c r="X380" s="51"/>
      <c r="Y380" s="82"/>
      <c r="Z380" s="51"/>
      <c r="AA380" s="51"/>
      <c r="AB380" s="51"/>
      <c r="AC380" s="51"/>
      <c r="AD380" s="51"/>
      <c r="AE380" s="51"/>
      <c r="AF380" s="51"/>
      <c r="AG380" s="51"/>
    </row>
    <row r="381" spans="1:33" ht="15.75" customHeight="1">
      <c r="A381" s="79" t="str">
        <f>IF(C381="","",VLOOKUP('OPĆI DIO'!$C$3,'OPĆI DIO'!$L$6:$U$120,10,FALSE))</f>
        <v/>
      </c>
      <c r="B381" s="79" t="str">
        <f>IF(C381="","",VLOOKUP('OPĆI DIO'!$C$3,'OPĆI DIO'!$L$6:$U$120,9,FALSE))</f>
        <v/>
      </c>
      <c r="C381" s="84"/>
      <c r="D381" s="79" t="str">
        <f t="shared" si="0"/>
        <v/>
      </c>
      <c r="E381" s="84"/>
      <c r="F381" s="79" t="str">
        <f t="shared" si="1"/>
        <v/>
      </c>
      <c r="G381" s="84"/>
      <c r="H381" s="79" t="str">
        <f t="shared" ref="H381:H444" si="44">IFERROR(VLOOKUP(G381,$AB$6:$AC$332,2,FALSE),"")</f>
        <v/>
      </c>
      <c r="I381" s="79" t="str">
        <f t="shared" ref="I381:I444" si="45">IFERROR(VLOOKUP(G381,$AB$6:$AF$332,3,FALSE),"")</f>
        <v/>
      </c>
      <c r="J381" s="67"/>
      <c r="K381" s="67"/>
      <c r="L381" s="67"/>
      <c r="M381" s="68"/>
      <c r="N381" s="51"/>
      <c r="O381" s="51" t="str">
        <f t="shared" si="4"/>
        <v/>
      </c>
      <c r="P381" s="51" t="str">
        <f t="shared" si="5"/>
        <v/>
      </c>
      <c r="Q381" s="51" t="str">
        <f t="shared" si="6"/>
        <v/>
      </c>
      <c r="R381" s="51" t="str">
        <f t="shared" si="7"/>
        <v/>
      </c>
      <c r="S381" s="51"/>
      <c r="T381" s="51"/>
      <c r="U381" s="51"/>
      <c r="V381" s="51"/>
      <c r="W381" s="51"/>
      <c r="X381" s="51"/>
      <c r="Y381" s="82"/>
      <c r="Z381" s="51"/>
      <c r="AA381" s="51"/>
      <c r="AB381" s="51"/>
      <c r="AC381" s="51"/>
      <c r="AD381" s="51"/>
      <c r="AE381" s="51"/>
      <c r="AF381" s="51"/>
      <c r="AG381" s="51"/>
    </row>
    <row r="382" spans="1:33" ht="15.75" customHeight="1">
      <c r="A382" s="79" t="str">
        <f>IF(C382="","",VLOOKUP('OPĆI DIO'!$C$3,'OPĆI DIO'!$L$6:$U$120,10,FALSE))</f>
        <v/>
      </c>
      <c r="B382" s="79" t="str">
        <f>IF(C382="","",VLOOKUP('OPĆI DIO'!$C$3,'OPĆI DIO'!$L$6:$U$120,9,FALSE))</f>
        <v/>
      </c>
      <c r="C382" s="84"/>
      <c r="D382" s="79" t="str">
        <f t="shared" si="0"/>
        <v/>
      </c>
      <c r="E382" s="84"/>
      <c r="F382" s="79" t="str">
        <f t="shared" si="1"/>
        <v/>
      </c>
      <c r="G382" s="84"/>
      <c r="H382" s="79" t="str">
        <f t="shared" si="44"/>
        <v/>
      </c>
      <c r="I382" s="79" t="str">
        <f t="shared" si="45"/>
        <v/>
      </c>
      <c r="J382" s="67"/>
      <c r="K382" s="67"/>
      <c r="L382" s="67"/>
      <c r="M382" s="68"/>
      <c r="N382" s="51"/>
      <c r="O382" s="51" t="str">
        <f t="shared" si="4"/>
        <v/>
      </c>
      <c r="P382" s="51" t="str">
        <f t="shared" si="5"/>
        <v/>
      </c>
      <c r="Q382" s="51" t="str">
        <f t="shared" si="6"/>
        <v/>
      </c>
      <c r="R382" s="51" t="str">
        <f t="shared" si="7"/>
        <v/>
      </c>
      <c r="S382" s="51"/>
      <c r="T382" s="51"/>
      <c r="U382" s="51"/>
      <c r="V382" s="51"/>
      <c r="W382" s="51"/>
      <c r="X382" s="51"/>
      <c r="Y382" s="82"/>
      <c r="Z382" s="51"/>
      <c r="AA382" s="51"/>
      <c r="AB382" s="51"/>
      <c r="AC382" s="51"/>
      <c r="AD382" s="51"/>
      <c r="AE382" s="51"/>
      <c r="AF382" s="51"/>
      <c r="AG382" s="51"/>
    </row>
    <row r="383" spans="1:33" ht="15.75" customHeight="1">
      <c r="A383" s="79" t="str">
        <f>IF(C383="","",VLOOKUP('OPĆI DIO'!$C$3,'OPĆI DIO'!$L$6:$U$120,10,FALSE))</f>
        <v/>
      </c>
      <c r="B383" s="79" t="str">
        <f>IF(C383="","",VLOOKUP('OPĆI DIO'!$C$3,'OPĆI DIO'!$L$6:$U$120,9,FALSE))</f>
        <v/>
      </c>
      <c r="C383" s="84"/>
      <c r="D383" s="79" t="str">
        <f t="shared" si="0"/>
        <v/>
      </c>
      <c r="E383" s="84"/>
      <c r="F383" s="79" t="str">
        <f t="shared" si="1"/>
        <v/>
      </c>
      <c r="G383" s="84"/>
      <c r="H383" s="79" t="str">
        <f t="shared" si="44"/>
        <v/>
      </c>
      <c r="I383" s="79" t="str">
        <f t="shared" si="45"/>
        <v/>
      </c>
      <c r="J383" s="67"/>
      <c r="K383" s="67"/>
      <c r="L383" s="67"/>
      <c r="M383" s="68"/>
      <c r="N383" s="51"/>
      <c r="O383" s="51" t="str">
        <f t="shared" si="4"/>
        <v/>
      </c>
      <c r="P383" s="51" t="str">
        <f t="shared" si="5"/>
        <v/>
      </c>
      <c r="Q383" s="51" t="str">
        <f t="shared" si="6"/>
        <v/>
      </c>
      <c r="R383" s="51" t="str">
        <f t="shared" si="7"/>
        <v/>
      </c>
      <c r="S383" s="51"/>
      <c r="T383" s="51"/>
      <c r="U383" s="51"/>
      <c r="V383" s="51"/>
      <c r="W383" s="51"/>
      <c r="X383" s="51"/>
      <c r="Y383" s="82"/>
      <c r="Z383" s="51"/>
      <c r="AA383" s="51"/>
      <c r="AB383" s="51"/>
      <c r="AC383" s="51"/>
      <c r="AD383" s="51"/>
      <c r="AE383" s="51"/>
      <c r="AF383" s="51"/>
      <c r="AG383" s="51"/>
    </row>
    <row r="384" spans="1:33" ht="15.75" customHeight="1">
      <c r="A384" s="79" t="str">
        <f>IF(C384="","",VLOOKUP('OPĆI DIO'!$C$3,'OPĆI DIO'!$L$6:$U$120,10,FALSE))</f>
        <v/>
      </c>
      <c r="B384" s="79" t="str">
        <f>IF(C384="","",VLOOKUP('OPĆI DIO'!$C$3,'OPĆI DIO'!$L$6:$U$120,9,FALSE))</f>
        <v/>
      </c>
      <c r="C384" s="84"/>
      <c r="D384" s="79" t="str">
        <f t="shared" si="0"/>
        <v/>
      </c>
      <c r="E384" s="84"/>
      <c r="F384" s="79" t="str">
        <f t="shared" si="1"/>
        <v/>
      </c>
      <c r="G384" s="84"/>
      <c r="H384" s="79" t="str">
        <f t="shared" si="44"/>
        <v/>
      </c>
      <c r="I384" s="79" t="str">
        <f t="shared" si="45"/>
        <v/>
      </c>
      <c r="J384" s="67"/>
      <c r="K384" s="67"/>
      <c r="L384" s="67"/>
      <c r="M384" s="68"/>
      <c r="N384" s="51"/>
      <c r="O384" s="51" t="str">
        <f t="shared" si="4"/>
        <v/>
      </c>
      <c r="P384" s="51" t="str">
        <f t="shared" si="5"/>
        <v/>
      </c>
      <c r="Q384" s="51" t="str">
        <f t="shared" si="6"/>
        <v/>
      </c>
      <c r="R384" s="51" t="str">
        <f t="shared" si="7"/>
        <v/>
      </c>
      <c r="S384" s="51"/>
      <c r="T384" s="51"/>
      <c r="U384" s="51"/>
      <c r="V384" s="51"/>
      <c r="W384" s="51"/>
      <c r="X384" s="51"/>
      <c r="Y384" s="82"/>
      <c r="Z384" s="51"/>
      <c r="AA384" s="51"/>
      <c r="AB384" s="51"/>
      <c r="AC384" s="51"/>
      <c r="AD384" s="51"/>
      <c r="AE384" s="51"/>
      <c r="AF384" s="51"/>
      <c r="AG384" s="51"/>
    </row>
    <row r="385" spans="1:33" ht="15.75" customHeight="1">
      <c r="A385" s="79" t="str">
        <f>IF(C385="","",VLOOKUP('OPĆI DIO'!$C$3,'OPĆI DIO'!$L$6:$U$120,10,FALSE))</f>
        <v/>
      </c>
      <c r="B385" s="79" t="str">
        <f>IF(C385="","",VLOOKUP('OPĆI DIO'!$C$3,'OPĆI DIO'!$L$6:$U$120,9,FALSE))</f>
        <v/>
      </c>
      <c r="C385" s="84"/>
      <c r="D385" s="79" t="str">
        <f t="shared" si="0"/>
        <v/>
      </c>
      <c r="E385" s="84"/>
      <c r="F385" s="79" t="str">
        <f t="shared" si="1"/>
        <v/>
      </c>
      <c r="G385" s="84"/>
      <c r="H385" s="79" t="str">
        <f t="shared" si="44"/>
        <v/>
      </c>
      <c r="I385" s="79" t="str">
        <f t="shared" si="45"/>
        <v/>
      </c>
      <c r="J385" s="67"/>
      <c r="K385" s="67"/>
      <c r="L385" s="67"/>
      <c r="M385" s="68"/>
      <c r="N385" s="51"/>
      <c r="O385" s="51" t="str">
        <f t="shared" si="4"/>
        <v/>
      </c>
      <c r="P385" s="51" t="str">
        <f t="shared" si="5"/>
        <v/>
      </c>
      <c r="Q385" s="51" t="str">
        <f t="shared" si="6"/>
        <v/>
      </c>
      <c r="R385" s="51" t="str">
        <f t="shared" si="7"/>
        <v/>
      </c>
      <c r="S385" s="51"/>
      <c r="T385" s="51"/>
      <c r="U385" s="51"/>
      <c r="V385" s="51"/>
      <c r="W385" s="51"/>
      <c r="X385" s="51"/>
      <c r="Y385" s="82"/>
      <c r="Z385" s="51"/>
      <c r="AA385" s="51"/>
      <c r="AB385" s="51"/>
      <c r="AC385" s="51"/>
      <c r="AD385" s="51"/>
      <c r="AE385" s="51"/>
      <c r="AF385" s="51"/>
      <c r="AG385" s="51"/>
    </row>
    <row r="386" spans="1:33" ht="15.75" customHeight="1">
      <c r="A386" s="79" t="str">
        <f>IF(C386="","",VLOOKUP('OPĆI DIO'!$C$3,'OPĆI DIO'!$L$6:$U$120,10,FALSE))</f>
        <v/>
      </c>
      <c r="B386" s="79" t="str">
        <f>IF(C386="","",VLOOKUP('OPĆI DIO'!$C$3,'OPĆI DIO'!$L$6:$U$120,9,FALSE))</f>
        <v/>
      </c>
      <c r="C386" s="84"/>
      <c r="D386" s="79" t="str">
        <f t="shared" si="0"/>
        <v/>
      </c>
      <c r="E386" s="84"/>
      <c r="F386" s="79" t="str">
        <f t="shared" si="1"/>
        <v/>
      </c>
      <c r="G386" s="84"/>
      <c r="H386" s="79" t="str">
        <f t="shared" si="44"/>
        <v/>
      </c>
      <c r="I386" s="79" t="str">
        <f t="shared" si="45"/>
        <v/>
      </c>
      <c r="J386" s="67"/>
      <c r="K386" s="67"/>
      <c r="L386" s="67"/>
      <c r="M386" s="68"/>
      <c r="N386" s="51"/>
      <c r="O386" s="51" t="str">
        <f t="shared" si="4"/>
        <v/>
      </c>
      <c r="P386" s="51" t="str">
        <f t="shared" si="5"/>
        <v/>
      </c>
      <c r="Q386" s="51" t="str">
        <f t="shared" si="6"/>
        <v/>
      </c>
      <c r="R386" s="51" t="str">
        <f t="shared" si="7"/>
        <v/>
      </c>
      <c r="S386" s="51"/>
      <c r="T386" s="51"/>
      <c r="U386" s="51"/>
      <c r="V386" s="51"/>
      <c r="W386" s="51"/>
      <c r="X386" s="51"/>
      <c r="Y386" s="82"/>
      <c r="Z386" s="51"/>
      <c r="AA386" s="51"/>
      <c r="AB386" s="51"/>
      <c r="AC386" s="51"/>
      <c r="AD386" s="51"/>
      <c r="AE386" s="51"/>
      <c r="AF386" s="51"/>
      <c r="AG386" s="51"/>
    </row>
    <row r="387" spans="1:33" ht="15.75" customHeight="1">
      <c r="A387" s="79" t="str">
        <f>IF(C387="","",VLOOKUP('OPĆI DIO'!$C$3,'OPĆI DIO'!$L$6:$U$120,10,FALSE))</f>
        <v/>
      </c>
      <c r="B387" s="79" t="str">
        <f>IF(C387="","",VLOOKUP('OPĆI DIO'!$C$3,'OPĆI DIO'!$L$6:$U$120,9,FALSE))</f>
        <v/>
      </c>
      <c r="C387" s="84"/>
      <c r="D387" s="79" t="str">
        <f t="shared" si="0"/>
        <v/>
      </c>
      <c r="E387" s="84"/>
      <c r="F387" s="79" t="str">
        <f t="shared" si="1"/>
        <v/>
      </c>
      <c r="G387" s="84"/>
      <c r="H387" s="79" t="str">
        <f t="shared" si="44"/>
        <v/>
      </c>
      <c r="I387" s="79" t="str">
        <f t="shared" si="45"/>
        <v/>
      </c>
      <c r="J387" s="67"/>
      <c r="K387" s="67"/>
      <c r="L387" s="67"/>
      <c r="M387" s="68"/>
      <c r="N387" s="51"/>
      <c r="O387" s="51" t="str">
        <f t="shared" si="4"/>
        <v/>
      </c>
      <c r="P387" s="51" t="str">
        <f t="shared" si="5"/>
        <v/>
      </c>
      <c r="Q387" s="51" t="str">
        <f t="shared" si="6"/>
        <v/>
      </c>
      <c r="R387" s="51" t="str">
        <f t="shared" si="7"/>
        <v/>
      </c>
      <c r="S387" s="51"/>
      <c r="T387" s="51"/>
      <c r="U387" s="51"/>
      <c r="V387" s="51"/>
      <c r="W387" s="51"/>
      <c r="X387" s="51"/>
      <c r="Y387" s="82"/>
      <c r="Z387" s="51"/>
      <c r="AA387" s="51"/>
      <c r="AB387" s="51"/>
      <c r="AC387" s="51"/>
      <c r="AD387" s="51"/>
      <c r="AE387" s="51"/>
      <c r="AF387" s="51"/>
      <c r="AG387" s="51"/>
    </row>
    <row r="388" spans="1:33" ht="15.75" customHeight="1">
      <c r="A388" s="79" t="str">
        <f>IF(C388="","",VLOOKUP('OPĆI DIO'!$C$3,'OPĆI DIO'!$L$6:$U$120,10,FALSE))</f>
        <v/>
      </c>
      <c r="B388" s="79" t="str">
        <f>IF(C388="","",VLOOKUP('OPĆI DIO'!$C$3,'OPĆI DIO'!$L$6:$U$120,9,FALSE))</f>
        <v/>
      </c>
      <c r="C388" s="84"/>
      <c r="D388" s="79" t="str">
        <f t="shared" si="0"/>
        <v/>
      </c>
      <c r="E388" s="84"/>
      <c r="F388" s="79" t="str">
        <f t="shared" si="1"/>
        <v/>
      </c>
      <c r="G388" s="84"/>
      <c r="H388" s="79" t="str">
        <f t="shared" si="44"/>
        <v/>
      </c>
      <c r="I388" s="79" t="str">
        <f t="shared" si="45"/>
        <v/>
      </c>
      <c r="J388" s="67"/>
      <c r="K388" s="67"/>
      <c r="L388" s="67"/>
      <c r="M388" s="68"/>
      <c r="N388" s="51"/>
      <c r="O388" s="51" t="str">
        <f t="shared" si="4"/>
        <v/>
      </c>
      <c r="P388" s="51" t="str">
        <f t="shared" si="5"/>
        <v/>
      </c>
      <c r="Q388" s="51" t="str">
        <f t="shared" si="6"/>
        <v/>
      </c>
      <c r="R388" s="51" t="str">
        <f t="shared" si="7"/>
        <v/>
      </c>
      <c r="S388" s="51"/>
      <c r="T388" s="51"/>
      <c r="U388" s="51"/>
      <c r="V388" s="51"/>
      <c r="W388" s="51"/>
      <c r="X388" s="51"/>
      <c r="Y388" s="82"/>
      <c r="Z388" s="51"/>
      <c r="AA388" s="51"/>
      <c r="AB388" s="51"/>
      <c r="AC388" s="51"/>
      <c r="AD388" s="51"/>
      <c r="AE388" s="51"/>
      <c r="AF388" s="51"/>
      <c r="AG388" s="51"/>
    </row>
    <row r="389" spans="1:33" ht="15.75" customHeight="1">
      <c r="A389" s="79" t="str">
        <f>IF(C389="","",VLOOKUP('OPĆI DIO'!$C$3,'OPĆI DIO'!$L$6:$U$120,10,FALSE))</f>
        <v/>
      </c>
      <c r="B389" s="79" t="str">
        <f>IF(C389="","",VLOOKUP('OPĆI DIO'!$C$3,'OPĆI DIO'!$L$6:$U$120,9,FALSE))</f>
        <v/>
      </c>
      <c r="C389" s="84"/>
      <c r="D389" s="79" t="str">
        <f t="shared" si="0"/>
        <v/>
      </c>
      <c r="E389" s="84"/>
      <c r="F389" s="79" t="str">
        <f t="shared" si="1"/>
        <v/>
      </c>
      <c r="G389" s="84"/>
      <c r="H389" s="79" t="str">
        <f t="shared" si="44"/>
        <v/>
      </c>
      <c r="I389" s="79" t="str">
        <f t="shared" si="45"/>
        <v/>
      </c>
      <c r="J389" s="67"/>
      <c r="K389" s="67"/>
      <c r="L389" s="67"/>
      <c r="M389" s="68"/>
      <c r="N389" s="51"/>
      <c r="O389" s="51" t="str">
        <f t="shared" si="4"/>
        <v/>
      </c>
      <c r="P389" s="51" t="str">
        <f t="shared" si="5"/>
        <v/>
      </c>
      <c r="Q389" s="51" t="str">
        <f t="shared" si="6"/>
        <v/>
      </c>
      <c r="R389" s="51" t="str">
        <f t="shared" si="7"/>
        <v/>
      </c>
      <c r="S389" s="51"/>
      <c r="T389" s="51"/>
      <c r="U389" s="51"/>
      <c r="V389" s="51"/>
      <c r="W389" s="51"/>
      <c r="X389" s="51"/>
      <c r="Y389" s="82"/>
      <c r="Z389" s="51"/>
      <c r="AA389" s="51"/>
      <c r="AB389" s="51"/>
      <c r="AC389" s="51"/>
      <c r="AD389" s="51"/>
      <c r="AE389" s="51"/>
      <c r="AF389" s="51"/>
      <c r="AG389" s="51"/>
    </row>
    <row r="390" spans="1:33" ht="15.75" customHeight="1">
      <c r="A390" s="79" t="str">
        <f>IF(C390="","",VLOOKUP('OPĆI DIO'!$C$3,'OPĆI DIO'!$L$6:$U$120,10,FALSE))</f>
        <v/>
      </c>
      <c r="B390" s="79" t="str">
        <f>IF(C390="","",VLOOKUP('OPĆI DIO'!$C$3,'OPĆI DIO'!$L$6:$U$120,9,FALSE))</f>
        <v/>
      </c>
      <c r="C390" s="84"/>
      <c r="D390" s="79" t="str">
        <f t="shared" si="0"/>
        <v/>
      </c>
      <c r="E390" s="84"/>
      <c r="F390" s="79" t="str">
        <f t="shared" si="1"/>
        <v/>
      </c>
      <c r="G390" s="84"/>
      <c r="H390" s="79" t="str">
        <f t="shared" si="44"/>
        <v/>
      </c>
      <c r="I390" s="79" t="str">
        <f t="shared" si="45"/>
        <v/>
      </c>
      <c r="J390" s="67"/>
      <c r="K390" s="67"/>
      <c r="L390" s="67"/>
      <c r="M390" s="68"/>
      <c r="N390" s="51"/>
      <c r="O390" s="51" t="str">
        <f t="shared" si="4"/>
        <v/>
      </c>
      <c r="P390" s="51" t="str">
        <f t="shared" si="5"/>
        <v/>
      </c>
      <c r="Q390" s="51" t="str">
        <f t="shared" si="6"/>
        <v/>
      </c>
      <c r="R390" s="51" t="str">
        <f t="shared" si="7"/>
        <v/>
      </c>
      <c r="S390" s="51"/>
      <c r="T390" s="51"/>
      <c r="U390" s="51"/>
      <c r="V390" s="51"/>
      <c r="W390" s="51"/>
      <c r="X390" s="51"/>
      <c r="Y390" s="82"/>
      <c r="Z390" s="51"/>
      <c r="AA390" s="51"/>
      <c r="AB390" s="51"/>
      <c r="AC390" s="51"/>
      <c r="AD390" s="51"/>
      <c r="AE390" s="51"/>
      <c r="AF390" s="51"/>
      <c r="AG390" s="51"/>
    </row>
    <row r="391" spans="1:33" ht="15.75" customHeight="1">
      <c r="A391" s="79" t="str">
        <f>IF(C391="","",VLOOKUP('OPĆI DIO'!$C$3,'OPĆI DIO'!$L$6:$U$120,10,FALSE))</f>
        <v/>
      </c>
      <c r="B391" s="79" t="str">
        <f>IF(C391="","",VLOOKUP('OPĆI DIO'!$C$3,'OPĆI DIO'!$L$6:$U$120,9,FALSE))</f>
        <v/>
      </c>
      <c r="C391" s="84"/>
      <c r="D391" s="79" t="str">
        <f t="shared" si="0"/>
        <v/>
      </c>
      <c r="E391" s="84"/>
      <c r="F391" s="79" t="str">
        <f t="shared" si="1"/>
        <v/>
      </c>
      <c r="G391" s="84"/>
      <c r="H391" s="79" t="str">
        <f t="shared" si="44"/>
        <v/>
      </c>
      <c r="I391" s="79" t="str">
        <f t="shared" si="45"/>
        <v/>
      </c>
      <c r="J391" s="67"/>
      <c r="K391" s="67"/>
      <c r="L391" s="67"/>
      <c r="M391" s="68"/>
      <c r="N391" s="51"/>
      <c r="O391" s="51" t="str">
        <f t="shared" si="4"/>
        <v/>
      </c>
      <c r="P391" s="51" t="str">
        <f t="shared" si="5"/>
        <v/>
      </c>
      <c r="Q391" s="51" t="str">
        <f t="shared" si="6"/>
        <v/>
      </c>
      <c r="R391" s="51" t="str">
        <f t="shared" si="7"/>
        <v/>
      </c>
      <c r="S391" s="51"/>
      <c r="T391" s="51"/>
      <c r="U391" s="51"/>
      <c r="V391" s="51"/>
      <c r="W391" s="51"/>
      <c r="X391" s="51"/>
      <c r="Y391" s="82"/>
      <c r="Z391" s="51"/>
      <c r="AA391" s="51"/>
      <c r="AB391" s="51"/>
      <c r="AC391" s="51"/>
      <c r="AD391" s="51"/>
      <c r="AE391" s="51"/>
      <c r="AF391" s="51"/>
      <c r="AG391" s="51"/>
    </row>
    <row r="392" spans="1:33" ht="15.75" customHeight="1">
      <c r="A392" s="79" t="str">
        <f>IF(C392="","",VLOOKUP('OPĆI DIO'!$C$3,'OPĆI DIO'!$L$6:$U$120,10,FALSE))</f>
        <v/>
      </c>
      <c r="B392" s="79" t="str">
        <f>IF(C392="","",VLOOKUP('OPĆI DIO'!$C$3,'OPĆI DIO'!$L$6:$U$120,9,FALSE))</f>
        <v/>
      </c>
      <c r="C392" s="84"/>
      <c r="D392" s="79" t="str">
        <f t="shared" si="0"/>
        <v/>
      </c>
      <c r="E392" s="84"/>
      <c r="F392" s="79" t="str">
        <f t="shared" si="1"/>
        <v/>
      </c>
      <c r="G392" s="84"/>
      <c r="H392" s="79" t="str">
        <f t="shared" si="44"/>
        <v/>
      </c>
      <c r="I392" s="79" t="str">
        <f t="shared" si="45"/>
        <v/>
      </c>
      <c r="J392" s="67"/>
      <c r="K392" s="67"/>
      <c r="L392" s="67"/>
      <c r="M392" s="68"/>
      <c r="N392" s="51"/>
      <c r="O392" s="51" t="str">
        <f t="shared" si="4"/>
        <v/>
      </c>
      <c r="P392" s="51" t="str">
        <f t="shared" si="5"/>
        <v/>
      </c>
      <c r="Q392" s="51" t="str">
        <f t="shared" si="6"/>
        <v/>
      </c>
      <c r="R392" s="51" t="str">
        <f t="shared" si="7"/>
        <v/>
      </c>
      <c r="S392" s="51"/>
      <c r="T392" s="51"/>
      <c r="U392" s="51"/>
      <c r="V392" s="51"/>
      <c r="W392" s="51"/>
      <c r="X392" s="51"/>
      <c r="Y392" s="82"/>
      <c r="Z392" s="51"/>
      <c r="AA392" s="51"/>
      <c r="AB392" s="51"/>
      <c r="AC392" s="51"/>
      <c r="AD392" s="51"/>
      <c r="AE392" s="51"/>
      <c r="AF392" s="51"/>
      <c r="AG392" s="51"/>
    </row>
    <row r="393" spans="1:33" ht="15.75" customHeight="1">
      <c r="A393" s="79" t="str">
        <f>IF(C393="","",VLOOKUP('OPĆI DIO'!$C$3,'OPĆI DIO'!$L$6:$U$120,10,FALSE))</f>
        <v/>
      </c>
      <c r="B393" s="79" t="str">
        <f>IF(C393="","",VLOOKUP('OPĆI DIO'!$C$3,'OPĆI DIO'!$L$6:$U$120,9,FALSE))</f>
        <v/>
      </c>
      <c r="C393" s="84"/>
      <c r="D393" s="79" t="str">
        <f t="shared" si="0"/>
        <v/>
      </c>
      <c r="E393" s="84"/>
      <c r="F393" s="79" t="str">
        <f t="shared" si="1"/>
        <v/>
      </c>
      <c r="G393" s="84"/>
      <c r="H393" s="79" t="str">
        <f t="shared" si="44"/>
        <v/>
      </c>
      <c r="I393" s="79" t="str">
        <f t="shared" si="45"/>
        <v/>
      </c>
      <c r="J393" s="67"/>
      <c r="K393" s="67"/>
      <c r="L393" s="67"/>
      <c r="M393" s="68"/>
      <c r="N393" s="51"/>
      <c r="O393" s="51" t="str">
        <f t="shared" si="4"/>
        <v/>
      </c>
      <c r="P393" s="51" t="str">
        <f t="shared" si="5"/>
        <v/>
      </c>
      <c r="Q393" s="51" t="str">
        <f t="shared" si="6"/>
        <v/>
      </c>
      <c r="R393" s="51" t="str">
        <f t="shared" si="7"/>
        <v/>
      </c>
      <c r="S393" s="51"/>
      <c r="T393" s="51"/>
      <c r="U393" s="51"/>
      <c r="V393" s="51"/>
      <c r="W393" s="51"/>
      <c r="X393" s="51"/>
      <c r="Y393" s="82"/>
      <c r="Z393" s="51"/>
      <c r="AA393" s="51"/>
      <c r="AB393" s="51"/>
      <c r="AC393" s="51"/>
      <c r="AD393" s="51"/>
      <c r="AE393" s="51"/>
      <c r="AF393" s="51"/>
      <c r="AG393" s="51"/>
    </row>
    <row r="394" spans="1:33" ht="15.75" customHeight="1">
      <c r="A394" s="79" t="str">
        <f>IF(C394="","",VLOOKUP('OPĆI DIO'!$C$3,'OPĆI DIO'!$L$6:$U$120,10,FALSE))</f>
        <v/>
      </c>
      <c r="B394" s="79" t="str">
        <f>IF(C394="","",VLOOKUP('OPĆI DIO'!$C$3,'OPĆI DIO'!$L$6:$U$120,9,FALSE))</f>
        <v/>
      </c>
      <c r="C394" s="84"/>
      <c r="D394" s="79" t="str">
        <f t="shared" si="0"/>
        <v/>
      </c>
      <c r="E394" s="84"/>
      <c r="F394" s="79" t="str">
        <f t="shared" si="1"/>
        <v/>
      </c>
      <c r="G394" s="84"/>
      <c r="H394" s="79" t="str">
        <f t="shared" si="44"/>
        <v/>
      </c>
      <c r="I394" s="79" t="str">
        <f t="shared" si="45"/>
        <v/>
      </c>
      <c r="J394" s="67"/>
      <c r="K394" s="67"/>
      <c r="L394" s="67"/>
      <c r="M394" s="68"/>
      <c r="N394" s="51"/>
      <c r="O394" s="51" t="str">
        <f t="shared" si="4"/>
        <v/>
      </c>
      <c r="P394" s="51" t="str">
        <f t="shared" si="5"/>
        <v/>
      </c>
      <c r="Q394" s="51" t="str">
        <f t="shared" si="6"/>
        <v/>
      </c>
      <c r="R394" s="51" t="str">
        <f t="shared" si="7"/>
        <v/>
      </c>
      <c r="S394" s="51"/>
      <c r="T394" s="51"/>
      <c r="U394" s="51"/>
      <c r="V394" s="51"/>
      <c r="W394" s="51"/>
      <c r="X394" s="51"/>
      <c r="Y394" s="82"/>
      <c r="Z394" s="51"/>
      <c r="AA394" s="51"/>
      <c r="AB394" s="51"/>
      <c r="AC394" s="51"/>
      <c r="AD394" s="51"/>
      <c r="AE394" s="51"/>
      <c r="AF394" s="51"/>
      <c r="AG394" s="51"/>
    </row>
    <row r="395" spans="1:33" ht="15.75" customHeight="1">
      <c r="A395" s="79" t="str">
        <f>IF(C395="","",VLOOKUP('OPĆI DIO'!$C$3,'OPĆI DIO'!$L$6:$U$120,10,FALSE))</f>
        <v/>
      </c>
      <c r="B395" s="79" t="str">
        <f>IF(C395="","",VLOOKUP('OPĆI DIO'!$C$3,'OPĆI DIO'!$L$6:$U$120,9,FALSE))</f>
        <v/>
      </c>
      <c r="C395" s="84"/>
      <c r="D395" s="79" t="str">
        <f t="shared" si="0"/>
        <v/>
      </c>
      <c r="E395" s="84"/>
      <c r="F395" s="79" t="str">
        <f t="shared" si="1"/>
        <v/>
      </c>
      <c r="G395" s="84"/>
      <c r="H395" s="79" t="str">
        <f t="shared" si="44"/>
        <v/>
      </c>
      <c r="I395" s="79" t="str">
        <f t="shared" si="45"/>
        <v/>
      </c>
      <c r="J395" s="67"/>
      <c r="K395" s="67"/>
      <c r="L395" s="67"/>
      <c r="M395" s="68"/>
      <c r="N395" s="51"/>
      <c r="O395" s="51" t="str">
        <f t="shared" si="4"/>
        <v/>
      </c>
      <c r="P395" s="51" t="str">
        <f t="shared" si="5"/>
        <v/>
      </c>
      <c r="Q395" s="51" t="str">
        <f t="shared" si="6"/>
        <v/>
      </c>
      <c r="R395" s="51" t="str">
        <f t="shared" si="7"/>
        <v/>
      </c>
      <c r="S395" s="51"/>
      <c r="T395" s="51"/>
      <c r="U395" s="51"/>
      <c r="V395" s="51"/>
      <c r="W395" s="51"/>
      <c r="X395" s="51"/>
      <c r="Y395" s="82"/>
      <c r="Z395" s="51"/>
      <c r="AA395" s="51"/>
      <c r="AB395" s="51"/>
      <c r="AC395" s="51"/>
      <c r="AD395" s="51"/>
      <c r="AE395" s="51"/>
      <c r="AF395" s="51"/>
      <c r="AG395" s="51"/>
    </row>
    <row r="396" spans="1:33" ht="15.75" customHeight="1">
      <c r="A396" s="79" t="str">
        <f>IF(C396="","",VLOOKUP('OPĆI DIO'!$C$3,'OPĆI DIO'!$L$6:$U$120,10,FALSE))</f>
        <v/>
      </c>
      <c r="B396" s="79" t="str">
        <f>IF(C396="","",VLOOKUP('OPĆI DIO'!$C$3,'OPĆI DIO'!$L$6:$U$120,9,FALSE))</f>
        <v/>
      </c>
      <c r="C396" s="84"/>
      <c r="D396" s="79" t="str">
        <f t="shared" si="0"/>
        <v/>
      </c>
      <c r="E396" s="84"/>
      <c r="F396" s="79" t="str">
        <f t="shared" si="1"/>
        <v/>
      </c>
      <c r="G396" s="84"/>
      <c r="H396" s="79" t="str">
        <f t="shared" si="44"/>
        <v/>
      </c>
      <c r="I396" s="79" t="str">
        <f t="shared" si="45"/>
        <v/>
      </c>
      <c r="J396" s="67"/>
      <c r="K396" s="67"/>
      <c r="L396" s="67"/>
      <c r="M396" s="68"/>
      <c r="N396" s="51"/>
      <c r="O396" s="51" t="str">
        <f t="shared" si="4"/>
        <v/>
      </c>
      <c r="P396" s="51" t="str">
        <f t="shared" si="5"/>
        <v/>
      </c>
      <c r="Q396" s="51" t="str">
        <f t="shared" si="6"/>
        <v/>
      </c>
      <c r="R396" s="51" t="str">
        <f t="shared" si="7"/>
        <v/>
      </c>
      <c r="S396" s="51"/>
      <c r="T396" s="51"/>
      <c r="U396" s="51"/>
      <c r="V396" s="51"/>
      <c r="W396" s="51"/>
      <c r="X396" s="51"/>
      <c r="Y396" s="82"/>
      <c r="Z396" s="51"/>
      <c r="AA396" s="51"/>
      <c r="AB396" s="51"/>
      <c r="AC396" s="51"/>
      <c r="AD396" s="51"/>
      <c r="AE396" s="51"/>
      <c r="AF396" s="51"/>
      <c r="AG396" s="51"/>
    </row>
    <row r="397" spans="1:33" ht="15.75" customHeight="1">
      <c r="A397" s="79" t="str">
        <f>IF(C397="","",VLOOKUP('OPĆI DIO'!$C$3,'OPĆI DIO'!$L$6:$U$120,10,FALSE))</f>
        <v/>
      </c>
      <c r="B397" s="79" t="str">
        <f>IF(C397="","",VLOOKUP('OPĆI DIO'!$C$3,'OPĆI DIO'!$L$6:$U$120,9,FALSE))</f>
        <v/>
      </c>
      <c r="C397" s="84"/>
      <c r="D397" s="79" t="str">
        <f t="shared" si="0"/>
        <v/>
      </c>
      <c r="E397" s="84"/>
      <c r="F397" s="79" t="str">
        <f t="shared" si="1"/>
        <v/>
      </c>
      <c r="G397" s="84"/>
      <c r="H397" s="79" t="str">
        <f t="shared" si="44"/>
        <v/>
      </c>
      <c r="I397" s="79" t="str">
        <f t="shared" si="45"/>
        <v/>
      </c>
      <c r="J397" s="67"/>
      <c r="K397" s="67"/>
      <c r="L397" s="67"/>
      <c r="M397" s="68"/>
      <c r="N397" s="51"/>
      <c r="O397" s="51" t="str">
        <f t="shared" si="4"/>
        <v/>
      </c>
      <c r="P397" s="51" t="str">
        <f t="shared" si="5"/>
        <v/>
      </c>
      <c r="Q397" s="51" t="str">
        <f t="shared" si="6"/>
        <v/>
      </c>
      <c r="R397" s="51" t="str">
        <f t="shared" si="7"/>
        <v/>
      </c>
      <c r="S397" s="51"/>
      <c r="T397" s="51"/>
      <c r="U397" s="51"/>
      <c r="V397" s="51"/>
      <c r="W397" s="51"/>
      <c r="X397" s="51"/>
      <c r="Y397" s="82"/>
      <c r="Z397" s="51"/>
      <c r="AA397" s="51"/>
      <c r="AB397" s="51"/>
      <c r="AC397" s="51"/>
      <c r="AD397" s="51"/>
      <c r="AE397" s="51"/>
      <c r="AF397" s="51"/>
      <c r="AG397" s="51"/>
    </row>
    <row r="398" spans="1:33" ht="15.75" customHeight="1">
      <c r="A398" s="79" t="str">
        <f>IF(C398="","",VLOOKUP('OPĆI DIO'!$C$3,'OPĆI DIO'!$L$6:$U$120,10,FALSE))</f>
        <v/>
      </c>
      <c r="B398" s="79" t="str">
        <f>IF(C398="","",VLOOKUP('OPĆI DIO'!$C$3,'OPĆI DIO'!$L$6:$U$120,9,FALSE))</f>
        <v/>
      </c>
      <c r="C398" s="84"/>
      <c r="D398" s="79" t="str">
        <f t="shared" si="0"/>
        <v/>
      </c>
      <c r="E398" s="84"/>
      <c r="F398" s="79" t="str">
        <f t="shared" si="1"/>
        <v/>
      </c>
      <c r="G398" s="84"/>
      <c r="H398" s="79" t="str">
        <f t="shared" si="44"/>
        <v/>
      </c>
      <c r="I398" s="79" t="str">
        <f t="shared" si="45"/>
        <v/>
      </c>
      <c r="J398" s="67"/>
      <c r="K398" s="67"/>
      <c r="L398" s="67"/>
      <c r="M398" s="68"/>
      <c r="N398" s="51"/>
      <c r="O398" s="51" t="str">
        <f t="shared" si="4"/>
        <v/>
      </c>
      <c r="P398" s="51" t="str">
        <f t="shared" si="5"/>
        <v/>
      </c>
      <c r="Q398" s="51" t="str">
        <f t="shared" si="6"/>
        <v/>
      </c>
      <c r="R398" s="51" t="str">
        <f t="shared" si="7"/>
        <v/>
      </c>
      <c r="S398" s="51"/>
      <c r="T398" s="51"/>
      <c r="U398" s="51"/>
      <c r="V398" s="51"/>
      <c r="W398" s="51"/>
      <c r="X398" s="51"/>
      <c r="Y398" s="82"/>
      <c r="Z398" s="51"/>
      <c r="AA398" s="51"/>
      <c r="AB398" s="51"/>
      <c r="AC398" s="51"/>
      <c r="AD398" s="51"/>
      <c r="AE398" s="51"/>
      <c r="AF398" s="51"/>
      <c r="AG398" s="51"/>
    </row>
    <row r="399" spans="1:33" ht="15.75" customHeight="1">
      <c r="A399" s="79" t="str">
        <f>IF(C399="","",VLOOKUP('OPĆI DIO'!$C$3,'OPĆI DIO'!$L$6:$U$120,10,FALSE))</f>
        <v/>
      </c>
      <c r="B399" s="79" t="str">
        <f>IF(C399="","",VLOOKUP('OPĆI DIO'!$C$3,'OPĆI DIO'!$L$6:$U$120,9,FALSE))</f>
        <v/>
      </c>
      <c r="C399" s="84"/>
      <c r="D399" s="79" t="str">
        <f t="shared" si="0"/>
        <v/>
      </c>
      <c r="E399" s="84"/>
      <c r="F399" s="79" t="str">
        <f t="shared" si="1"/>
        <v/>
      </c>
      <c r="G399" s="84"/>
      <c r="H399" s="79" t="str">
        <f t="shared" si="44"/>
        <v/>
      </c>
      <c r="I399" s="79" t="str">
        <f t="shared" si="45"/>
        <v/>
      </c>
      <c r="J399" s="67"/>
      <c r="K399" s="67"/>
      <c r="L399" s="67"/>
      <c r="M399" s="68"/>
      <c r="N399" s="51"/>
      <c r="O399" s="51" t="str">
        <f t="shared" si="4"/>
        <v/>
      </c>
      <c r="P399" s="51" t="str">
        <f t="shared" si="5"/>
        <v/>
      </c>
      <c r="Q399" s="51" t="str">
        <f t="shared" si="6"/>
        <v/>
      </c>
      <c r="R399" s="51" t="str">
        <f t="shared" si="7"/>
        <v/>
      </c>
      <c r="S399" s="51"/>
      <c r="T399" s="51"/>
      <c r="U399" s="51"/>
      <c r="V399" s="51"/>
      <c r="W399" s="51"/>
      <c r="X399" s="51"/>
      <c r="Y399" s="82"/>
      <c r="Z399" s="51"/>
      <c r="AA399" s="51"/>
      <c r="AB399" s="51"/>
      <c r="AC399" s="51"/>
      <c r="AD399" s="51"/>
      <c r="AE399" s="51"/>
      <c r="AF399" s="51"/>
      <c r="AG399" s="51"/>
    </row>
    <row r="400" spans="1:33" ht="15.75" customHeight="1">
      <c r="A400" s="79" t="str">
        <f>IF(C400="","",VLOOKUP('OPĆI DIO'!$C$3,'OPĆI DIO'!$L$6:$U$120,10,FALSE))</f>
        <v/>
      </c>
      <c r="B400" s="79" t="str">
        <f>IF(C400="","",VLOOKUP('OPĆI DIO'!$C$3,'OPĆI DIO'!$L$6:$U$120,9,FALSE))</f>
        <v/>
      </c>
      <c r="C400" s="84"/>
      <c r="D400" s="79" t="str">
        <f t="shared" si="0"/>
        <v/>
      </c>
      <c r="E400" s="84"/>
      <c r="F400" s="79" t="str">
        <f t="shared" si="1"/>
        <v/>
      </c>
      <c r="G400" s="84"/>
      <c r="H400" s="79" t="str">
        <f t="shared" si="44"/>
        <v/>
      </c>
      <c r="I400" s="79" t="str">
        <f t="shared" si="45"/>
        <v/>
      </c>
      <c r="J400" s="67"/>
      <c r="K400" s="67"/>
      <c r="L400" s="67"/>
      <c r="M400" s="68"/>
      <c r="N400" s="51"/>
      <c r="O400" s="51" t="str">
        <f t="shared" si="4"/>
        <v/>
      </c>
      <c r="P400" s="51" t="str">
        <f t="shared" si="5"/>
        <v/>
      </c>
      <c r="Q400" s="51" t="str">
        <f t="shared" si="6"/>
        <v/>
      </c>
      <c r="R400" s="51" t="str">
        <f t="shared" si="7"/>
        <v/>
      </c>
      <c r="S400" s="51"/>
      <c r="T400" s="51"/>
      <c r="U400" s="51"/>
      <c r="V400" s="51"/>
      <c r="W400" s="51"/>
      <c r="X400" s="51"/>
      <c r="Y400" s="82"/>
      <c r="Z400" s="51"/>
      <c r="AA400" s="51"/>
      <c r="AB400" s="51"/>
      <c r="AC400" s="51"/>
      <c r="AD400" s="51"/>
      <c r="AE400" s="51"/>
      <c r="AF400" s="51"/>
      <c r="AG400" s="51"/>
    </row>
    <row r="401" spans="1:33" ht="15.75" customHeight="1">
      <c r="A401" s="79" t="str">
        <f>IF(C401="","",VLOOKUP('OPĆI DIO'!$C$3,'OPĆI DIO'!$L$6:$U$120,10,FALSE))</f>
        <v/>
      </c>
      <c r="B401" s="79" t="str">
        <f>IF(C401="","",VLOOKUP('OPĆI DIO'!$C$3,'OPĆI DIO'!$L$6:$U$120,9,FALSE))</f>
        <v/>
      </c>
      <c r="C401" s="84"/>
      <c r="D401" s="79" t="str">
        <f t="shared" si="0"/>
        <v/>
      </c>
      <c r="E401" s="84"/>
      <c r="F401" s="79" t="str">
        <f t="shared" si="1"/>
        <v/>
      </c>
      <c r="G401" s="84"/>
      <c r="H401" s="79" t="str">
        <f t="shared" si="44"/>
        <v/>
      </c>
      <c r="I401" s="79" t="str">
        <f t="shared" si="45"/>
        <v/>
      </c>
      <c r="J401" s="67"/>
      <c r="K401" s="67"/>
      <c r="L401" s="67"/>
      <c r="M401" s="68"/>
      <c r="N401" s="51"/>
      <c r="O401" s="51" t="str">
        <f t="shared" si="4"/>
        <v/>
      </c>
      <c r="P401" s="51" t="str">
        <f t="shared" si="5"/>
        <v/>
      </c>
      <c r="Q401" s="51" t="str">
        <f t="shared" si="6"/>
        <v/>
      </c>
      <c r="R401" s="51" t="str">
        <f t="shared" si="7"/>
        <v/>
      </c>
      <c r="S401" s="51"/>
      <c r="T401" s="51"/>
      <c r="U401" s="51"/>
      <c r="V401" s="51"/>
      <c r="W401" s="51"/>
      <c r="X401" s="51"/>
      <c r="Y401" s="82"/>
      <c r="Z401" s="51"/>
      <c r="AA401" s="51"/>
      <c r="AB401" s="51"/>
      <c r="AC401" s="51"/>
      <c r="AD401" s="51"/>
      <c r="AE401" s="51"/>
      <c r="AF401" s="51"/>
      <c r="AG401" s="51"/>
    </row>
    <row r="402" spans="1:33" ht="15.75" customHeight="1">
      <c r="A402" s="79" t="str">
        <f>IF(C402="","",VLOOKUP('OPĆI DIO'!$C$3,'OPĆI DIO'!$L$6:$U$120,10,FALSE))</f>
        <v/>
      </c>
      <c r="B402" s="79" t="str">
        <f>IF(C402="","",VLOOKUP('OPĆI DIO'!$C$3,'OPĆI DIO'!$L$6:$U$120,9,FALSE))</f>
        <v/>
      </c>
      <c r="C402" s="84"/>
      <c r="D402" s="79" t="str">
        <f t="shared" si="0"/>
        <v/>
      </c>
      <c r="E402" s="84"/>
      <c r="F402" s="79" t="str">
        <f t="shared" si="1"/>
        <v/>
      </c>
      <c r="G402" s="84"/>
      <c r="H402" s="79" t="str">
        <f t="shared" si="44"/>
        <v/>
      </c>
      <c r="I402" s="79" t="str">
        <f t="shared" si="45"/>
        <v/>
      </c>
      <c r="J402" s="67"/>
      <c r="K402" s="67"/>
      <c r="L402" s="67"/>
      <c r="M402" s="68"/>
      <c r="N402" s="51"/>
      <c r="O402" s="51" t="str">
        <f t="shared" si="4"/>
        <v/>
      </c>
      <c r="P402" s="51" t="str">
        <f t="shared" si="5"/>
        <v/>
      </c>
      <c r="Q402" s="51" t="str">
        <f t="shared" si="6"/>
        <v/>
      </c>
      <c r="R402" s="51" t="str">
        <f t="shared" si="7"/>
        <v/>
      </c>
      <c r="S402" s="51"/>
      <c r="T402" s="51"/>
      <c r="U402" s="51"/>
      <c r="V402" s="51"/>
      <c r="W402" s="51"/>
      <c r="X402" s="51"/>
      <c r="Y402" s="82"/>
      <c r="Z402" s="51"/>
      <c r="AA402" s="51"/>
      <c r="AB402" s="51"/>
      <c r="AC402" s="51"/>
      <c r="AD402" s="51"/>
      <c r="AE402" s="51"/>
      <c r="AF402" s="51"/>
      <c r="AG402" s="51"/>
    </row>
    <row r="403" spans="1:33" ht="15.75" customHeight="1">
      <c r="A403" s="79" t="str">
        <f>IF(C403="","",VLOOKUP('OPĆI DIO'!$C$3,'OPĆI DIO'!$L$6:$U$120,10,FALSE))</f>
        <v/>
      </c>
      <c r="B403" s="79" t="str">
        <f>IF(C403="","",VLOOKUP('OPĆI DIO'!$C$3,'OPĆI DIO'!$L$6:$U$120,9,FALSE))</f>
        <v/>
      </c>
      <c r="C403" s="84"/>
      <c r="D403" s="79" t="str">
        <f t="shared" si="0"/>
        <v/>
      </c>
      <c r="E403" s="84"/>
      <c r="F403" s="79" t="str">
        <f t="shared" si="1"/>
        <v/>
      </c>
      <c r="G403" s="84"/>
      <c r="H403" s="79" t="str">
        <f t="shared" si="44"/>
        <v/>
      </c>
      <c r="I403" s="79" t="str">
        <f t="shared" si="45"/>
        <v/>
      </c>
      <c r="J403" s="67"/>
      <c r="K403" s="67"/>
      <c r="L403" s="67"/>
      <c r="M403" s="68"/>
      <c r="N403" s="51"/>
      <c r="O403" s="51" t="str">
        <f t="shared" si="4"/>
        <v/>
      </c>
      <c r="P403" s="51" t="str">
        <f t="shared" si="5"/>
        <v/>
      </c>
      <c r="Q403" s="51" t="str">
        <f t="shared" si="6"/>
        <v/>
      </c>
      <c r="R403" s="51" t="str">
        <f t="shared" si="7"/>
        <v/>
      </c>
      <c r="S403" s="51"/>
      <c r="T403" s="51"/>
      <c r="U403" s="51"/>
      <c r="V403" s="51"/>
      <c r="W403" s="51"/>
      <c r="X403" s="51"/>
      <c r="Y403" s="82"/>
      <c r="Z403" s="51"/>
      <c r="AA403" s="51"/>
      <c r="AB403" s="51"/>
      <c r="AC403" s="51"/>
      <c r="AD403" s="51"/>
      <c r="AE403" s="51"/>
      <c r="AF403" s="51"/>
      <c r="AG403" s="51"/>
    </row>
    <row r="404" spans="1:33" ht="15.75" customHeight="1">
      <c r="A404" s="79" t="str">
        <f>IF(C404="","",VLOOKUP('OPĆI DIO'!$C$3,'OPĆI DIO'!$L$6:$U$120,10,FALSE))</f>
        <v/>
      </c>
      <c r="B404" s="79" t="str">
        <f>IF(C404="","",VLOOKUP('OPĆI DIO'!$C$3,'OPĆI DIO'!$L$6:$U$120,9,FALSE))</f>
        <v/>
      </c>
      <c r="C404" s="84"/>
      <c r="D404" s="79" t="str">
        <f t="shared" si="0"/>
        <v/>
      </c>
      <c r="E404" s="84"/>
      <c r="F404" s="79" t="str">
        <f t="shared" si="1"/>
        <v/>
      </c>
      <c r="G404" s="84"/>
      <c r="H404" s="79" t="str">
        <f t="shared" si="44"/>
        <v/>
      </c>
      <c r="I404" s="79" t="str">
        <f t="shared" si="45"/>
        <v/>
      </c>
      <c r="J404" s="67"/>
      <c r="K404" s="67"/>
      <c r="L404" s="67"/>
      <c r="M404" s="68"/>
      <c r="N404" s="51"/>
      <c r="O404" s="51" t="str">
        <f t="shared" si="4"/>
        <v/>
      </c>
      <c r="P404" s="51" t="str">
        <f t="shared" si="5"/>
        <v/>
      </c>
      <c r="Q404" s="51" t="str">
        <f t="shared" si="6"/>
        <v/>
      </c>
      <c r="R404" s="51" t="str">
        <f t="shared" si="7"/>
        <v/>
      </c>
      <c r="S404" s="51"/>
      <c r="T404" s="51"/>
      <c r="U404" s="51"/>
      <c r="V404" s="51"/>
      <c r="W404" s="51"/>
      <c r="X404" s="51"/>
      <c r="Y404" s="82"/>
      <c r="Z404" s="51"/>
      <c r="AA404" s="51"/>
      <c r="AB404" s="51"/>
      <c r="AC404" s="51"/>
      <c r="AD404" s="51"/>
      <c r="AE404" s="51"/>
      <c r="AF404" s="51"/>
      <c r="AG404" s="51"/>
    </row>
    <row r="405" spans="1:33" ht="15.75" customHeight="1">
      <c r="A405" s="79" t="str">
        <f>IF(C405="","",VLOOKUP('OPĆI DIO'!$C$3,'OPĆI DIO'!$L$6:$U$120,10,FALSE))</f>
        <v/>
      </c>
      <c r="B405" s="79" t="str">
        <f>IF(C405="","",VLOOKUP('OPĆI DIO'!$C$3,'OPĆI DIO'!$L$6:$U$120,9,FALSE))</f>
        <v/>
      </c>
      <c r="C405" s="84"/>
      <c r="D405" s="79" t="str">
        <f t="shared" si="0"/>
        <v/>
      </c>
      <c r="E405" s="84"/>
      <c r="F405" s="79" t="str">
        <f t="shared" si="1"/>
        <v/>
      </c>
      <c r="G405" s="84"/>
      <c r="H405" s="79" t="str">
        <f t="shared" si="44"/>
        <v/>
      </c>
      <c r="I405" s="79" t="str">
        <f t="shared" si="45"/>
        <v/>
      </c>
      <c r="J405" s="67"/>
      <c r="K405" s="67"/>
      <c r="L405" s="67"/>
      <c r="M405" s="68"/>
      <c r="N405" s="51"/>
      <c r="O405" s="51" t="str">
        <f t="shared" si="4"/>
        <v/>
      </c>
      <c r="P405" s="51" t="str">
        <f t="shared" si="5"/>
        <v/>
      </c>
      <c r="Q405" s="51" t="str">
        <f t="shared" si="6"/>
        <v/>
      </c>
      <c r="R405" s="51" t="str">
        <f t="shared" si="7"/>
        <v/>
      </c>
      <c r="S405" s="51"/>
      <c r="T405" s="51"/>
      <c r="U405" s="51"/>
      <c r="V405" s="51"/>
      <c r="W405" s="51"/>
      <c r="X405" s="51"/>
      <c r="Y405" s="82"/>
      <c r="Z405" s="51"/>
      <c r="AA405" s="51"/>
      <c r="AB405" s="51"/>
      <c r="AC405" s="51"/>
      <c r="AD405" s="51"/>
      <c r="AE405" s="51"/>
      <c r="AF405" s="51"/>
      <c r="AG405" s="51"/>
    </row>
    <row r="406" spans="1:33" ht="15.75" customHeight="1">
      <c r="A406" s="79" t="str">
        <f>IF(C406="","",VLOOKUP('OPĆI DIO'!$C$3,'OPĆI DIO'!$L$6:$U$120,10,FALSE))</f>
        <v/>
      </c>
      <c r="B406" s="79" t="str">
        <f>IF(C406="","",VLOOKUP('OPĆI DIO'!$C$3,'OPĆI DIO'!$L$6:$U$120,9,FALSE))</f>
        <v/>
      </c>
      <c r="C406" s="84"/>
      <c r="D406" s="79" t="str">
        <f t="shared" si="0"/>
        <v/>
      </c>
      <c r="E406" s="84"/>
      <c r="F406" s="79" t="str">
        <f t="shared" si="1"/>
        <v/>
      </c>
      <c r="G406" s="84"/>
      <c r="H406" s="79" t="str">
        <f t="shared" si="44"/>
        <v/>
      </c>
      <c r="I406" s="79" t="str">
        <f t="shared" si="45"/>
        <v/>
      </c>
      <c r="J406" s="67"/>
      <c r="K406" s="67"/>
      <c r="L406" s="67"/>
      <c r="M406" s="68"/>
      <c r="N406" s="51"/>
      <c r="O406" s="51" t="str">
        <f t="shared" si="4"/>
        <v/>
      </c>
      <c r="P406" s="51" t="str">
        <f t="shared" si="5"/>
        <v/>
      </c>
      <c r="Q406" s="51" t="str">
        <f t="shared" si="6"/>
        <v/>
      </c>
      <c r="R406" s="51" t="str">
        <f t="shared" si="7"/>
        <v/>
      </c>
      <c r="S406" s="51"/>
      <c r="T406" s="51"/>
      <c r="U406" s="51"/>
      <c r="V406" s="51"/>
      <c r="W406" s="51"/>
      <c r="X406" s="51"/>
      <c r="Y406" s="82"/>
      <c r="Z406" s="51"/>
      <c r="AA406" s="51"/>
      <c r="AB406" s="51"/>
      <c r="AC406" s="51"/>
      <c r="AD406" s="51"/>
      <c r="AE406" s="51"/>
      <c r="AF406" s="51"/>
      <c r="AG406" s="51"/>
    </row>
    <row r="407" spans="1:33" ht="15.75" customHeight="1">
      <c r="A407" s="79" t="str">
        <f>IF(C407="","",VLOOKUP('OPĆI DIO'!$C$3,'OPĆI DIO'!$L$6:$U$120,10,FALSE))</f>
        <v/>
      </c>
      <c r="B407" s="79" t="str">
        <f>IF(C407="","",VLOOKUP('OPĆI DIO'!$C$3,'OPĆI DIO'!$L$6:$U$120,9,FALSE))</f>
        <v/>
      </c>
      <c r="C407" s="84"/>
      <c r="D407" s="79" t="str">
        <f t="shared" si="0"/>
        <v/>
      </c>
      <c r="E407" s="84"/>
      <c r="F407" s="79" t="str">
        <f t="shared" si="1"/>
        <v/>
      </c>
      <c r="G407" s="84"/>
      <c r="H407" s="79" t="str">
        <f t="shared" si="44"/>
        <v/>
      </c>
      <c r="I407" s="79" t="str">
        <f t="shared" si="45"/>
        <v/>
      </c>
      <c r="J407" s="67"/>
      <c r="K407" s="67"/>
      <c r="L407" s="67"/>
      <c r="M407" s="68"/>
      <c r="N407" s="51"/>
      <c r="O407" s="51" t="str">
        <f t="shared" si="4"/>
        <v/>
      </c>
      <c r="P407" s="51" t="str">
        <f t="shared" si="5"/>
        <v/>
      </c>
      <c r="Q407" s="51" t="str">
        <f t="shared" si="6"/>
        <v/>
      </c>
      <c r="R407" s="51" t="str">
        <f t="shared" si="7"/>
        <v/>
      </c>
      <c r="S407" s="51"/>
      <c r="T407" s="51"/>
      <c r="U407" s="51"/>
      <c r="V407" s="51"/>
      <c r="W407" s="51"/>
      <c r="X407" s="51"/>
      <c r="Y407" s="82"/>
      <c r="Z407" s="51"/>
      <c r="AA407" s="51"/>
      <c r="AB407" s="51"/>
      <c r="AC407" s="51"/>
      <c r="AD407" s="51"/>
      <c r="AE407" s="51"/>
      <c r="AF407" s="51"/>
      <c r="AG407" s="51"/>
    </row>
    <row r="408" spans="1:33" ht="15.75" customHeight="1">
      <c r="A408" s="79" t="str">
        <f>IF(C408="","",VLOOKUP('OPĆI DIO'!$C$3,'OPĆI DIO'!$L$6:$U$120,10,FALSE))</f>
        <v/>
      </c>
      <c r="B408" s="79" t="str">
        <f>IF(C408="","",VLOOKUP('OPĆI DIO'!$C$3,'OPĆI DIO'!$L$6:$U$120,9,FALSE))</f>
        <v/>
      </c>
      <c r="C408" s="84"/>
      <c r="D408" s="79" t="str">
        <f t="shared" si="0"/>
        <v/>
      </c>
      <c r="E408" s="84"/>
      <c r="F408" s="79" t="str">
        <f t="shared" si="1"/>
        <v/>
      </c>
      <c r="G408" s="84"/>
      <c r="H408" s="79" t="str">
        <f t="shared" si="44"/>
        <v/>
      </c>
      <c r="I408" s="79" t="str">
        <f t="shared" si="45"/>
        <v/>
      </c>
      <c r="J408" s="67"/>
      <c r="K408" s="67"/>
      <c r="L408" s="67"/>
      <c r="M408" s="68"/>
      <c r="N408" s="51"/>
      <c r="O408" s="51" t="str">
        <f t="shared" si="4"/>
        <v/>
      </c>
      <c r="P408" s="51" t="str">
        <f t="shared" si="5"/>
        <v/>
      </c>
      <c r="Q408" s="51" t="str">
        <f t="shared" si="6"/>
        <v/>
      </c>
      <c r="R408" s="51" t="str">
        <f t="shared" si="7"/>
        <v/>
      </c>
      <c r="S408" s="51"/>
      <c r="T408" s="51"/>
      <c r="U408" s="51"/>
      <c r="V408" s="51"/>
      <c r="W408" s="51"/>
      <c r="X408" s="51"/>
      <c r="Y408" s="82"/>
      <c r="Z408" s="51"/>
      <c r="AA408" s="51"/>
      <c r="AB408" s="51"/>
      <c r="AC408" s="51"/>
      <c r="AD408" s="51"/>
      <c r="AE408" s="51"/>
      <c r="AF408" s="51"/>
      <c r="AG408" s="51"/>
    </row>
    <row r="409" spans="1:33" ht="15.75" customHeight="1">
      <c r="A409" s="79" t="str">
        <f>IF(C409="","",VLOOKUP('OPĆI DIO'!$C$3,'OPĆI DIO'!$L$6:$U$120,10,FALSE))</f>
        <v/>
      </c>
      <c r="B409" s="79" t="str">
        <f>IF(C409="","",VLOOKUP('OPĆI DIO'!$C$3,'OPĆI DIO'!$L$6:$U$120,9,FALSE))</f>
        <v/>
      </c>
      <c r="C409" s="84"/>
      <c r="D409" s="79" t="str">
        <f t="shared" si="0"/>
        <v/>
      </c>
      <c r="E409" s="84"/>
      <c r="F409" s="79" t="str">
        <f t="shared" si="1"/>
        <v/>
      </c>
      <c r="G409" s="84"/>
      <c r="H409" s="79" t="str">
        <f t="shared" si="44"/>
        <v/>
      </c>
      <c r="I409" s="79" t="str">
        <f t="shared" si="45"/>
        <v/>
      </c>
      <c r="J409" s="67"/>
      <c r="K409" s="67"/>
      <c r="L409" s="67"/>
      <c r="M409" s="68"/>
      <c r="N409" s="51"/>
      <c r="O409" s="51" t="str">
        <f t="shared" si="4"/>
        <v/>
      </c>
      <c r="P409" s="51" t="str">
        <f t="shared" si="5"/>
        <v/>
      </c>
      <c r="Q409" s="51" t="str">
        <f t="shared" si="6"/>
        <v/>
      </c>
      <c r="R409" s="51" t="str">
        <f t="shared" si="7"/>
        <v/>
      </c>
      <c r="S409" s="51"/>
      <c r="T409" s="51"/>
      <c r="U409" s="51"/>
      <c r="V409" s="51"/>
      <c r="W409" s="51"/>
      <c r="X409" s="51"/>
      <c r="Y409" s="82"/>
      <c r="Z409" s="51"/>
      <c r="AA409" s="51"/>
      <c r="AB409" s="51"/>
      <c r="AC409" s="51"/>
      <c r="AD409" s="51"/>
      <c r="AE409" s="51"/>
      <c r="AF409" s="51"/>
      <c r="AG409" s="51"/>
    </row>
    <row r="410" spans="1:33" ht="15.75" customHeight="1">
      <c r="A410" s="79" t="str">
        <f>IF(C410="","",VLOOKUP('OPĆI DIO'!$C$3,'OPĆI DIO'!$L$6:$U$120,10,FALSE))</f>
        <v/>
      </c>
      <c r="B410" s="79" t="str">
        <f>IF(C410="","",VLOOKUP('OPĆI DIO'!$C$3,'OPĆI DIO'!$L$6:$U$120,9,FALSE))</f>
        <v/>
      </c>
      <c r="C410" s="84"/>
      <c r="D410" s="79" t="str">
        <f t="shared" si="0"/>
        <v/>
      </c>
      <c r="E410" s="84"/>
      <c r="F410" s="79" t="str">
        <f t="shared" si="1"/>
        <v/>
      </c>
      <c r="G410" s="84"/>
      <c r="H410" s="79" t="str">
        <f t="shared" si="44"/>
        <v/>
      </c>
      <c r="I410" s="79" t="str">
        <f t="shared" si="45"/>
        <v/>
      </c>
      <c r="J410" s="67"/>
      <c r="K410" s="67"/>
      <c r="L410" s="67"/>
      <c r="M410" s="68"/>
      <c r="N410" s="51"/>
      <c r="O410" s="51" t="str">
        <f t="shared" si="4"/>
        <v/>
      </c>
      <c r="P410" s="51" t="str">
        <f t="shared" si="5"/>
        <v/>
      </c>
      <c r="Q410" s="51" t="str">
        <f t="shared" si="6"/>
        <v/>
      </c>
      <c r="R410" s="51" t="str">
        <f t="shared" si="7"/>
        <v/>
      </c>
      <c r="S410" s="51"/>
      <c r="T410" s="51"/>
      <c r="U410" s="51"/>
      <c r="V410" s="51"/>
      <c r="W410" s="51"/>
      <c r="X410" s="51"/>
      <c r="Y410" s="82"/>
      <c r="Z410" s="51"/>
      <c r="AA410" s="51"/>
      <c r="AB410" s="51"/>
      <c r="AC410" s="51"/>
      <c r="AD410" s="51"/>
      <c r="AE410" s="51"/>
      <c r="AF410" s="51"/>
      <c r="AG410" s="51"/>
    </row>
    <row r="411" spans="1:33" ht="15.75" customHeight="1">
      <c r="A411" s="79" t="str">
        <f>IF(C411="","",VLOOKUP('OPĆI DIO'!$C$3,'OPĆI DIO'!$L$6:$U$120,10,FALSE))</f>
        <v/>
      </c>
      <c r="B411" s="79" t="str">
        <f>IF(C411="","",VLOOKUP('OPĆI DIO'!$C$3,'OPĆI DIO'!$L$6:$U$120,9,FALSE))</f>
        <v/>
      </c>
      <c r="C411" s="84"/>
      <c r="D411" s="79" t="str">
        <f t="shared" si="0"/>
        <v/>
      </c>
      <c r="E411" s="84"/>
      <c r="F411" s="79" t="str">
        <f t="shared" si="1"/>
        <v/>
      </c>
      <c r="G411" s="84"/>
      <c r="H411" s="79" t="str">
        <f t="shared" si="44"/>
        <v/>
      </c>
      <c r="I411" s="79" t="str">
        <f t="shared" si="45"/>
        <v/>
      </c>
      <c r="J411" s="67"/>
      <c r="K411" s="67"/>
      <c r="L411" s="67"/>
      <c r="M411" s="68"/>
      <c r="N411" s="51"/>
      <c r="O411" s="51" t="str">
        <f t="shared" si="4"/>
        <v/>
      </c>
      <c r="P411" s="51" t="str">
        <f t="shared" si="5"/>
        <v/>
      </c>
      <c r="Q411" s="51" t="str">
        <f t="shared" si="6"/>
        <v/>
      </c>
      <c r="R411" s="51" t="str">
        <f t="shared" si="7"/>
        <v/>
      </c>
      <c r="S411" s="51"/>
      <c r="T411" s="51"/>
      <c r="U411" s="51"/>
      <c r="V411" s="51"/>
      <c r="W411" s="51"/>
      <c r="X411" s="51"/>
      <c r="Y411" s="82"/>
      <c r="Z411" s="51"/>
      <c r="AA411" s="51"/>
      <c r="AB411" s="51"/>
      <c r="AC411" s="51"/>
      <c r="AD411" s="51"/>
      <c r="AE411" s="51"/>
      <c r="AF411" s="51"/>
      <c r="AG411" s="51"/>
    </row>
    <row r="412" spans="1:33" ht="15.75" customHeight="1">
      <c r="A412" s="79" t="str">
        <f>IF(C412="","",VLOOKUP('OPĆI DIO'!$C$3,'OPĆI DIO'!$L$6:$U$120,10,FALSE))</f>
        <v/>
      </c>
      <c r="B412" s="79" t="str">
        <f>IF(C412="","",VLOOKUP('OPĆI DIO'!$C$3,'OPĆI DIO'!$L$6:$U$120,9,FALSE))</f>
        <v/>
      </c>
      <c r="C412" s="84"/>
      <c r="D412" s="79" t="str">
        <f t="shared" si="0"/>
        <v/>
      </c>
      <c r="E412" s="84"/>
      <c r="F412" s="79" t="str">
        <f t="shared" si="1"/>
        <v/>
      </c>
      <c r="G412" s="84"/>
      <c r="H412" s="79" t="str">
        <f t="shared" si="44"/>
        <v/>
      </c>
      <c r="I412" s="79" t="str">
        <f t="shared" si="45"/>
        <v/>
      </c>
      <c r="J412" s="67"/>
      <c r="K412" s="67"/>
      <c r="L412" s="67"/>
      <c r="M412" s="68"/>
      <c r="N412" s="51"/>
      <c r="O412" s="51" t="str">
        <f t="shared" si="4"/>
        <v/>
      </c>
      <c r="P412" s="51" t="str">
        <f t="shared" si="5"/>
        <v/>
      </c>
      <c r="Q412" s="51" t="str">
        <f t="shared" si="6"/>
        <v/>
      </c>
      <c r="R412" s="51" t="str">
        <f t="shared" si="7"/>
        <v/>
      </c>
      <c r="S412" s="51"/>
      <c r="T412" s="51"/>
      <c r="U412" s="51"/>
      <c r="V412" s="51"/>
      <c r="W412" s="51"/>
      <c r="X412" s="51"/>
      <c r="Y412" s="82"/>
      <c r="Z412" s="51"/>
      <c r="AA412" s="51"/>
      <c r="AB412" s="51"/>
      <c r="AC412" s="51"/>
      <c r="AD412" s="51"/>
      <c r="AE412" s="51"/>
      <c r="AF412" s="51"/>
      <c r="AG412" s="51"/>
    </row>
    <row r="413" spans="1:33" ht="15.75" customHeight="1">
      <c r="A413" s="79" t="str">
        <f>IF(C413="","",VLOOKUP('OPĆI DIO'!$C$3,'OPĆI DIO'!$L$6:$U$120,10,FALSE))</f>
        <v/>
      </c>
      <c r="B413" s="79" t="str">
        <f>IF(C413="","",VLOOKUP('OPĆI DIO'!$C$3,'OPĆI DIO'!$L$6:$U$120,9,FALSE))</f>
        <v/>
      </c>
      <c r="C413" s="84"/>
      <c r="D413" s="79" t="str">
        <f t="shared" si="0"/>
        <v/>
      </c>
      <c r="E413" s="84"/>
      <c r="F413" s="79" t="str">
        <f t="shared" si="1"/>
        <v/>
      </c>
      <c r="G413" s="84"/>
      <c r="H413" s="79" t="str">
        <f t="shared" si="44"/>
        <v/>
      </c>
      <c r="I413" s="79" t="str">
        <f t="shared" si="45"/>
        <v/>
      </c>
      <c r="J413" s="67"/>
      <c r="K413" s="67"/>
      <c r="L413" s="67"/>
      <c r="M413" s="68"/>
      <c r="N413" s="51"/>
      <c r="O413" s="51" t="str">
        <f t="shared" si="4"/>
        <v/>
      </c>
      <c r="P413" s="51" t="str">
        <f t="shared" si="5"/>
        <v/>
      </c>
      <c r="Q413" s="51" t="str">
        <f t="shared" si="6"/>
        <v/>
      </c>
      <c r="R413" s="51" t="str">
        <f t="shared" si="7"/>
        <v/>
      </c>
      <c r="S413" s="51"/>
      <c r="T413" s="51"/>
      <c r="U413" s="51"/>
      <c r="V413" s="51"/>
      <c r="W413" s="51"/>
      <c r="X413" s="51"/>
      <c r="Y413" s="82"/>
      <c r="Z413" s="51"/>
      <c r="AA413" s="51"/>
      <c r="AB413" s="51"/>
      <c r="AC413" s="51"/>
      <c r="AD413" s="51"/>
      <c r="AE413" s="51"/>
      <c r="AF413" s="51"/>
      <c r="AG413" s="51"/>
    </row>
    <row r="414" spans="1:33" ht="15.75" customHeight="1">
      <c r="A414" s="79" t="str">
        <f>IF(C414="","",VLOOKUP('OPĆI DIO'!$C$3,'OPĆI DIO'!$L$6:$U$120,10,FALSE))</f>
        <v/>
      </c>
      <c r="B414" s="79" t="str">
        <f>IF(C414="","",VLOOKUP('OPĆI DIO'!$C$3,'OPĆI DIO'!$L$6:$U$120,9,FALSE))</f>
        <v/>
      </c>
      <c r="C414" s="84"/>
      <c r="D414" s="79" t="str">
        <f t="shared" si="0"/>
        <v/>
      </c>
      <c r="E414" s="84"/>
      <c r="F414" s="79" t="str">
        <f t="shared" si="1"/>
        <v/>
      </c>
      <c r="G414" s="84"/>
      <c r="H414" s="79" t="str">
        <f t="shared" si="44"/>
        <v/>
      </c>
      <c r="I414" s="79" t="str">
        <f t="shared" si="45"/>
        <v/>
      </c>
      <c r="J414" s="67"/>
      <c r="K414" s="67"/>
      <c r="L414" s="67"/>
      <c r="M414" s="68"/>
      <c r="N414" s="51"/>
      <c r="O414" s="51" t="str">
        <f t="shared" si="4"/>
        <v/>
      </c>
      <c r="P414" s="51" t="str">
        <f t="shared" si="5"/>
        <v/>
      </c>
      <c r="Q414" s="51" t="str">
        <f t="shared" si="6"/>
        <v/>
      </c>
      <c r="R414" s="51" t="str">
        <f t="shared" si="7"/>
        <v/>
      </c>
      <c r="S414" s="51"/>
      <c r="T414" s="51"/>
      <c r="U414" s="51"/>
      <c r="V414" s="51"/>
      <c r="W414" s="51"/>
      <c r="X414" s="51"/>
      <c r="Y414" s="82"/>
      <c r="Z414" s="51"/>
      <c r="AA414" s="51"/>
      <c r="AB414" s="51"/>
      <c r="AC414" s="51"/>
      <c r="AD414" s="51"/>
      <c r="AE414" s="51"/>
      <c r="AF414" s="51"/>
      <c r="AG414" s="51"/>
    </row>
    <row r="415" spans="1:33" ht="15.75" customHeight="1">
      <c r="A415" s="79" t="str">
        <f>IF(C415="","",VLOOKUP('OPĆI DIO'!$C$3,'OPĆI DIO'!$L$6:$U$120,10,FALSE))</f>
        <v/>
      </c>
      <c r="B415" s="79" t="str">
        <f>IF(C415="","",VLOOKUP('OPĆI DIO'!$C$3,'OPĆI DIO'!$L$6:$U$120,9,FALSE))</f>
        <v/>
      </c>
      <c r="C415" s="84"/>
      <c r="D415" s="79" t="str">
        <f t="shared" si="0"/>
        <v/>
      </c>
      <c r="E415" s="84"/>
      <c r="F415" s="79" t="str">
        <f t="shared" si="1"/>
        <v/>
      </c>
      <c r="G415" s="84"/>
      <c r="H415" s="79" t="str">
        <f t="shared" si="44"/>
        <v/>
      </c>
      <c r="I415" s="79" t="str">
        <f t="shared" si="45"/>
        <v/>
      </c>
      <c r="J415" s="67"/>
      <c r="K415" s="67"/>
      <c r="L415" s="67"/>
      <c r="M415" s="68"/>
      <c r="N415" s="51"/>
      <c r="O415" s="51" t="str">
        <f t="shared" si="4"/>
        <v/>
      </c>
      <c r="P415" s="51" t="str">
        <f t="shared" si="5"/>
        <v/>
      </c>
      <c r="Q415" s="51" t="str">
        <f t="shared" si="6"/>
        <v/>
      </c>
      <c r="R415" s="51" t="str">
        <f t="shared" si="7"/>
        <v/>
      </c>
      <c r="S415" s="51"/>
      <c r="T415" s="51"/>
      <c r="U415" s="51"/>
      <c r="V415" s="51"/>
      <c r="W415" s="51"/>
      <c r="X415" s="51"/>
      <c r="Y415" s="82"/>
      <c r="Z415" s="51"/>
      <c r="AA415" s="51"/>
      <c r="AB415" s="51"/>
      <c r="AC415" s="51"/>
      <c r="AD415" s="51"/>
      <c r="AE415" s="51"/>
      <c r="AF415" s="51"/>
      <c r="AG415" s="51"/>
    </row>
    <row r="416" spans="1:33" ht="15.75" customHeight="1">
      <c r="A416" s="79" t="str">
        <f>IF(C416="","",VLOOKUP('OPĆI DIO'!$C$3,'OPĆI DIO'!$L$6:$U$120,10,FALSE))</f>
        <v/>
      </c>
      <c r="B416" s="79" t="str">
        <f>IF(C416="","",VLOOKUP('OPĆI DIO'!$C$3,'OPĆI DIO'!$L$6:$U$120,9,FALSE))</f>
        <v/>
      </c>
      <c r="C416" s="84"/>
      <c r="D416" s="79" t="str">
        <f t="shared" si="0"/>
        <v/>
      </c>
      <c r="E416" s="84"/>
      <c r="F416" s="79" t="str">
        <f t="shared" si="1"/>
        <v/>
      </c>
      <c r="G416" s="84"/>
      <c r="H416" s="79" t="str">
        <f t="shared" si="44"/>
        <v/>
      </c>
      <c r="I416" s="79" t="str">
        <f t="shared" si="45"/>
        <v/>
      </c>
      <c r="J416" s="67"/>
      <c r="K416" s="67"/>
      <c r="L416" s="67"/>
      <c r="M416" s="68"/>
      <c r="N416" s="51"/>
      <c r="O416" s="51" t="str">
        <f t="shared" si="4"/>
        <v/>
      </c>
      <c r="P416" s="51" t="str">
        <f t="shared" si="5"/>
        <v/>
      </c>
      <c r="Q416" s="51" t="str">
        <f t="shared" si="6"/>
        <v/>
      </c>
      <c r="R416" s="51" t="str">
        <f t="shared" si="7"/>
        <v/>
      </c>
      <c r="S416" s="51"/>
      <c r="T416" s="51"/>
      <c r="U416" s="51"/>
      <c r="V416" s="51"/>
      <c r="W416" s="51"/>
      <c r="X416" s="51"/>
      <c r="Y416" s="82"/>
      <c r="Z416" s="51"/>
      <c r="AA416" s="51"/>
      <c r="AB416" s="51"/>
      <c r="AC416" s="51"/>
      <c r="AD416" s="51"/>
      <c r="AE416" s="51"/>
      <c r="AF416" s="51"/>
      <c r="AG416" s="51"/>
    </row>
    <row r="417" spans="1:33" ht="15.75" customHeight="1">
      <c r="A417" s="79" t="str">
        <f>IF(C417="","",VLOOKUP('OPĆI DIO'!$C$3,'OPĆI DIO'!$L$6:$U$120,10,FALSE))</f>
        <v/>
      </c>
      <c r="B417" s="79" t="str">
        <f>IF(C417="","",VLOOKUP('OPĆI DIO'!$C$3,'OPĆI DIO'!$L$6:$U$120,9,FALSE))</f>
        <v/>
      </c>
      <c r="C417" s="84"/>
      <c r="D417" s="79" t="str">
        <f t="shared" si="0"/>
        <v/>
      </c>
      <c r="E417" s="84"/>
      <c r="F417" s="79" t="str">
        <f t="shared" si="1"/>
        <v/>
      </c>
      <c r="G417" s="84"/>
      <c r="H417" s="79" t="str">
        <f t="shared" si="44"/>
        <v/>
      </c>
      <c r="I417" s="79" t="str">
        <f t="shared" si="45"/>
        <v/>
      </c>
      <c r="J417" s="67"/>
      <c r="K417" s="67"/>
      <c r="L417" s="67"/>
      <c r="M417" s="68"/>
      <c r="N417" s="51"/>
      <c r="O417" s="51" t="str">
        <f t="shared" si="4"/>
        <v/>
      </c>
      <c r="P417" s="51" t="str">
        <f t="shared" si="5"/>
        <v/>
      </c>
      <c r="Q417" s="51" t="str">
        <f t="shared" si="6"/>
        <v/>
      </c>
      <c r="R417" s="51" t="str">
        <f t="shared" si="7"/>
        <v/>
      </c>
      <c r="S417" s="51"/>
      <c r="T417" s="51"/>
      <c r="U417" s="51"/>
      <c r="V417" s="51"/>
      <c r="W417" s="51"/>
      <c r="X417" s="51"/>
      <c r="Y417" s="82"/>
      <c r="Z417" s="51"/>
      <c r="AA417" s="51"/>
      <c r="AB417" s="51"/>
      <c r="AC417" s="51"/>
      <c r="AD417" s="51"/>
      <c r="AE417" s="51"/>
      <c r="AF417" s="51"/>
      <c r="AG417" s="51"/>
    </row>
    <row r="418" spans="1:33" ht="15.75" customHeight="1">
      <c r="A418" s="79" t="str">
        <f>IF(C418="","",VLOOKUP('OPĆI DIO'!$C$3,'OPĆI DIO'!$L$6:$U$120,10,FALSE))</f>
        <v/>
      </c>
      <c r="B418" s="79" t="str">
        <f>IF(C418="","",VLOOKUP('OPĆI DIO'!$C$3,'OPĆI DIO'!$L$6:$U$120,9,FALSE))</f>
        <v/>
      </c>
      <c r="C418" s="84"/>
      <c r="D418" s="79" t="str">
        <f t="shared" si="0"/>
        <v/>
      </c>
      <c r="E418" s="84"/>
      <c r="F418" s="79" t="str">
        <f t="shared" si="1"/>
        <v/>
      </c>
      <c r="G418" s="84"/>
      <c r="H418" s="79" t="str">
        <f t="shared" si="44"/>
        <v/>
      </c>
      <c r="I418" s="79" t="str">
        <f t="shared" si="45"/>
        <v/>
      </c>
      <c r="J418" s="67"/>
      <c r="K418" s="67"/>
      <c r="L418" s="67"/>
      <c r="M418" s="68"/>
      <c r="N418" s="51"/>
      <c r="O418" s="51" t="str">
        <f t="shared" si="4"/>
        <v/>
      </c>
      <c r="P418" s="51" t="str">
        <f t="shared" si="5"/>
        <v/>
      </c>
      <c r="Q418" s="51" t="str">
        <f t="shared" si="6"/>
        <v/>
      </c>
      <c r="R418" s="51" t="str">
        <f t="shared" si="7"/>
        <v/>
      </c>
      <c r="S418" s="51"/>
      <c r="T418" s="51"/>
      <c r="U418" s="51"/>
      <c r="V418" s="51"/>
      <c r="W418" s="51"/>
      <c r="X418" s="51"/>
      <c r="Y418" s="82"/>
      <c r="Z418" s="51"/>
      <c r="AA418" s="51"/>
      <c r="AB418" s="51"/>
      <c r="AC418" s="51"/>
      <c r="AD418" s="51"/>
      <c r="AE418" s="51"/>
      <c r="AF418" s="51"/>
      <c r="AG418" s="51"/>
    </row>
    <row r="419" spans="1:33" ht="15.75" customHeight="1">
      <c r="A419" s="79" t="str">
        <f>IF(C419="","",VLOOKUP('OPĆI DIO'!$C$3,'OPĆI DIO'!$L$6:$U$120,10,FALSE))</f>
        <v/>
      </c>
      <c r="B419" s="79" t="str">
        <f>IF(C419="","",VLOOKUP('OPĆI DIO'!$C$3,'OPĆI DIO'!$L$6:$U$120,9,FALSE))</f>
        <v/>
      </c>
      <c r="C419" s="84"/>
      <c r="D419" s="79" t="str">
        <f t="shared" si="0"/>
        <v/>
      </c>
      <c r="E419" s="84"/>
      <c r="F419" s="79" t="str">
        <f t="shared" si="1"/>
        <v/>
      </c>
      <c r="G419" s="84"/>
      <c r="H419" s="79" t="str">
        <f t="shared" si="44"/>
        <v/>
      </c>
      <c r="I419" s="79" t="str">
        <f t="shared" si="45"/>
        <v/>
      </c>
      <c r="J419" s="67"/>
      <c r="K419" s="67"/>
      <c r="L419" s="67"/>
      <c r="M419" s="68"/>
      <c r="N419" s="51"/>
      <c r="O419" s="51" t="str">
        <f t="shared" si="4"/>
        <v/>
      </c>
      <c r="P419" s="51" t="str">
        <f t="shared" si="5"/>
        <v/>
      </c>
      <c r="Q419" s="51" t="str">
        <f t="shared" si="6"/>
        <v/>
      </c>
      <c r="R419" s="51" t="str">
        <f t="shared" si="7"/>
        <v/>
      </c>
      <c r="S419" s="51"/>
      <c r="T419" s="51"/>
      <c r="U419" s="51"/>
      <c r="V419" s="51"/>
      <c r="W419" s="51"/>
      <c r="X419" s="51"/>
      <c r="Y419" s="82"/>
      <c r="Z419" s="51"/>
      <c r="AA419" s="51"/>
      <c r="AB419" s="51"/>
      <c r="AC419" s="51"/>
      <c r="AD419" s="51"/>
      <c r="AE419" s="51"/>
      <c r="AF419" s="51"/>
      <c r="AG419" s="51"/>
    </row>
    <row r="420" spans="1:33" ht="15.75" customHeight="1">
      <c r="A420" s="79" t="str">
        <f>IF(C420="","",VLOOKUP('OPĆI DIO'!$C$3,'OPĆI DIO'!$L$6:$U$120,10,FALSE))</f>
        <v/>
      </c>
      <c r="B420" s="79" t="str">
        <f>IF(C420="","",VLOOKUP('OPĆI DIO'!$C$3,'OPĆI DIO'!$L$6:$U$120,9,FALSE))</f>
        <v/>
      </c>
      <c r="C420" s="84"/>
      <c r="D420" s="79" t="str">
        <f t="shared" si="0"/>
        <v/>
      </c>
      <c r="E420" s="84"/>
      <c r="F420" s="79" t="str">
        <f t="shared" si="1"/>
        <v/>
      </c>
      <c r="G420" s="84"/>
      <c r="H420" s="79" t="str">
        <f t="shared" si="44"/>
        <v/>
      </c>
      <c r="I420" s="79" t="str">
        <f t="shared" si="45"/>
        <v/>
      </c>
      <c r="J420" s="67"/>
      <c r="K420" s="67"/>
      <c r="L420" s="67"/>
      <c r="M420" s="68"/>
      <c r="N420" s="51"/>
      <c r="O420" s="51" t="str">
        <f t="shared" si="4"/>
        <v/>
      </c>
      <c r="P420" s="51" t="str">
        <f t="shared" si="5"/>
        <v/>
      </c>
      <c r="Q420" s="51" t="str">
        <f t="shared" si="6"/>
        <v/>
      </c>
      <c r="R420" s="51" t="str">
        <f t="shared" si="7"/>
        <v/>
      </c>
      <c r="S420" s="51"/>
      <c r="T420" s="51"/>
      <c r="U420" s="51"/>
      <c r="V420" s="51"/>
      <c r="W420" s="51"/>
      <c r="X420" s="51"/>
      <c r="Y420" s="82"/>
      <c r="Z420" s="51"/>
      <c r="AA420" s="51"/>
      <c r="AB420" s="51"/>
      <c r="AC420" s="51"/>
      <c r="AD420" s="51"/>
      <c r="AE420" s="51"/>
      <c r="AF420" s="51"/>
      <c r="AG420" s="51"/>
    </row>
    <row r="421" spans="1:33" ht="15.75" customHeight="1">
      <c r="A421" s="79" t="str">
        <f>IF(C421="","",VLOOKUP('OPĆI DIO'!$C$3,'OPĆI DIO'!$L$6:$U$120,10,FALSE))</f>
        <v/>
      </c>
      <c r="B421" s="79" t="str">
        <f>IF(C421="","",VLOOKUP('OPĆI DIO'!$C$3,'OPĆI DIO'!$L$6:$U$120,9,FALSE))</f>
        <v/>
      </c>
      <c r="C421" s="84"/>
      <c r="D421" s="79" t="str">
        <f t="shared" si="0"/>
        <v/>
      </c>
      <c r="E421" s="84"/>
      <c r="F421" s="79" t="str">
        <f t="shared" si="1"/>
        <v/>
      </c>
      <c r="G421" s="84"/>
      <c r="H421" s="79" t="str">
        <f t="shared" si="44"/>
        <v/>
      </c>
      <c r="I421" s="79" t="str">
        <f t="shared" si="45"/>
        <v/>
      </c>
      <c r="J421" s="67"/>
      <c r="K421" s="67"/>
      <c r="L421" s="67"/>
      <c r="M421" s="68"/>
      <c r="N421" s="51"/>
      <c r="O421" s="51" t="str">
        <f t="shared" si="4"/>
        <v/>
      </c>
      <c r="P421" s="51" t="str">
        <f t="shared" si="5"/>
        <v/>
      </c>
      <c r="Q421" s="51" t="str">
        <f t="shared" si="6"/>
        <v/>
      </c>
      <c r="R421" s="51" t="str">
        <f t="shared" si="7"/>
        <v/>
      </c>
      <c r="S421" s="51"/>
      <c r="T421" s="51"/>
      <c r="U421" s="51"/>
      <c r="V421" s="51"/>
      <c r="W421" s="51"/>
      <c r="X421" s="51"/>
      <c r="Y421" s="82"/>
      <c r="Z421" s="51"/>
      <c r="AA421" s="51"/>
      <c r="AB421" s="51"/>
      <c r="AC421" s="51"/>
      <c r="AD421" s="51"/>
      <c r="AE421" s="51"/>
      <c r="AF421" s="51"/>
      <c r="AG421" s="51"/>
    </row>
    <row r="422" spans="1:33" ht="15.75" customHeight="1">
      <c r="A422" s="79" t="str">
        <f>IF(C422="","",VLOOKUP('OPĆI DIO'!$C$3,'OPĆI DIO'!$L$6:$U$120,10,FALSE))</f>
        <v/>
      </c>
      <c r="B422" s="79" t="str">
        <f>IF(C422="","",VLOOKUP('OPĆI DIO'!$C$3,'OPĆI DIO'!$L$6:$U$120,9,FALSE))</f>
        <v/>
      </c>
      <c r="C422" s="84"/>
      <c r="D422" s="79" t="str">
        <f t="shared" si="0"/>
        <v/>
      </c>
      <c r="E422" s="84"/>
      <c r="F422" s="79" t="str">
        <f t="shared" si="1"/>
        <v/>
      </c>
      <c r="G422" s="84"/>
      <c r="H422" s="79" t="str">
        <f t="shared" si="44"/>
        <v/>
      </c>
      <c r="I422" s="79" t="str">
        <f t="shared" si="45"/>
        <v/>
      </c>
      <c r="J422" s="67"/>
      <c r="K422" s="67"/>
      <c r="L422" s="67"/>
      <c r="M422" s="68"/>
      <c r="N422" s="51"/>
      <c r="O422" s="51" t="str">
        <f t="shared" si="4"/>
        <v/>
      </c>
      <c r="P422" s="51" t="str">
        <f t="shared" si="5"/>
        <v/>
      </c>
      <c r="Q422" s="51" t="str">
        <f t="shared" si="6"/>
        <v/>
      </c>
      <c r="R422" s="51" t="str">
        <f t="shared" si="7"/>
        <v/>
      </c>
      <c r="S422" s="51"/>
      <c r="T422" s="51"/>
      <c r="U422" s="51"/>
      <c r="V422" s="51"/>
      <c r="W422" s="51"/>
      <c r="X422" s="51"/>
      <c r="Y422" s="82"/>
      <c r="Z422" s="51"/>
      <c r="AA422" s="51"/>
      <c r="AB422" s="51"/>
      <c r="AC422" s="51"/>
      <c r="AD422" s="51"/>
      <c r="AE422" s="51"/>
      <c r="AF422" s="51"/>
      <c r="AG422" s="51"/>
    </row>
    <row r="423" spans="1:33" ht="15.75" customHeight="1">
      <c r="A423" s="79" t="str">
        <f>IF(C423="","",VLOOKUP('OPĆI DIO'!$C$3,'OPĆI DIO'!$L$6:$U$120,10,FALSE))</f>
        <v/>
      </c>
      <c r="B423" s="79" t="str">
        <f>IF(C423="","",VLOOKUP('OPĆI DIO'!$C$3,'OPĆI DIO'!$L$6:$U$120,9,FALSE))</f>
        <v/>
      </c>
      <c r="C423" s="84"/>
      <c r="D423" s="79" t="str">
        <f t="shared" si="0"/>
        <v/>
      </c>
      <c r="E423" s="84"/>
      <c r="F423" s="79" t="str">
        <f t="shared" si="1"/>
        <v/>
      </c>
      <c r="G423" s="84"/>
      <c r="H423" s="79" t="str">
        <f t="shared" si="44"/>
        <v/>
      </c>
      <c r="I423" s="79" t="str">
        <f t="shared" si="45"/>
        <v/>
      </c>
      <c r="J423" s="67"/>
      <c r="K423" s="67"/>
      <c r="L423" s="67"/>
      <c r="M423" s="68"/>
      <c r="N423" s="51"/>
      <c r="O423" s="51" t="str">
        <f t="shared" si="4"/>
        <v/>
      </c>
      <c r="P423" s="51" t="str">
        <f t="shared" si="5"/>
        <v/>
      </c>
      <c r="Q423" s="51" t="str">
        <f t="shared" si="6"/>
        <v/>
      </c>
      <c r="R423" s="51" t="str">
        <f t="shared" si="7"/>
        <v/>
      </c>
      <c r="S423" s="51"/>
      <c r="T423" s="51"/>
      <c r="U423" s="51"/>
      <c r="V423" s="51"/>
      <c r="W423" s="51"/>
      <c r="X423" s="51"/>
      <c r="Y423" s="82"/>
      <c r="Z423" s="51"/>
      <c r="AA423" s="51"/>
      <c r="AB423" s="51"/>
      <c r="AC423" s="51"/>
      <c r="AD423" s="51"/>
      <c r="AE423" s="51"/>
      <c r="AF423" s="51"/>
      <c r="AG423" s="51"/>
    </row>
    <row r="424" spans="1:33" ht="15.75" customHeight="1">
      <c r="A424" s="79" t="str">
        <f>IF(C424="","",VLOOKUP('OPĆI DIO'!$C$3,'OPĆI DIO'!$L$6:$U$120,10,FALSE))</f>
        <v/>
      </c>
      <c r="B424" s="79" t="str">
        <f>IF(C424="","",VLOOKUP('OPĆI DIO'!$C$3,'OPĆI DIO'!$L$6:$U$120,9,FALSE))</f>
        <v/>
      </c>
      <c r="C424" s="84"/>
      <c r="D424" s="79" t="str">
        <f t="shared" si="0"/>
        <v/>
      </c>
      <c r="E424" s="84"/>
      <c r="F424" s="79" t="str">
        <f t="shared" si="1"/>
        <v/>
      </c>
      <c r="G424" s="84"/>
      <c r="H424" s="79" t="str">
        <f t="shared" si="44"/>
        <v/>
      </c>
      <c r="I424" s="79" t="str">
        <f t="shared" si="45"/>
        <v/>
      </c>
      <c r="J424" s="67"/>
      <c r="K424" s="67"/>
      <c r="L424" s="67"/>
      <c r="M424" s="68"/>
      <c r="N424" s="51"/>
      <c r="O424" s="51" t="str">
        <f t="shared" si="4"/>
        <v/>
      </c>
      <c r="P424" s="51" t="str">
        <f t="shared" si="5"/>
        <v/>
      </c>
      <c r="Q424" s="51" t="str">
        <f t="shared" si="6"/>
        <v/>
      </c>
      <c r="R424" s="51" t="str">
        <f t="shared" si="7"/>
        <v/>
      </c>
      <c r="S424" s="51"/>
      <c r="T424" s="51"/>
      <c r="U424" s="51"/>
      <c r="V424" s="51"/>
      <c r="W424" s="51"/>
      <c r="X424" s="51"/>
      <c r="Y424" s="82"/>
      <c r="Z424" s="51"/>
      <c r="AA424" s="51"/>
      <c r="AB424" s="51"/>
      <c r="AC424" s="51"/>
      <c r="AD424" s="51"/>
      <c r="AE424" s="51"/>
      <c r="AF424" s="51"/>
      <c r="AG424" s="51"/>
    </row>
    <row r="425" spans="1:33" ht="15.75" customHeight="1">
      <c r="A425" s="79" t="str">
        <f>IF(C425="","",VLOOKUP('OPĆI DIO'!$C$3,'OPĆI DIO'!$L$6:$U$120,10,FALSE))</f>
        <v/>
      </c>
      <c r="B425" s="79" t="str">
        <f>IF(C425="","",VLOOKUP('OPĆI DIO'!$C$3,'OPĆI DIO'!$L$6:$U$120,9,FALSE))</f>
        <v/>
      </c>
      <c r="C425" s="84"/>
      <c r="D425" s="79" t="str">
        <f t="shared" si="0"/>
        <v/>
      </c>
      <c r="E425" s="84"/>
      <c r="F425" s="79" t="str">
        <f t="shared" si="1"/>
        <v/>
      </c>
      <c r="G425" s="84"/>
      <c r="H425" s="79" t="str">
        <f t="shared" si="44"/>
        <v/>
      </c>
      <c r="I425" s="79" t="str">
        <f t="shared" si="45"/>
        <v/>
      </c>
      <c r="J425" s="67"/>
      <c r="K425" s="67"/>
      <c r="L425" s="67"/>
      <c r="M425" s="68"/>
      <c r="N425" s="51"/>
      <c r="O425" s="51" t="str">
        <f t="shared" si="4"/>
        <v/>
      </c>
      <c r="P425" s="51" t="str">
        <f t="shared" si="5"/>
        <v/>
      </c>
      <c r="Q425" s="51" t="str">
        <f t="shared" si="6"/>
        <v/>
      </c>
      <c r="R425" s="51" t="str">
        <f t="shared" si="7"/>
        <v/>
      </c>
      <c r="S425" s="51"/>
      <c r="T425" s="51"/>
      <c r="U425" s="51"/>
      <c r="V425" s="51"/>
      <c r="W425" s="51"/>
      <c r="X425" s="51"/>
      <c r="Y425" s="82"/>
      <c r="Z425" s="51"/>
      <c r="AA425" s="51"/>
      <c r="AB425" s="51"/>
      <c r="AC425" s="51"/>
      <c r="AD425" s="51"/>
      <c r="AE425" s="51"/>
      <c r="AF425" s="51"/>
      <c r="AG425" s="51"/>
    </row>
    <row r="426" spans="1:33" ht="15.75" customHeight="1">
      <c r="A426" s="79" t="str">
        <f>IF(C426="","",VLOOKUP('OPĆI DIO'!$C$3,'OPĆI DIO'!$L$6:$U$120,10,FALSE))</f>
        <v/>
      </c>
      <c r="B426" s="79" t="str">
        <f>IF(C426="","",VLOOKUP('OPĆI DIO'!$C$3,'OPĆI DIO'!$L$6:$U$120,9,FALSE))</f>
        <v/>
      </c>
      <c r="C426" s="84"/>
      <c r="D426" s="79" t="str">
        <f t="shared" si="0"/>
        <v/>
      </c>
      <c r="E426" s="84"/>
      <c r="F426" s="79" t="str">
        <f t="shared" si="1"/>
        <v/>
      </c>
      <c r="G426" s="84"/>
      <c r="H426" s="79" t="str">
        <f t="shared" si="44"/>
        <v/>
      </c>
      <c r="I426" s="79" t="str">
        <f t="shared" si="45"/>
        <v/>
      </c>
      <c r="J426" s="67"/>
      <c r="K426" s="67"/>
      <c r="L426" s="67"/>
      <c r="M426" s="68"/>
      <c r="N426" s="51"/>
      <c r="O426" s="51" t="str">
        <f t="shared" si="4"/>
        <v/>
      </c>
      <c r="P426" s="51" t="str">
        <f t="shared" si="5"/>
        <v/>
      </c>
      <c r="Q426" s="51" t="str">
        <f t="shared" si="6"/>
        <v/>
      </c>
      <c r="R426" s="51" t="str">
        <f t="shared" si="7"/>
        <v/>
      </c>
      <c r="S426" s="51"/>
      <c r="T426" s="51"/>
      <c r="U426" s="51"/>
      <c r="V426" s="51"/>
      <c r="W426" s="51"/>
      <c r="X426" s="51"/>
      <c r="Y426" s="82"/>
      <c r="Z426" s="51"/>
      <c r="AA426" s="51"/>
      <c r="AB426" s="51"/>
      <c r="AC426" s="51"/>
      <c r="AD426" s="51"/>
      <c r="AE426" s="51"/>
      <c r="AF426" s="51"/>
      <c r="AG426" s="51"/>
    </row>
    <row r="427" spans="1:33" ht="15.75" customHeight="1">
      <c r="A427" s="79" t="str">
        <f>IF(C427="","",VLOOKUP('OPĆI DIO'!$C$3,'OPĆI DIO'!$L$6:$U$120,10,FALSE))</f>
        <v/>
      </c>
      <c r="B427" s="79" t="str">
        <f>IF(C427="","",VLOOKUP('OPĆI DIO'!$C$3,'OPĆI DIO'!$L$6:$U$120,9,FALSE))</f>
        <v/>
      </c>
      <c r="C427" s="84"/>
      <c r="D427" s="79" t="str">
        <f t="shared" si="0"/>
        <v/>
      </c>
      <c r="E427" s="84"/>
      <c r="F427" s="79" t="str">
        <f t="shared" si="1"/>
        <v/>
      </c>
      <c r="G427" s="84"/>
      <c r="H427" s="79" t="str">
        <f t="shared" si="44"/>
        <v/>
      </c>
      <c r="I427" s="79" t="str">
        <f t="shared" si="45"/>
        <v/>
      </c>
      <c r="J427" s="67"/>
      <c r="K427" s="67"/>
      <c r="L427" s="67"/>
      <c r="M427" s="68"/>
      <c r="N427" s="51"/>
      <c r="O427" s="51" t="str">
        <f t="shared" si="4"/>
        <v/>
      </c>
      <c r="P427" s="51" t="str">
        <f t="shared" si="5"/>
        <v/>
      </c>
      <c r="Q427" s="51" t="str">
        <f t="shared" si="6"/>
        <v/>
      </c>
      <c r="R427" s="51" t="str">
        <f t="shared" si="7"/>
        <v/>
      </c>
      <c r="S427" s="51"/>
      <c r="T427" s="51"/>
      <c r="U427" s="51"/>
      <c r="V427" s="51"/>
      <c r="W427" s="51"/>
      <c r="X427" s="51"/>
      <c r="Y427" s="82"/>
      <c r="Z427" s="51"/>
      <c r="AA427" s="51"/>
      <c r="AB427" s="51"/>
      <c r="AC427" s="51"/>
      <c r="AD427" s="51"/>
      <c r="AE427" s="51"/>
      <c r="AF427" s="51"/>
      <c r="AG427" s="51"/>
    </row>
    <row r="428" spans="1:33" ht="15.75" customHeight="1">
      <c r="A428" s="79" t="str">
        <f>IF(C428="","",VLOOKUP('OPĆI DIO'!$C$3,'OPĆI DIO'!$L$6:$U$120,10,FALSE))</f>
        <v/>
      </c>
      <c r="B428" s="79" t="str">
        <f>IF(C428="","",VLOOKUP('OPĆI DIO'!$C$3,'OPĆI DIO'!$L$6:$U$120,9,FALSE))</f>
        <v/>
      </c>
      <c r="C428" s="84"/>
      <c r="D428" s="79" t="str">
        <f t="shared" si="0"/>
        <v/>
      </c>
      <c r="E428" s="84"/>
      <c r="F428" s="79" t="str">
        <f t="shared" si="1"/>
        <v/>
      </c>
      <c r="G428" s="84"/>
      <c r="H428" s="79" t="str">
        <f t="shared" si="44"/>
        <v/>
      </c>
      <c r="I428" s="79" t="str">
        <f t="shared" si="45"/>
        <v/>
      </c>
      <c r="J428" s="67"/>
      <c r="K428" s="67"/>
      <c r="L428" s="67"/>
      <c r="M428" s="68"/>
      <c r="N428" s="51"/>
      <c r="O428" s="51" t="str">
        <f t="shared" si="4"/>
        <v/>
      </c>
      <c r="P428" s="51" t="str">
        <f t="shared" si="5"/>
        <v/>
      </c>
      <c r="Q428" s="51" t="str">
        <f t="shared" si="6"/>
        <v/>
      </c>
      <c r="R428" s="51" t="str">
        <f t="shared" si="7"/>
        <v/>
      </c>
      <c r="S428" s="51"/>
      <c r="T428" s="51"/>
      <c r="U428" s="51"/>
      <c r="V428" s="51"/>
      <c r="W428" s="51"/>
      <c r="X428" s="51"/>
      <c r="Y428" s="82"/>
      <c r="Z428" s="51"/>
      <c r="AA428" s="51"/>
      <c r="AB428" s="51"/>
      <c r="AC428" s="51"/>
      <c r="AD428" s="51"/>
      <c r="AE428" s="51"/>
      <c r="AF428" s="51"/>
      <c r="AG428" s="51"/>
    </row>
    <row r="429" spans="1:33" ht="15.75" customHeight="1">
      <c r="A429" s="79" t="str">
        <f>IF(C429="","",VLOOKUP('OPĆI DIO'!$C$3,'OPĆI DIO'!$L$6:$U$120,10,FALSE))</f>
        <v/>
      </c>
      <c r="B429" s="79" t="str">
        <f>IF(C429="","",VLOOKUP('OPĆI DIO'!$C$3,'OPĆI DIO'!$L$6:$U$120,9,FALSE))</f>
        <v/>
      </c>
      <c r="C429" s="84"/>
      <c r="D429" s="79" t="str">
        <f t="shared" si="0"/>
        <v/>
      </c>
      <c r="E429" s="84"/>
      <c r="F429" s="79" t="str">
        <f t="shared" si="1"/>
        <v/>
      </c>
      <c r="G429" s="84"/>
      <c r="H429" s="79" t="str">
        <f t="shared" si="44"/>
        <v/>
      </c>
      <c r="I429" s="79" t="str">
        <f t="shared" si="45"/>
        <v/>
      </c>
      <c r="J429" s="67"/>
      <c r="K429" s="67"/>
      <c r="L429" s="67"/>
      <c r="M429" s="68"/>
      <c r="N429" s="51"/>
      <c r="O429" s="51" t="str">
        <f t="shared" si="4"/>
        <v/>
      </c>
      <c r="P429" s="51" t="str">
        <f t="shared" si="5"/>
        <v/>
      </c>
      <c r="Q429" s="51" t="str">
        <f t="shared" si="6"/>
        <v/>
      </c>
      <c r="R429" s="51" t="str">
        <f t="shared" si="7"/>
        <v/>
      </c>
      <c r="S429" s="51"/>
      <c r="T429" s="51"/>
      <c r="U429" s="51"/>
      <c r="V429" s="51"/>
      <c r="W429" s="51"/>
      <c r="X429" s="51"/>
      <c r="Y429" s="82"/>
      <c r="Z429" s="51"/>
      <c r="AA429" s="51"/>
      <c r="AB429" s="51"/>
      <c r="AC429" s="51"/>
      <c r="AD429" s="51"/>
      <c r="AE429" s="51"/>
      <c r="AF429" s="51"/>
      <c r="AG429" s="51"/>
    </row>
    <row r="430" spans="1:33" ht="15.75" customHeight="1">
      <c r="A430" s="79" t="str">
        <f>IF(C430="","",VLOOKUP('OPĆI DIO'!$C$3,'OPĆI DIO'!$L$6:$U$120,10,FALSE))</f>
        <v/>
      </c>
      <c r="B430" s="79" t="str">
        <f>IF(C430="","",VLOOKUP('OPĆI DIO'!$C$3,'OPĆI DIO'!$L$6:$U$120,9,FALSE))</f>
        <v/>
      </c>
      <c r="C430" s="84"/>
      <c r="D430" s="79" t="str">
        <f t="shared" si="0"/>
        <v/>
      </c>
      <c r="E430" s="84"/>
      <c r="F430" s="79" t="str">
        <f t="shared" si="1"/>
        <v/>
      </c>
      <c r="G430" s="84"/>
      <c r="H430" s="79" t="str">
        <f t="shared" si="44"/>
        <v/>
      </c>
      <c r="I430" s="79" t="str">
        <f t="shared" si="45"/>
        <v/>
      </c>
      <c r="J430" s="67"/>
      <c r="K430" s="67"/>
      <c r="L430" s="67"/>
      <c r="M430" s="68"/>
      <c r="N430" s="51"/>
      <c r="O430" s="51" t="str">
        <f t="shared" si="4"/>
        <v/>
      </c>
      <c r="P430" s="51" t="str">
        <f t="shared" si="5"/>
        <v/>
      </c>
      <c r="Q430" s="51" t="str">
        <f t="shared" si="6"/>
        <v/>
      </c>
      <c r="R430" s="51" t="str">
        <f t="shared" si="7"/>
        <v/>
      </c>
      <c r="S430" s="51"/>
      <c r="T430" s="51"/>
      <c r="U430" s="51"/>
      <c r="V430" s="51"/>
      <c r="W430" s="51"/>
      <c r="X430" s="51"/>
      <c r="Y430" s="82"/>
      <c r="Z430" s="51"/>
      <c r="AA430" s="51"/>
      <c r="AB430" s="51"/>
      <c r="AC430" s="51"/>
      <c r="AD430" s="51"/>
      <c r="AE430" s="51"/>
      <c r="AF430" s="51"/>
      <c r="AG430" s="51"/>
    </row>
    <row r="431" spans="1:33" ht="15.75" customHeight="1">
      <c r="A431" s="79" t="str">
        <f>IF(C431="","",VLOOKUP('OPĆI DIO'!$C$3,'OPĆI DIO'!$L$6:$U$120,10,FALSE))</f>
        <v/>
      </c>
      <c r="B431" s="79" t="str">
        <f>IF(C431="","",VLOOKUP('OPĆI DIO'!$C$3,'OPĆI DIO'!$L$6:$U$120,9,FALSE))</f>
        <v/>
      </c>
      <c r="C431" s="84"/>
      <c r="D431" s="79" t="str">
        <f t="shared" si="0"/>
        <v/>
      </c>
      <c r="E431" s="84"/>
      <c r="F431" s="79" t="str">
        <f t="shared" si="1"/>
        <v/>
      </c>
      <c r="G431" s="84"/>
      <c r="H431" s="79" t="str">
        <f t="shared" si="44"/>
        <v/>
      </c>
      <c r="I431" s="79" t="str">
        <f t="shared" si="45"/>
        <v/>
      </c>
      <c r="J431" s="67"/>
      <c r="K431" s="67"/>
      <c r="L431" s="67"/>
      <c r="M431" s="68"/>
      <c r="N431" s="51"/>
      <c r="O431" s="51" t="str">
        <f t="shared" si="4"/>
        <v/>
      </c>
      <c r="P431" s="51" t="str">
        <f t="shared" si="5"/>
        <v/>
      </c>
      <c r="Q431" s="51" t="str">
        <f t="shared" si="6"/>
        <v/>
      </c>
      <c r="R431" s="51" t="str">
        <f t="shared" si="7"/>
        <v/>
      </c>
      <c r="S431" s="51"/>
      <c r="T431" s="51"/>
      <c r="U431" s="51"/>
      <c r="V431" s="51"/>
      <c r="W431" s="51"/>
      <c r="X431" s="51"/>
      <c r="Y431" s="82"/>
      <c r="Z431" s="51"/>
      <c r="AA431" s="51"/>
      <c r="AB431" s="51"/>
      <c r="AC431" s="51"/>
      <c r="AD431" s="51"/>
      <c r="AE431" s="51"/>
      <c r="AF431" s="51"/>
      <c r="AG431" s="51"/>
    </row>
    <row r="432" spans="1:33" ht="15.75" customHeight="1">
      <c r="A432" s="79" t="str">
        <f>IF(C432="","",VLOOKUP('OPĆI DIO'!$C$3,'OPĆI DIO'!$L$6:$U$120,10,FALSE))</f>
        <v/>
      </c>
      <c r="B432" s="79" t="str">
        <f>IF(C432="","",VLOOKUP('OPĆI DIO'!$C$3,'OPĆI DIO'!$L$6:$U$120,9,FALSE))</f>
        <v/>
      </c>
      <c r="C432" s="84"/>
      <c r="D432" s="79" t="str">
        <f t="shared" si="0"/>
        <v/>
      </c>
      <c r="E432" s="84"/>
      <c r="F432" s="79" t="str">
        <f t="shared" si="1"/>
        <v/>
      </c>
      <c r="G432" s="84"/>
      <c r="H432" s="79" t="str">
        <f t="shared" si="44"/>
        <v/>
      </c>
      <c r="I432" s="79" t="str">
        <f t="shared" si="45"/>
        <v/>
      </c>
      <c r="J432" s="67"/>
      <c r="K432" s="67"/>
      <c r="L432" s="67"/>
      <c r="M432" s="68"/>
      <c r="N432" s="51"/>
      <c r="O432" s="51" t="str">
        <f t="shared" si="4"/>
        <v/>
      </c>
      <c r="P432" s="51" t="str">
        <f t="shared" si="5"/>
        <v/>
      </c>
      <c r="Q432" s="51" t="str">
        <f t="shared" si="6"/>
        <v/>
      </c>
      <c r="R432" s="51" t="str">
        <f t="shared" si="7"/>
        <v/>
      </c>
      <c r="S432" s="51"/>
      <c r="T432" s="51"/>
      <c r="U432" s="51"/>
      <c r="V432" s="51"/>
      <c r="W432" s="51"/>
      <c r="X432" s="51"/>
      <c r="Y432" s="82"/>
      <c r="Z432" s="51"/>
      <c r="AA432" s="51"/>
      <c r="AB432" s="51"/>
      <c r="AC432" s="51"/>
      <c r="AD432" s="51"/>
      <c r="AE432" s="51"/>
      <c r="AF432" s="51"/>
      <c r="AG432" s="51"/>
    </row>
    <row r="433" spans="1:33" ht="15.75" customHeight="1">
      <c r="A433" s="79" t="str">
        <f>IF(C433="","",VLOOKUP('OPĆI DIO'!$C$3,'OPĆI DIO'!$L$6:$U$120,10,FALSE))</f>
        <v/>
      </c>
      <c r="B433" s="79" t="str">
        <f>IF(C433="","",VLOOKUP('OPĆI DIO'!$C$3,'OPĆI DIO'!$L$6:$U$120,9,FALSE))</f>
        <v/>
      </c>
      <c r="C433" s="84"/>
      <c r="D433" s="79" t="str">
        <f t="shared" si="0"/>
        <v/>
      </c>
      <c r="E433" s="84"/>
      <c r="F433" s="79" t="str">
        <f t="shared" si="1"/>
        <v/>
      </c>
      <c r="G433" s="84"/>
      <c r="H433" s="79" t="str">
        <f t="shared" si="44"/>
        <v/>
      </c>
      <c r="I433" s="79" t="str">
        <f t="shared" si="45"/>
        <v/>
      </c>
      <c r="J433" s="67"/>
      <c r="K433" s="67"/>
      <c r="L433" s="67"/>
      <c r="M433" s="68"/>
      <c r="N433" s="51"/>
      <c r="O433" s="51" t="str">
        <f t="shared" si="4"/>
        <v/>
      </c>
      <c r="P433" s="51" t="str">
        <f t="shared" si="5"/>
        <v/>
      </c>
      <c r="Q433" s="51" t="str">
        <f t="shared" si="6"/>
        <v/>
      </c>
      <c r="R433" s="51" t="str">
        <f t="shared" si="7"/>
        <v/>
      </c>
      <c r="S433" s="51"/>
      <c r="T433" s="51"/>
      <c r="U433" s="51"/>
      <c r="V433" s="51"/>
      <c r="W433" s="51"/>
      <c r="X433" s="51"/>
      <c r="Y433" s="82"/>
      <c r="Z433" s="51"/>
      <c r="AA433" s="51"/>
      <c r="AB433" s="51"/>
      <c r="AC433" s="51"/>
      <c r="AD433" s="51"/>
      <c r="AE433" s="51"/>
      <c r="AF433" s="51"/>
      <c r="AG433" s="51"/>
    </row>
    <row r="434" spans="1:33" ht="15.75" customHeight="1">
      <c r="A434" s="79" t="str">
        <f>IF(C434="","",VLOOKUP('OPĆI DIO'!$C$3,'OPĆI DIO'!$L$6:$U$120,10,FALSE))</f>
        <v/>
      </c>
      <c r="B434" s="79" t="str">
        <f>IF(C434="","",VLOOKUP('OPĆI DIO'!$C$3,'OPĆI DIO'!$L$6:$U$120,9,FALSE))</f>
        <v/>
      </c>
      <c r="C434" s="84"/>
      <c r="D434" s="79" t="str">
        <f t="shared" si="0"/>
        <v/>
      </c>
      <c r="E434" s="84"/>
      <c r="F434" s="79" t="str">
        <f t="shared" si="1"/>
        <v/>
      </c>
      <c r="G434" s="84"/>
      <c r="H434" s="79" t="str">
        <f t="shared" si="44"/>
        <v/>
      </c>
      <c r="I434" s="79" t="str">
        <f t="shared" si="45"/>
        <v/>
      </c>
      <c r="J434" s="67"/>
      <c r="K434" s="67"/>
      <c r="L434" s="67"/>
      <c r="M434" s="68"/>
      <c r="N434" s="51"/>
      <c r="O434" s="51" t="str">
        <f t="shared" si="4"/>
        <v/>
      </c>
      <c r="P434" s="51" t="str">
        <f t="shared" si="5"/>
        <v/>
      </c>
      <c r="Q434" s="51" t="str">
        <f t="shared" si="6"/>
        <v/>
      </c>
      <c r="R434" s="51" t="str">
        <f t="shared" si="7"/>
        <v/>
      </c>
      <c r="S434" s="51"/>
      <c r="T434" s="51"/>
      <c r="U434" s="51"/>
      <c r="V434" s="51"/>
      <c r="W434" s="51"/>
      <c r="X434" s="51"/>
      <c r="Y434" s="82"/>
      <c r="Z434" s="51"/>
      <c r="AA434" s="51"/>
      <c r="AB434" s="51"/>
      <c r="AC434" s="51"/>
      <c r="AD434" s="51"/>
      <c r="AE434" s="51"/>
      <c r="AF434" s="51"/>
      <c r="AG434" s="51"/>
    </row>
    <row r="435" spans="1:33" ht="15.75" customHeight="1">
      <c r="A435" s="79" t="str">
        <f>IF(C435="","",VLOOKUP('OPĆI DIO'!$C$3,'OPĆI DIO'!$L$6:$U$120,10,FALSE))</f>
        <v/>
      </c>
      <c r="B435" s="79" t="str">
        <f>IF(C435="","",VLOOKUP('OPĆI DIO'!$C$3,'OPĆI DIO'!$L$6:$U$120,9,FALSE))</f>
        <v/>
      </c>
      <c r="C435" s="84"/>
      <c r="D435" s="79" t="str">
        <f t="shared" si="0"/>
        <v/>
      </c>
      <c r="E435" s="84"/>
      <c r="F435" s="79" t="str">
        <f t="shared" si="1"/>
        <v/>
      </c>
      <c r="G435" s="84"/>
      <c r="H435" s="79" t="str">
        <f t="shared" si="44"/>
        <v/>
      </c>
      <c r="I435" s="79" t="str">
        <f t="shared" si="45"/>
        <v/>
      </c>
      <c r="J435" s="67"/>
      <c r="K435" s="67"/>
      <c r="L435" s="67"/>
      <c r="M435" s="68"/>
      <c r="N435" s="51"/>
      <c r="O435" s="51" t="str">
        <f t="shared" si="4"/>
        <v/>
      </c>
      <c r="P435" s="51" t="str">
        <f t="shared" si="5"/>
        <v/>
      </c>
      <c r="Q435" s="51" t="str">
        <f t="shared" si="6"/>
        <v/>
      </c>
      <c r="R435" s="51" t="str">
        <f t="shared" si="7"/>
        <v/>
      </c>
      <c r="S435" s="51"/>
      <c r="T435" s="51"/>
      <c r="U435" s="51"/>
      <c r="V435" s="51"/>
      <c r="W435" s="51"/>
      <c r="X435" s="51"/>
      <c r="Y435" s="82"/>
      <c r="Z435" s="51"/>
      <c r="AA435" s="51"/>
      <c r="AB435" s="51"/>
      <c r="AC435" s="51"/>
      <c r="AD435" s="51"/>
      <c r="AE435" s="51"/>
      <c r="AF435" s="51"/>
      <c r="AG435" s="51"/>
    </row>
    <row r="436" spans="1:33" ht="15.75" customHeight="1">
      <c r="A436" s="79" t="str">
        <f>IF(C436="","",VLOOKUP('OPĆI DIO'!$C$3,'OPĆI DIO'!$L$6:$U$120,10,FALSE))</f>
        <v/>
      </c>
      <c r="B436" s="79" t="str">
        <f>IF(C436="","",VLOOKUP('OPĆI DIO'!$C$3,'OPĆI DIO'!$L$6:$U$120,9,FALSE))</f>
        <v/>
      </c>
      <c r="C436" s="84"/>
      <c r="D436" s="79" t="str">
        <f t="shared" si="0"/>
        <v/>
      </c>
      <c r="E436" s="84"/>
      <c r="F436" s="79" t="str">
        <f t="shared" si="1"/>
        <v/>
      </c>
      <c r="G436" s="84"/>
      <c r="H436" s="79" t="str">
        <f t="shared" si="44"/>
        <v/>
      </c>
      <c r="I436" s="79" t="str">
        <f t="shared" si="45"/>
        <v/>
      </c>
      <c r="J436" s="67"/>
      <c r="K436" s="67"/>
      <c r="L436" s="67"/>
      <c r="M436" s="68"/>
      <c r="N436" s="51"/>
      <c r="O436" s="51" t="str">
        <f t="shared" si="4"/>
        <v/>
      </c>
      <c r="P436" s="51" t="str">
        <f t="shared" si="5"/>
        <v/>
      </c>
      <c r="Q436" s="51" t="str">
        <f t="shared" si="6"/>
        <v/>
      </c>
      <c r="R436" s="51" t="str">
        <f t="shared" si="7"/>
        <v/>
      </c>
      <c r="S436" s="51"/>
      <c r="T436" s="51"/>
      <c r="U436" s="51"/>
      <c r="V436" s="51"/>
      <c r="W436" s="51"/>
      <c r="X436" s="51"/>
      <c r="Y436" s="82"/>
      <c r="Z436" s="51"/>
      <c r="AA436" s="51"/>
      <c r="AB436" s="51"/>
      <c r="AC436" s="51"/>
      <c r="AD436" s="51"/>
      <c r="AE436" s="51"/>
      <c r="AF436" s="51"/>
      <c r="AG436" s="51"/>
    </row>
    <row r="437" spans="1:33" ht="15.75" customHeight="1">
      <c r="A437" s="79" t="str">
        <f>IF(C437="","",VLOOKUP('OPĆI DIO'!$C$3,'OPĆI DIO'!$L$6:$U$120,10,FALSE))</f>
        <v/>
      </c>
      <c r="B437" s="79" t="str">
        <f>IF(C437="","",VLOOKUP('OPĆI DIO'!$C$3,'OPĆI DIO'!$L$6:$U$120,9,FALSE))</f>
        <v/>
      </c>
      <c r="C437" s="84"/>
      <c r="D437" s="79" t="str">
        <f t="shared" si="0"/>
        <v/>
      </c>
      <c r="E437" s="84"/>
      <c r="F437" s="79" t="str">
        <f t="shared" si="1"/>
        <v/>
      </c>
      <c r="G437" s="84"/>
      <c r="H437" s="79" t="str">
        <f t="shared" si="44"/>
        <v/>
      </c>
      <c r="I437" s="79" t="str">
        <f t="shared" si="45"/>
        <v/>
      </c>
      <c r="J437" s="67"/>
      <c r="K437" s="67"/>
      <c r="L437" s="67"/>
      <c r="M437" s="68"/>
      <c r="N437" s="51"/>
      <c r="O437" s="51" t="str">
        <f t="shared" si="4"/>
        <v/>
      </c>
      <c r="P437" s="51" t="str">
        <f t="shared" si="5"/>
        <v/>
      </c>
      <c r="Q437" s="51" t="str">
        <f t="shared" si="6"/>
        <v/>
      </c>
      <c r="R437" s="51" t="str">
        <f t="shared" si="7"/>
        <v/>
      </c>
      <c r="S437" s="51"/>
      <c r="T437" s="51"/>
      <c r="U437" s="51"/>
      <c r="V437" s="51"/>
      <c r="W437" s="51"/>
      <c r="X437" s="51"/>
      <c r="Y437" s="82"/>
      <c r="Z437" s="51"/>
      <c r="AA437" s="51"/>
      <c r="AB437" s="51"/>
      <c r="AC437" s="51"/>
      <c r="AD437" s="51"/>
      <c r="AE437" s="51"/>
      <c r="AF437" s="51"/>
      <c r="AG437" s="51"/>
    </row>
    <row r="438" spans="1:33" ht="15.75" customHeight="1">
      <c r="A438" s="79" t="str">
        <f>IF(C438="","",VLOOKUP('OPĆI DIO'!$C$3,'OPĆI DIO'!$L$6:$U$120,10,FALSE))</f>
        <v/>
      </c>
      <c r="B438" s="79" t="str">
        <f>IF(C438="","",VLOOKUP('OPĆI DIO'!$C$3,'OPĆI DIO'!$L$6:$U$120,9,FALSE))</f>
        <v/>
      </c>
      <c r="C438" s="84"/>
      <c r="D438" s="79" t="str">
        <f t="shared" si="0"/>
        <v/>
      </c>
      <c r="E438" s="84"/>
      <c r="F438" s="79" t="str">
        <f t="shared" si="1"/>
        <v/>
      </c>
      <c r="G438" s="84"/>
      <c r="H438" s="79" t="str">
        <f t="shared" si="44"/>
        <v/>
      </c>
      <c r="I438" s="79" t="str">
        <f t="shared" si="45"/>
        <v/>
      </c>
      <c r="J438" s="67"/>
      <c r="K438" s="67"/>
      <c r="L438" s="67"/>
      <c r="M438" s="68"/>
      <c r="N438" s="51"/>
      <c r="O438" s="51" t="str">
        <f t="shared" si="4"/>
        <v/>
      </c>
      <c r="P438" s="51" t="str">
        <f t="shared" si="5"/>
        <v/>
      </c>
      <c r="Q438" s="51" t="str">
        <f t="shared" si="6"/>
        <v/>
      </c>
      <c r="R438" s="51" t="str">
        <f t="shared" si="7"/>
        <v/>
      </c>
      <c r="S438" s="51"/>
      <c r="T438" s="51"/>
      <c r="U438" s="51"/>
      <c r="V438" s="51"/>
      <c r="W438" s="51"/>
      <c r="X438" s="51"/>
      <c r="Y438" s="82"/>
      <c r="Z438" s="51"/>
      <c r="AA438" s="51"/>
      <c r="AB438" s="51"/>
      <c r="AC438" s="51"/>
      <c r="AD438" s="51"/>
      <c r="AE438" s="51"/>
      <c r="AF438" s="51"/>
      <c r="AG438" s="51"/>
    </row>
    <row r="439" spans="1:33" ht="15.75" customHeight="1">
      <c r="A439" s="79" t="str">
        <f>IF(C439="","",VLOOKUP('OPĆI DIO'!$C$3,'OPĆI DIO'!$L$6:$U$120,10,FALSE))</f>
        <v/>
      </c>
      <c r="B439" s="79" t="str">
        <f>IF(C439="","",VLOOKUP('OPĆI DIO'!$C$3,'OPĆI DIO'!$L$6:$U$120,9,FALSE))</f>
        <v/>
      </c>
      <c r="C439" s="84"/>
      <c r="D439" s="79" t="str">
        <f t="shared" si="0"/>
        <v/>
      </c>
      <c r="E439" s="84"/>
      <c r="F439" s="79" t="str">
        <f t="shared" si="1"/>
        <v/>
      </c>
      <c r="G439" s="84"/>
      <c r="H439" s="79" t="str">
        <f t="shared" si="44"/>
        <v/>
      </c>
      <c r="I439" s="79" t="str">
        <f t="shared" si="45"/>
        <v/>
      </c>
      <c r="J439" s="67"/>
      <c r="K439" s="67"/>
      <c r="L439" s="67"/>
      <c r="M439" s="68"/>
      <c r="N439" s="51"/>
      <c r="O439" s="51" t="str">
        <f t="shared" si="4"/>
        <v/>
      </c>
      <c r="P439" s="51" t="str">
        <f t="shared" si="5"/>
        <v/>
      </c>
      <c r="Q439" s="51" t="str">
        <f t="shared" si="6"/>
        <v/>
      </c>
      <c r="R439" s="51" t="str">
        <f t="shared" si="7"/>
        <v/>
      </c>
      <c r="S439" s="51"/>
      <c r="T439" s="51"/>
      <c r="U439" s="51"/>
      <c r="V439" s="51"/>
      <c r="W439" s="51"/>
      <c r="X439" s="51"/>
      <c r="Y439" s="82"/>
      <c r="Z439" s="51"/>
      <c r="AA439" s="51"/>
      <c r="AB439" s="51"/>
      <c r="AC439" s="51"/>
      <c r="AD439" s="51"/>
      <c r="AE439" s="51"/>
      <c r="AF439" s="51"/>
      <c r="AG439" s="51"/>
    </row>
    <row r="440" spans="1:33" ht="15.75" customHeight="1">
      <c r="A440" s="79" t="str">
        <f>IF(C440="","",VLOOKUP('OPĆI DIO'!$C$3,'OPĆI DIO'!$L$6:$U$120,10,FALSE))</f>
        <v/>
      </c>
      <c r="B440" s="79" t="str">
        <f>IF(C440="","",VLOOKUP('OPĆI DIO'!$C$3,'OPĆI DIO'!$L$6:$U$120,9,FALSE))</f>
        <v/>
      </c>
      <c r="C440" s="84"/>
      <c r="D440" s="79" t="str">
        <f t="shared" si="0"/>
        <v/>
      </c>
      <c r="E440" s="84"/>
      <c r="F440" s="79" t="str">
        <f t="shared" si="1"/>
        <v/>
      </c>
      <c r="G440" s="84"/>
      <c r="H440" s="79" t="str">
        <f t="shared" si="44"/>
        <v/>
      </c>
      <c r="I440" s="79" t="str">
        <f t="shared" si="45"/>
        <v/>
      </c>
      <c r="J440" s="67"/>
      <c r="K440" s="67"/>
      <c r="L440" s="67"/>
      <c r="M440" s="68"/>
      <c r="N440" s="51"/>
      <c r="O440" s="51" t="str">
        <f t="shared" si="4"/>
        <v/>
      </c>
      <c r="P440" s="51" t="str">
        <f t="shared" si="5"/>
        <v/>
      </c>
      <c r="Q440" s="51" t="str">
        <f t="shared" si="6"/>
        <v/>
      </c>
      <c r="R440" s="51" t="str">
        <f t="shared" si="7"/>
        <v/>
      </c>
      <c r="S440" s="51"/>
      <c r="T440" s="51"/>
      <c r="U440" s="51"/>
      <c r="V440" s="51"/>
      <c r="W440" s="51"/>
      <c r="X440" s="51"/>
      <c r="Y440" s="82"/>
      <c r="Z440" s="51"/>
      <c r="AA440" s="51"/>
      <c r="AB440" s="51"/>
      <c r="AC440" s="51"/>
      <c r="AD440" s="51"/>
      <c r="AE440" s="51"/>
      <c r="AF440" s="51"/>
      <c r="AG440" s="51"/>
    </row>
    <row r="441" spans="1:33" ht="15.75" customHeight="1">
      <c r="A441" s="79" t="str">
        <f>IF(C441="","",VLOOKUP('OPĆI DIO'!$C$3,'OPĆI DIO'!$L$6:$U$120,10,FALSE))</f>
        <v/>
      </c>
      <c r="B441" s="79" t="str">
        <f>IF(C441="","",VLOOKUP('OPĆI DIO'!$C$3,'OPĆI DIO'!$L$6:$U$120,9,FALSE))</f>
        <v/>
      </c>
      <c r="C441" s="84"/>
      <c r="D441" s="79" t="str">
        <f t="shared" si="0"/>
        <v/>
      </c>
      <c r="E441" s="84"/>
      <c r="F441" s="79" t="str">
        <f t="shared" si="1"/>
        <v/>
      </c>
      <c r="G441" s="84"/>
      <c r="H441" s="79" t="str">
        <f t="shared" si="44"/>
        <v/>
      </c>
      <c r="I441" s="79" t="str">
        <f t="shared" si="45"/>
        <v/>
      </c>
      <c r="J441" s="67"/>
      <c r="K441" s="67"/>
      <c r="L441" s="67"/>
      <c r="M441" s="68"/>
      <c r="N441" s="51"/>
      <c r="O441" s="51" t="str">
        <f t="shared" si="4"/>
        <v/>
      </c>
      <c r="P441" s="51" t="str">
        <f t="shared" si="5"/>
        <v/>
      </c>
      <c r="Q441" s="51" t="str">
        <f t="shared" si="6"/>
        <v/>
      </c>
      <c r="R441" s="51" t="str">
        <f t="shared" si="7"/>
        <v/>
      </c>
      <c r="S441" s="51"/>
      <c r="T441" s="51"/>
      <c r="U441" s="51"/>
      <c r="V441" s="51"/>
      <c r="W441" s="51"/>
      <c r="X441" s="51"/>
      <c r="Y441" s="82"/>
      <c r="Z441" s="51"/>
      <c r="AA441" s="51"/>
      <c r="AB441" s="51"/>
      <c r="AC441" s="51"/>
      <c r="AD441" s="51"/>
      <c r="AE441" s="51"/>
      <c r="AF441" s="51"/>
      <c r="AG441" s="51"/>
    </row>
    <row r="442" spans="1:33" ht="15.75" customHeight="1">
      <c r="A442" s="79" t="str">
        <f>IF(C442="","",VLOOKUP('OPĆI DIO'!$C$3,'OPĆI DIO'!$L$6:$U$120,10,FALSE))</f>
        <v/>
      </c>
      <c r="B442" s="79" t="str">
        <f>IF(C442="","",VLOOKUP('OPĆI DIO'!$C$3,'OPĆI DIO'!$L$6:$U$120,9,FALSE))</f>
        <v/>
      </c>
      <c r="C442" s="84"/>
      <c r="D442" s="79" t="str">
        <f t="shared" si="0"/>
        <v/>
      </c>
      <c r="E442" s="84"/>
      <c r="F442" s="79" t="str">
        <f t="shared" si="1"/>
        <v/>
      </c>
      <c r="G442" s="84"/>
      <c r="H442" s="79" t="str">
        <f t="shared" si="44"/>
        <v/>
      </c>
      <c r="I442" s="79" t="str">
        <f t="shared" si="45"/>
        <v/>
      </c>
      <c r="J442" s="67"/>
      <c r="K442" s="67"/>
      <c r="L442" s="67"/>
      <c r="M442" s="68"/>
      <c r="N442" s="51"/>
      <c r="O442" s="51" t="str">
        <f t="shared" si="4"/>
        <v/>
      </c>
      <c r="P442" s="51" t="str">
        <f t="shared" si="5"/>
        <v/>
      </c>
      <c r="Q442" s="51" t="str">
        <f t="shared" si="6"/>
        <v/>
      </c>
      <c r="R442" s="51" t="str">
        <f t="shared" si="7"/>
        <v/>
      </c>
      <c r="S442" s="51"/>
      <c r="T442" s="51"/>
      <c r="U442" s="51"/>
      <c r="V442" s="51"/>
      <c r="W442" s="51"/>
      <c r="X442" s="51"/>
      <c r="Y442" s="82"/>
      <c r="Z442" s="51"/>
      <c r="AA442" s="51"/>
      <c r="AB442" s="51"/>
      <c r="AC442" s="51"/>
      <c r="AD442" s="51"/>
      <c r="AE442" s="51"/>
      <c r="AF442" s="51"/>
      <c r="AG442" s="51"/>
    </row>
    <row r="443" spans="1:33" ht="15.75" customHeight="1">
      <c r="A443" s="79" t="str">
        <f>IF(C443="","",VLOOKUP('OPĆI DIO'!$C$3,'OPĆI DIO'!$L$6:$U$120,10,FALSE))</f>
        <v/>
      </c>
      <c r="B443" s="79" t="str">
        <f>IF(C443="","",VLOOKUP('OPĆI DIO'!$C$3,'OPĆI DIO'!$L$6:$U$120,9,FALSE))</f>
        <v/>
      </c>
      <c r="C443" s="84"/>
      <c r="D443" s="79" t="str">
        <f t="shared" si="0"/>
        <v/>
      </c>
      <c r="E443" s="84"/>
      <c r="F443" s="79" t="str">
        <f t="shared" si="1"/>
        <v/>
      </c>
      <c r="G443" s="84"/>
      <c r="H443" s="79" t="str">
        <f t="shared" si="44"/>
        <v/>
      </c>
      <c r="I443" s="79" t="str">
        <f t="shared" si="45"/>
        <v/>
      </c>
      <c r="J443" s="67"/>
      <c r="K443" s="67"/>
      <c r="L443" s="67"/>
      <c r="M443" s="68"/>
      <c r="N443" s="51"/>
      <c r="O443" s="51" t="str">
        <f t="shared" si="4"/>
        <v/>
      </c>
      <c r="P443" s="51" t="str">
        <f t="shared" si="5"/>
        <v/>
      </c>
      <c r="Q443" s="51" t="str">
        <f t="shared" si="6"/>
        <v/>
      </c>
      <c r="R443" s="51" t="str">
        <f t="shared" si="7"/>
        <v/>
      </c>
      <c r="S443" s="51"/>
      <c r="T443" s="51"/>
      <c r="U443" s="51"/>
      <c r="V443" s="51"/>
      <c r="W443" s="51"/>
      <c r="X443" s="51"/>
      <c r="Y443" s="82"/>
      <c r="Z443" s="51"/>
      <c r="AA443" s="51"/>
      <c r="AB443" s="51"/>
      <c r="AC443" s="51"/>
      <c r="AD443" s="51"/>
      <c r="AE443" s="51"/>
      <c r="AF443" s="51"/>
      <c r="AG443" s="51"/>
    </row>
    <row r="444" spans="1:33" ht="15.75" customHeight="1">
      <c r="A444" s="79" t="str">
        <f>IF(C444="","",VLOOKUP('OPĆI DIO'!$C$3,'OPĆI DIO'!$L$6:$U$120,10,FALSE))</f>
        <v/>
      </c>
      <c r="B444" s="79" t="str">
        <f>IF(C444="","",VLOOKUP('OPĆI DIO'!$C$3,'OPĆI DIO'!$L$6:$U$120,9,FALSE))</f>
        <v/>
      </c>
      <c r="C444" s="84"/>
      <c r="D444" s="79" t="str">
        <f t="shared" si="0"/>
        <v/>
      </c>
      <c r="E444" s="84"/>
      <c r="F444" s="79" t="str">
        <f t="shared" si="1"/>
        <v/>
      </c>
      <c r="G444" s="84"/>
      <c r="H444" s="79" t="str">
        <f t="shared" si="44"/>
        <v/>
      </c>
      <c r="I444" s="79" t="str">
        <f t="shared" si="45"/>
        <v/>
      </c>
      <c r="J444" s="67"/>
      <c r="K444" s="67"/>
      <c r="L444" s="67"/>
      <c r="M444" s="68"/>
      <c r="N444" s="51"/>
      <c r="O444" s="51" t="str">
        <f t="shared" si="4"/>
        <v/>
      </c>
      <c r="P444" s="51" t="str">
        <f t="shared" si="5"/>
        <v/>
      </c>
      <c r="Q444" s="51" t="str">
        <f t="shared" si="6"/>
        <v/>
      </c>
      <c r="R444" s="51" t="str">
        <f t="shared" si="7"/>
        <v/>
      </c>
      <c r="S444" s="51"/>
      <c r="T444" s="51"/>
      <c r="U444" s="51"/>
      <c r="V444" s="51"/>
      <c r="W444" s="51"/>
      <c r="X444" s="51"/>
      <c r="Y444" s="82"/>
      <c r="Z444" s="51"/>
      <c r="AA444" s="51"/>
      <c r="AB444" s="51"/>
      <c r="AC444" s="51"/>
      <c r="AD444" s="51"/>
      <c r="AE444" s="51"/>
      <c r="AF444" s="51"/>
      <c r="AG444" s="51"/>
    </row>
    <row r="445" spans="1:33" ht="15.75" customHeight="1">
      <c r="A445" s="79" t="str">
        <f>IF(C445="","",VLOOKUP('OPĆI DIO'!$C$3,'OPĆI DIO'!$L$6:$U$120,10,FALSE))</f>
        <v/>
      </c>
      <c r="B445" s="79" t="str">
        <f>IF(C445="","",VLOOKUP('OPĆI DIO'!$C$3,'OPĆI DIO'!$L$6:$U$120,9,FALSE))</f>
        <v/>
      </c>
      <c r="C445" s="84"/>
      <c r="D445" s="79" t="str">
        <f t="shared" si="0"/>
        <v/>
      </c>
      <c r="E445" s="84"/>
      <c r="F445" s="79" t="str">
        <f t="shared" si="1"/>
        <v/>
      </c>
      <c r="G445" s="84"/>
      <c r="H445" s="79" t="str">
        <f t="shared" ref="H445:H506" si="46">IFERROR(VLOOKUP(G445,$AB$6:$AC$332,2,FALSE),"")</f>
        <v/>
      </c>
      <c r="I445" s="79" t="str">
        <f t="shared" ref="I445:I506" si="47">IFERROR(VLOOKUP(G445,$AB$6:$AF$332,3,FALSE),"")</f>
        <v/>
      </c>
      <c r="J445" s="67"/>
      <c r="K445" s="67"/>
      <c r="L445" s="67"/>
      <c r="M445" s="68"/>
      <c r="N445" s="51"/>
      <c r="O445" s="51" t="str">
        <f t="shared" si="4"/>
        <v/>
      </c>
      <c r="P445" s="51" t="str">
        <f t="shared" si="5"/>
        <v/>
      </c>
      <c r="Q445" s="51" t="str">
        <f t="shared" si="6"/>
        <v/>
      </c>
      <c r="R445" s="51" t="str">
        <f t="shared" si="7"/>
        <v/>
      </c>
      <c r="S445" s="51"/>
      <c r="T445" s="51"/>
      <c r="U445" s="51"/>
      <c r="V445" s="51"/>
      <c r="W445" s="51"/>
      <c r="X445" s="51"/>
      <c r="Y445" s="82"/>
      <c r="Z445" s="51"/>
      <c r="AA445" s="51"/>
      <c r="AB445" s="51"/>
      <c r="AC445" s="51"/>
      <c r="AD445" s="51"/>
      <c r="AE445" s="51"/>
      <c r="AF445" s="51"/>
      <c r="AG445" s="51"/>
    </row>
    <row r="446" spans="1:33" ht="15.75" customHeight="1">
      <c r="A446" s="79" t="str">
        <f>IF(C446="","",VLOOKUP('OPĆI DIO'!$C$3,'OPĆI DIO'!$L$6:$U$120,10,FALSE))</f>
        <v/>
      </c>
      <c r="B446" s="79" t="str">
        <f>IF(C446="","",VLOOKUP('OPĆI DIO'!$C$3,'OPĆI DIO'!$L$6:$U$120,9,FALSE))</f>
        <v/>
      </c>
      <c r="C446" s="84"/>
      <c r="D446" s="79" t="str">
        <f t="shared" si="0"/>
        <v/>
      </c>
      <c r="E446" s="84"/>
      <c r="F446" s="79" t="str">
        <f t="shared" si="1"/>
        <v/>
      </c>
      <c r="G446" s="84"/>
      <c r="H446" s="79" t="str">
        <f t="shared" si="46"/>
        <v/>
      </c>
      <c r="I446" s="79" t="str">
        <f t="shared" si="47"/>
        <v/>
      </c>
      <c r="J446" s="67"/>
      <c r="K446" s="67"/>
      <c r="L446" s="67"/>
      <c r="M446" s="68"/>
      <c r="N446" s="51"/>
      <c r="O446" s="51" t="str">
        <f t="shared" si="4"/>
        <v/>
      </c>
      <c r="P446" s="51" t="str">
        <f t="shared" si="5"/>
        <v/>
      </c>
      <c r="Q446" s="51" t="str">
        <f t="shared" si="6"/>
        <v/>
      </c>
      <c r="R446" s="51" t="str">
        <f t="shared" si="7"/>
        <v/>
      </c>
      <c r="S446" s="51"/>
      <c r="T446" s="51"/>
      <c r="U446" s="51"/>
      <c r="V446" s="51"/>
      <c r="W446" s="51"/>
      <c r="X446" s="51"/>
      <c r="Y446" s="82"/>
      <c r="Z446" s="51"/>
      <c r="AA446" s="51"/>
      <c r="AB446" s="51"/>
      <c r="AC446" s="51"/>
      <c r="AD446" s="51"/>
      <c r="AE446" s="51"/>
      <c r="AF446" s="51"/>
      <c r="AG446" s="51"/>
    </row>
    <row r="447" spans="1:33" ht="15.75" customHeight="1">
      <c r="A447" s="79" t="str">
        <f>IF(C447="","",VLOOKUP('OPĆI DIO'!$C$3,'OPĆI DIO'!$L$6:$U$120,10,FALSE))</f>
        <v/>
      </c>
      <c r="B447" s="79" t="str">
        <f>IF(C447="","",VLOOKUP('OPĆI DIO'!$C$3,'OPĆI DIO'!$L$6:$U$120,9,FALSE))</f>
        <v/>
      </c>
      <c r="C447" s="84"/>
      <c r="D447" s="79" t="str">
        <f t="shared" si="0"/>
        <v/>
      </c>
      <c r="E447" s="84"/>
      <c r="F447" s="79" t="str">
        <f t="shared" si="1"/>
        <v/>
      </c>
      <c r="G447" s="84"/>
      <c r="H447" s="79" t="str">
        <f t="shared" si="46"/>
        <v/>
      </c>
      <c r="I447" s="79" t="str">
        <f t="shared" si="47"/>
        <v/>
      </c>
      <c r="J447" s="67"/>
      <c r="K447" s="67"/>
      <c r="L447" s="67"/>
      <c r="M447" s="68"/>
      <c r="N447" s="51"/>
      <c r="O447" s="51" t="str">
        <f t="shared" si="4"/>
        <v/>
      </c>
      <c r="P447" s="51" t="str">
        <f t="shared" si="5"/>
        <v/>
      </c>
      <c r="Q447" s="51" t="str">
        <f t="shared" si="6"/>
        <v/>
      </c>
      <c r="R447" s="51" t="str">
        <f t="shared" si="7"/>
        <v/>
      </c>
      <c r="S447" s="51"/>
      <c r="T447" s="51"/>
      <c r="U447" s="51"/>
      <c r="V447" s="51"/>
      <c r="W447" s="51"/>
      <c r="X447" s="51"/>
      <c r="Y447" s="82"/>
      <c r="Z447" s="51"/>
      <c r="AA447" s="51"/>
      <c r="AB447" s="51"/>
      <c r="AC447" s="51"/>
      <c r="AD447" s="51"/>
      <c r="AE447" s="51"/>
      <c r="AF447" s="51"/>
      <c r="AG447" s="51"/>
    </row>
    <row r="448" spans="1:33" ht="15.75" customHeight="1">
      <c r="A448" s="79" t="str">
        <f>IF(C448="","",VLOOKUP('OPĆI DIO'!$C$3,'OPĆI DIO'!$L$6:$U$120,10,FALSE))</f>
        <v/>
      </c>
      <c r="B448" s="79" t="str">
        <f>IF(C448="","",VLOOKUP('OPĆI DIO'!$C$3,'OPĆI DIO'!$L$6:$U$120,9,FALSE))</f>
        <v/>
      </c>
      <c r="C448" s="84"/>
      <c r="D448" s="79" t="str">
        <f t="shared" si="0"/>
        <v/>
      </c>
      <c r="E448" s="84"/>
      <c r="F448" s="79" t="str">
        <f t="shared" si="1"/>
        <v/>
      </c>
      <c r="G448" s="84"/>
      <c r="H448" s="79" t="str">
        <f t="shared" si="46"/>
        <v/>
      </c>
      <c r="I448" s="79" t="str">
        <f t="shared" si="47"/>
        <v/>
      </c>
      <c r="J448" s="67"/>
      <c r="K448" s="67"/>
      <c r="L448" s="67"/>
      <c r="M448" s="68"/>
      <c r="N448" s="51"/>
      <c r="O448" s="51" t="str">
        <f t="shared" si="4"/>
        <v/>
      </c>
      <c r="P448" s="51" t="str">
        <f t="shared" si="5"/>
        <v/>
      </c>
      <c r="Q448" s="51" t="str">
        <f t="shared" si="6"/>
        <v/>
      </c>
      <c r="R448" s="51" t="str">
        <f t="shared" si="7"/>
        <v/>
      </c>
      <c r="S448" s="51"/>
      <c r="T448" s="51"/>
      <c r="U448" s="51"/>
      <c r="V448" s="51"/>
      <c r="W448" s="51"/>
      <c r="X448" s="51"/>
      <c r="Y448" s="82"/>
      <c r="Z448" s="51"/>
      <c r="AA448" s="51"/>
      <c r="AB448" s="51"/>
      <c r="AC448" s="51"/>
      <c r="AD448" s="51"/>
      <c r="AE448" s="51"/>
      <c r="AF448" s="51"/>
      <c r="AG448" s="51"/>
    </row>
    <row r="449" spans="1:33" ht="15.75" customHeight="1">
      <c r="A449" s="79" t="str">
        <f>IF(C449="","",VLOOKUP('OPĆI DIO'!$C$3,'OPĆI DIO'!$L$6:$U$120,10,FALSE))</f>
        <v/>
      </c>
      <c r="B449" s="79" t="str">
        <f>IF(C449="","",VLOOKUP('OPĆI DIO'!$C$3,'OPĆI DIO'!$L$6:$U$120,9,FALSE))</f>
        <v/>
      </c>
      <c r="C449" s="84"/>
      <c r="D449" s="79" t="str">
        <f t="shared" si="0"/>
        <v/>
      </c>
      <c r="E449" s="84"/>
      <c r="F449" s="79" t="str">
        <f t="shared" si="1"/>
        <v/>
      </c>
      <c r="G449" s="84"/>
      <c r="H449" s="79" t="str">
        <f t="shared" si="46"/>
        <v/>
      </c>
      <c r="I449" s="79" t="str">
        <f t="shared" si="47"/>
        <v/>
      </c>
      <c r="J449" s="67"/>
      <c r="K449" s="67"/>
      <c r="L449" s="67"/>
      <c r="M449" s="68"/>
      <c r="N449" s="51"/>
      <c r="O449" s="51" t="str">
        <f t="shared" si="4"/>
        <v/>
      </c>
      <c r="P449" s="51" t="str">
        <f t="shared" si="5"/>
        <v/>
      </c>
      <c r="Q449" s="51" t="str">
        <f t="shared" si="6"/>
        <v/>
      </c>
      <c r="R449" s="51" t="str">
        <f t="shared" si="7"/>
        <v/>
      </c>
      <c r="S449" s="51"/>
      <c r="T449" s="51"/>
      <c r="U449" s="51"/>
      <c r="V449" s="51"/>
      <c r="W449" s="51"/>
      <c r="X449" s="51"/>
      <c r="Y449" s="82"/>
      <c r="Z449" s="51"/>
      <c r="AA449" s="51"/>
      <c r="AB449" s="51"/>
      <c r="AC449" s="51"/>
      <c r="AD449" s="51"/>
      <c r="AE449" s="51"/>
      <c r="AF449" s="51"/>
      <c r="AG449" s="51"/>
    </row>
    <row r="450" spans="1:33" ht="15.75" customHeight="1">
      <c r="A450" s="79" t="str">
        <f>IF(C450="","",VLOOKUP('OPĆI DIO'!$C$3,'OPĆI DIO'!$L$6:$U$120,10,FALSE))</f>
        <v/>
      </c>
      <c r="B450" s="79" t="str">
        <f>IF(C450="","",VLOOKUP('OPĆI DIO'!$C$3,'OPĆI DIO'!$L$6:$U$120,9,FALSE))</f>
        <v/>
      </c>
      <c r="C450" s="84"/>
      <c r="D450" s="79" t="str">
        <f t="shared" si="0"/>
        <v/>
      </c>
      <c r="E450" s="84"/>
      <c r="F450" s="79" t="str">
        <f t="shared" si="1"/>
        <v/>
      </c>
      <c r="G450" s="84"/>
      <c r="H450" s="79" t="str">
        <f t="shared" si="46"/>
        <v/>
      </c>
      <c r="I450" s="79" t="str">
        <f t="shared" si="47"/>
        <v/>
      </c>
      <c r="J450" s="67"/>
      <c r="K450" s="67"/>
      <c r="L450" s="67"/>
      <c r="M450" s="68"/>
      <c r="N450" s="51"/>
      <c r="O450" s="51" t="str">
        <f t="shared" si="4"/>
        <v/>
      </c>
      <c r="P450" s="51" t="str">
        <f t="shared" si="5"/>
        <v/>
      </c>
      <c r="Q450" s="51" t="str">
        <f t="shared" si="6"/>
        <v/>
      </c>
      <c r="R450" s="51" t="str">
        <f t="shared" si="7"/>
        <v/>
      </c>
      <c r="S450" s="51"/>
      <c r="T450" s="51"/>
      <c r="U450" s="51"/>
      <c r="V450" s="51"/>
      <c r="W450" s="51"/>
      <c r="X450" s="51"/>
      <c r="Y450" s="82"/>
      <c r="Z450" s="51"/>
      <c r="AA450" s="51"/>
      <c r="AB450" s="51"/>
      <c r="AC450" s="51"/>
      <c r="AD450" s="51"/>
      <c r="AE450" s="51"/>
      <c r="AF450" s="51"/>
      <c r="AG450" s="51"/>
    </row>
    <row r="451" spans="1:33" ht="15.75" customHeight="1">
      <c r="A451" s="79" t="str">
        <f>IF(C451="","",VLOOKUP('OPĆI DIO'!$C$3,'OPĆI DIO'!$L$6:$U$120,10,FALSE))</f>
        <v/>
      </c>
      <c r="B451" s="79" t="str">
        <f>IF(C451="","",VLOOKUP('OPĆI DIO'!$C$3,'OPĆI DIO'!$L$6:$U$120,9,FALSE))</f>
        <v/>
      </c>
      <c r="C451" s="84"/>
      <c r="D451" s="79" t="str">
        <f t="shared" si="0"/>
        <v/>
      </c>
      <c r="E451" s="84"/>
      <c r="F451" s="79" t="str">
        <f t="shared" si="1"/>
        <v/>
      </c>
      <c r="G451" s="84"/>
      <c r="H451" s="79" t="str">
        <f t="shared" si="46"/>
        <v/>
      </c>
      <c r="I451" s="79" t="str">
        <f t="shared" si="47"/>
        <v/>
      </c>
      <c r="J451" s="67"/>
      <c r="K451" s="67"/>
      <c r="L451" s="67"/>
      <c r="M451" s="68"/>
      <c r="N451" s="51"/>
      <c r="O451" s="51" t="str">
        <f t="shared" si="4"/>
        <v/>
      </c>
      <c r="P451" s="51" t="str">
        <f t="shared" si="5"/>
        <v/>
      </c>
      <c r="Q451" s="51" t="str">
        <f t="shared" si="6"/>
        <v/>
      </c>
      <c r="R451" s="51" t="str">
        <f t="shared" si="7"/>
        <v/>
      </c>
      <c r="S451" s="51"/>
      <c r="T451" s="51"/>
      <c r="U451" s="51"/>
      <c r="V451" s="51"/>
      <c r="W451" s="51"/>
      <c r="X451" s="51"/>
      <c r="Y451" s="82"/>
      <c r="Z451" s="51"/>
      <c r="AA451" s="51"/>
      <c r="AB451" s="51"/>
      <c r="AC451" s="51"/>
      <c r="AD451" s="51"/>
      <c r="AE451" s="51"/>
      <c r="AF451" s="51"/>
      <c r="AG451" s="51"/>
    </row>
    <row r="452" spans="1:33" ht="15.75" customHeight="1">
      <c r="A452" s="79" t="str">
        <f>IF(C452="","",VLOOKUP('OPĆI DIO'!$C$3,'OPĆI DIO'!$L$6:$U$120,10,FALSE))</f>
        <v/>
      </c>
      <c r="B452" s="79" t="str">
        <f>IF(C452="","",VLOOKUP('OPĆI DIO'!$C$3,'OPĆI DIO'!$L$6:$U$120,9,FALSE))</f>
        <v/>
      </c>
      <c r="C452" s="84"/>
      <c r="D452" s="79" t="str">
        <f t="shared" si="0"/>
        <v/>
      </c>
      <c r="E452" s="84"/>
      <c r="F452" s="79" t="str">
        <f t="shared" si="1"/>
        <v/>
      </c>
      <c r="G452" s="84"/>
      <c r="H452" s="79" t="str">
        <f t="shared" si="46"/>
        <v/>
      </c>
      <c r="I452" s="79" t="str">
        <f t="shared" si="47"/>
        <v/>
      </c>
      <c r="J452" s="67"/>
      <c r="K452" s="67"/>
      <c r="L452" s="67"/>
      <c r="M452" s="68"/>
      <c r="N452" s="51"/>
      <c r="O452" s="51" t="str">
        <f t="shared" si="4"/>
        <v/>
      </c>
      <c r="P452" s="51" t="str">
        <f t="shared" si="5"/>
        <v/>
      </c>
      <c r="Q452" s="51" t="str">
        <f t="shared" si="6"/>
        <v/>
      </c>
      <c r="R452" s="51" t="str">
        <f t="shared" si="7"/>
        <v/>
      </c>
      <c r="S452" s="51"/>
      <c r="T452" s="51"/>
      <c r="U452" s="51"/>
      <c r="V452" s="51"/>
      <c r="W452" s="51"/>
      <c r="X452" s="51"/>
      <c r="Y452" s="82"/>
      <c r="Z452" s="51"/>
      <c r="AA452" s="51"/>
      <c r="AB452" s="51"/>
      <c r="AC452" s="51"/>
      <c r="AD452" s="51"/>
      <c r="AE452" s="51"/>
      <c r="AF452" s="51"/>
      <c r="AG452" s="51"/>
    </row>
    <row r="453" spans="1:33" ht="15.75" customHeight="1">
      <c r="A453" s="79" t="str">
        <f>IF(C453="","",VLOOKUP('OPĆI DIO'!$C$3,'OPĆI DIO'!$L$6:$U$120,10,FALSE))</f>
        <v/>
      </c>
      <c r="B453" s="79" t="str">
        <f>IF(C453="","",VLOOKUP('OPĆI DIO'!$C$3,'OPĆI DIO'!$L$6:$U$120,9,FALSE))</f>
        <v/>
      </c>
      <c r="C453" s="84"/>
      <c r="D453" s="79" t="str">
        <f t="shared" si="0"/>
        <v/>
      </c>
      <c r="E453" s="84"/>
      <c r="F453" s="79" t="str">
        <f t="shared" si="1"/>
        <v/>
      </c>
      <c r="G453" s="84"/>
      <c r="H453" s="79" t="str">
        <f t="shared" si="46"/>
        <v/>
      </c>
      <c r="I453" s="79" t="str">
        <f t="shared" si="47"/>
        <v/>
      </c>
      <c r="J453" s="67"/>
      <c r="K453" s="67"/>
      <c r="L453" s="67"/>
      <c r="M453" s="68"/>
      <c r="N453" s="51"/>
      <c r="O453" s="51" t="str">
        <f t="shared" si="4"/>
        <v/>
      </c>
      <c r="P453" s="51" t="str">
        <f t="shared" si="5"/>
        <v/>
      </c>
      <c r="Q453" s="51" t="str">
        <f t="shared" si="6"/>
        <v/>
      </c>
      <c r="R453" s="51" t="str">
        <f t="shared" si="7"/>
        <v/>
      </c>
      <c r="S453" s="51"/>
      <c r="T453" s="51"/>
      <c r="U453" s="51"/>
      <c r="V453" s="51"/>
      <c r="W453" s="51"/>
      <c r="X453" s="51"/>
      <c r="Y453" s="82"/>
      <c r="Z453" s="51"/>
      <c r="AA453" s="51"/>
      <c r="AB453" s="51"/>
      <c r="AC453" s="51"/>
      <c r="AD453" s="51"/>
      <c r="AE453" s="51"/>
      <c r="AF453" s="51"/>
      <c r="AG453" s="51"/>
    </row>
    <row r="454" spans="1:33" ht="15.75" customHeight="1">
      <c r="A454" s="79" t="str">
        <f>IF(C454="","",VLOOKUP('OPĆI DIO'!$C$3,'OPĆI DIO'!$L$6:$U$120,10,FALSE))</f>
        <v/>
      </c>
      <c r="B454" s="79" t="str">
        <f>IF(C454="","",VLOOKUP('OPĆI DIO'!$C$3,'OPĆI DIO'!$L$6:$U$120,9,FALSE))</f>
        <v/>
      </c>
      <c r="C454" s="84"/>
      <c r="D454" s="79" t="str">
        <f t="shared" si="0"/>
        <v/>
      </c>
      <c r="E454" s="84"/>
      <c r="F454" s="79" t="str">
        <f t="shared" si="1"/>
        <v/>
      </c>
      <c r="G454" s="84"/>
      <c r="H454" s="79" t="str">
        <f t="shared" si="46"/>
        <v/>
      </c>
      <c r="I454" s="79" t="str">
        <f t="shared" si="47"/>
        <v/>
      </c>
      <c r="J454" s="67"/>
      <c r="K454" s="67"/>
      <c r="L454" s="67"/>
      <c r="M454" s="68"/>
      <c r="N454" s="51"/>
      <c r="O454" s="51" t="str">
        <f t="shared" si="4"/>
        <v/>
      </c>
      <c r="P454" s="51" t="str">
        <f t="shared" si="5"/>
        <v/>
      </c>
      <c r="Q454" s="51" t="str">
        <f t="shared" si="6"/>
        <v/>
      </c>
      <c r="R454" s="51" t="str">
        <f t="shared" si="7"/>
        <v/>
      </c>
      <c r="S454" s="51"/>
      <c r="T454" s="51"/>
      <c r="U454" s="51"/>
      <c r="V454" s="51"/>
      <c r="W454" s="51"/>
      <c r="X454" s="51"/>
      <c r="Y454" s="82"/>
      <c r="Z454" s="51"/>
      <c r="AA454" s="51"/>
      <c r="AB454" s="51"/>
      <c r="AC454" s="51"/>
      <c r="AD454" s="51"/>
      <c r="AE454" s="51"/>
      <c r="AF454" s="51"/>
      <c r="AG454" s="51"/>
    </row>
    <row r="455" spans="1:33" ht="15.75" customHeight="1">
      <c r="A455" s="79" t="str">
        <f>IF(C455="","",VLOOKUP('OPĆI DIO'!$C$3,'OPĆI DIO'!$L$6:$U$120,10,FALSE))</f>
        <v/>
      </c>
      <c r="B455" s="79" t="str">
        <f>IF(C455="","",VLOOKUP('OPĆI DIO'!$C$3,'OPĆI DIO'!$L$6:$U$120,9,FALSE))</f>
        <v/>
      </c>
      <c r="C455" s="84"/>
      <c r="D455" s="79" t="str">
        <f t="shared" si="0"/>
        <v/>
      </c>
      <c r="E455" s="84"/>
      <c r="F455" s="79" t="str">
        <f t="shared" si="1"/>
        <v/>
      </c>
      <c r="G455" s="84"/>
      <c r="H455" s="79" t="str">
        <f t="shared" si="46"/>
        <v/>
      </c>
      <c r="I455" s="79" t="str">
        <f t="shared" si="47"/>
        <v/>
      </c>
      <c r="J455" s="67"/>
      <c r="K455" s="67"/>
      <c r="L455" s="67"/>
      <c r="M455" s="68"/>
      <c r="N455" s="51"/>
      <c r="O455" s="51" t="str">
        <f t="shared" si="4"/>
        <v/>
      </c>
      <c r="P455" s="51" t="str">
        <f t="shared" si="5"/>
        <v/>
      </c>
      <c r="Q455" s="51" t="str">
        <f t="shared" si="6"/>
        <v/>
      </c>
      <c r="R455" s="51" t="str">
        <f t="shared" si="7"/>
        <v/>
      </c>
      <c r="S455" s="51"/>
      <c r="T455" s="51"/>
      <c r="U455" s="51"/>
      <c r="V455" s="51"/>
      <c r="W455" s="51"/>
      <c r="X455" s="51"/>
      <c r="Y455" s="82"/>
      <c r="Z455" s="51"/>
      <c r="AA455" s="51"/>
      <c r="AB455" s="51"/>
      <c r="AC455" s="51"/>
      <c r="AD455" s="51"/>
      <c r="AE455" s="51"/>
      <c r="AF455" s="51"/>
      <c r="AG455" s="51"/>
    </row>
    <row r="456" spans="1:33" ht="15.75" customHeight="1">
      <c r="A456" s="79" t="str">
        <f>IF(C456="","",VLOOKUP('OPĆI DIO'!$C$3,'OPĆI DIO'!$L$6:$U$120,10,FALSE))</f>
        <v/>
      </c>
      <c r="B456" s="79" t="str">
        <f>IF(C456="","",VLOOKUP('OPĆI DIO'!$C$3,'OPĆI DIO'!$L$6:$U$120,9,FALSE))</f>
        <v/>
      </c>
      <c r="C456" s="84"/>
      <c r="D456" s="79" t="str">
        <f t="shared" si="0"/>
        <v/>
      </c>
      <c r="E456" s="84"/>
      <c r="F456" s="79" t="str">
        <f t="shared" si="1"/>
        <v/>
      </c>
      <c r="G456" s="84"/>
      <c r="H456" s="79" t="str">
        <f t="shared" si="46"/>
        <v/>
      </c>
      <c r="I456" s="79" t="str">
        <f t="shared" si="47"/>
        <v/>
      </c>
      <c r="J456" s="67"/>
      <c r="K456" s="67"/>
      <c r="L456" s="67"/>
      <c r="M456" s="68"/>
      <c r="N456" s="51"/>
      <c r="O456" s="51" t="str">
        <f t="shared" si="4"/>
        <v/>
      </c>
      <c r="P456" s="51" t="str">
        <f t="shared" si="5"/>
        <v/>
      </c>
      <c r="Q456" s="51" t="str">
        <f t="shared" si="6"/>
        <v/>
      </c>
      <c r="R456" s="51" t="str">
        <f t="shared" si="7"/>
        <v/>
      </c>
      <c r="S456" s="51"/>
      <c r="T456" s="51"/>
      <c r="U456" s="51"/>
      <c r="V456" s="51"/>
      <c r="W456" s="51"/>
      <c r="X456" s="51"/>
      <c r="Y456" s="82"/>
      <c r="Z456" s="51"/>
      <c r="AA456" s="51"/>
      <c r="AB456" s="51"/>
      <c r="AC456" s="51"/>
      <c r="AD456" s="51"/>
      <c r="AE456" s="51"/>
      <c r="AF456" s="51"/>
      <c r="AG456" s="51"/>
    </row>
    <row r="457" spans="1:33" ht="15.75" customHeight="1">
      <c r="A457" s="79" t="str">
        <f>IF(C457="","",VLOOKUP('OPĆI DIO'!$C$3,'OPĆI DIO'!$L$6:$U$120,10,FALSE))</f>
        <v/>
      </c>
      <c r="B457" s="79" t="str">
        <f>IF(C457="","",VLOOKUP('OPĆI DIO'!$C$3,'OPĆI DIO'!$L$6:$U$120,9,FALSE))</f>
        <v/>
      </c>
      <c r="C457" s="84"/>
      <c r="D457" s="79" t="str">
        <f t="shared" si="0"/>
        <v/>
      </c>
      <c r="E457" s="84"/>
      <c r="F457" s="79" t="str">
        <f t="shared" si="1"/>
        <v/>
      </c>
      <c r="G457" s="84"/>
      <c r="H457" s="79" t="str">
        <f t="shared" si="46"/>
        <v/>
      </c>
      <c r="I457" s="79" t="str">
        <f t="shared" si="47"/>
        <v/>
      </c>
      <c r="J457" s="67"/>
      <c r="K457" s="67"/>
      <c r="L457" s="67"/>
      <c r="M457" s="68"/>
      <c r="N457" s="51"/>
      <c r="O457" s="51" t="str">
        <f t="shared" si="4"/>
        <v/>
      </c>
      <c r="P457" s="51" t="str">
        <f t="shared" si="5"/>
        <v/>
      </c>
      <c r="Q457" s="51" t="str">
        <f t="shared" si="6"/>
        <v/>
      </c>
      <c r="R457" s="51" t="str">
        <f t="shared" si="7"/>
        <v/>
      </c>
      <c r="S457" s="51"/>
      <c r="T457" s="51"/>
      <c r="U457" s="51"/>
      <c r="V457" s="51"/>
      <c r="W457" s="51"/>
      <c r="X457" s="51"/>
      <c r="Y457" s="82"/>
      <c r="Z457" s="51"/>
      <c r="AA457" s="51"/>
      <c r="AB457" s="51"/>
      <c r="AC457" s="51"/>
      <c r="AD457" s="51"/>
      <c r="AE457" s="51"/>
      <c r="AF457" s="51"/>
      <c r="AG457" s="51"/>
    </row>
    <row r="458" spans="1:33" ht="15.75" customHeight="1">
      <c r="A458" s="79" t="str">
        <f>IF(C458="","",VLOOKUP('OPĆI DIO'!$C$3,'OPĆI DIO'!$L$6:$U$120,10,FALSE))</f>
        <v/>
      </c>
      <c r="B458" s="79" t="str">
        <f>IF(C458="","",VLOOKUP('OPĆI DIO'!$C$3,'OPĆI DIO'!$L$6:$U$120,9,FALSE))</f>
        <v/>
      </c>
      <c r="C458" s="84"/>
      <c r="D458" s="79" t="str">
        <f t="shared" si="0"/>
        <v/>
      </c>
      <c r="E458" s="84"/>
      <c r="F458" s="79" t="str">
        <f t="shared" si="1"/>
        <v/>
      </c>
      <c r="G458" s="84"/>
      <c r="H458" s="79" t="str">
        <f t="shared" si="46"/>
        <v/>
      </c>
      <c r="I458" s="79" t="str">
        <f t="shared" si="47"/>
        <v/>
      </c>
      <c r="J458" s="67"/>
      <c r="K458" s="67"/>
      <c r="L458" s="67"/>
      <c r="M458" s="68"/>
      <c r="N458" s="51"/>
      <c r="O458" s="51" t="str">
        <f t="shared" si="4"/>
        <v/>
      </c>
      <c r="P458" s="51" t="str">
        <f t="shared" si="5"/>
        <v/>
      </c>
      <c r="Q458" s="51" t="str">
        <f t="shared" si="6"/>
        <v/>
      </c>
      <c r="R458" s="51" t="str">
        <f t="shared" si="7"/>
        <v/>
      </c>
      <c r="S458" s="51"/>
      <c r="T458" s="51"/>
      <c r="U458" s="51"/>
      <c r="V458" s="51"/>
      <c r="W458" s="51"/>
      <c r="X458" s="51"/>
      <c r="Y458" s="82"/>
      <c r="Z458" s="51"/>
      <c r="AA458" s="51"/>
      <c r="AB458" s="51"/>
      <c r="AC458" s="51"/>
      <c r="AD458" s="51"/>
      <c r="AE458" s="51"/>
      <c r="AF458" s="51"/>
      <c r="AG458" s="51"/>
    </row>
    <row r="459" spans="1:33" ht="15.75" customHeight="1">
      <c r="A459" s="79" t="str">
        <f>IF(C459="","",VLOOKUP('OPĆI DIO'!$C$3,'OPĆI DIO'!$L$6:$U$120,10,FALSE))</f>
        <v/>
      </c>
      <c r="B459" s="79" t="str">
        <f>IF(C459="","",VLOOKUP('OPĆI DIO'!$C$3,'OPĆI DIO'!$L$6:$U$120,9,FALSE))</f>
        <v/>
      </c>
      <c r="C459" s="84"/>
      <c r="D459" s="79" t="str">
        <f t="shared" si="0"/>
        <v/>
      </c>
      <c r="E459" s="84"/>
      <c r="F459" s="79" t="str">
        <f t="shared" si="1"/>
        <v/>
      </c>
      <c r="G459" s="84"/>
      <c r="H459" s="79" t="str">
        <f t="shared" si="46"/>
        <v/>
      </c>
      <c r="I459" s="79" t="str">
        <f t="shared" si="47"/>
        <v/>
      </c>
      <c r="J459" s="67"/>
      <c r="K459" s="67"/>
      <c r="L459" s="67"/>
      <c r="M459" s="68"/>
      <c r="N459" s="51"/>
      <c r="O459" s="51" t="str">
        <f t="shared" si="4"/>
        <v/>
      </c>
      <c r="P459" s="51" t="str">
        <f t="shared" si="5"/>
        <v/>
      </c>
      <c r="Q459" s="51" t="str">
        <f t="shared" si="6"/>
        <v/>
      </c>
      <c r="R459" s="51" t="str">
        <f t="shared" si="7"/>
        <v/>
      </c>
      <c r="S459" s="51"/>
      <c r="T459" s="51"/>
      <c r="U459" s="51"/>
      <c r="V459" s="51"/>
      <c r="W459" s="51"/>
      <c r="X459" s="51"/>
      <c r="Y459" s="82"/>
      <c r="Z459" s="51"/>
      <c r="AA459" s="51"/>
      <c r="AB459" s="51"/>
      <c r="AC459" s="51"/>
      <c r="AD459" s="51"/>
      <c r="AE459" s="51"/>
      <c r="AF459" s="51"/>
      <c r="AG459" s="51"/>
    </row>
    <row r="460" spans="1:33" ht="15.75" customHeight="1">
      <c r="A460" s="79" t="str">
        <f>IF(C460="","",VLOOKUP('OPĆI DIO'!$C$3,'OPĆI DIO'!$L$6:$U$120,10,FALSE))</f>
        <v/>
      </c>
      <c r="B460" s="79" t="str">
        <f>IF(C460="","",VLOOKUP('OPĆI DIO'!$C$3,'OPĆI DIO'!$L$6:$U$120,9,FALSE))</f>
        <v/>
      </c>
      <c r="C460" s="84"/>
      <c r="D460" s="79" t="str">
        <f t="shared" si="0"/>
        <v/>
      </c>
      <c r="E460" s="84"/>
      <c r="F460" s="79" t="str">
        <f t="shared" si="1"/>
        <v/>
      </c>
      <c r="G460" s="84"/>
      <c r="H460" s="79" t="str">
        <f t="shared" si="46"/>
        <v/>
      </c>
      <c r="I460" s="79" t="str">
        <f t="shared" si="47"/>
        <v/>
      </c>
      <c r="J460" s="67"/>
      <c r="K460" s="67"/>
      <c r="L460" s="67"/>
      <c r="M460" s="68"/>
      <c r="N460" s="51"/>
      <c r="O460" s="51" t="str">
        <f t="shared" si="4"/>
        <v/>
      </c>
      <c r="P460" s="51" t="str">
        <f t="shared" si="5"/>
        <v/>
      </c>
      <c r="Q460" s="51" t="str">
        <f t="shared" si="6"/>
        <v/>
      </c>
      <c r="R460" s="51" t="str">
        <f t="shared" si="7"/>
        <v/>
      </c>
      <c r="S460" s="51"/>
      <c r="T460" s="51"/>
      <c r="U460" s="51"/>
      <c r="V460" s="51"/>
      <c r="W460" s="51"/>
      <c r="X460" s="51"/>
      <c r="Y460" s="82"/>
      <c r="Z460" s="51"/>
      <c r="AA460" s="51"/>
      <c r="AB460" s="51"/>
      <c r="AC460" s="51"/>
      <c r="AD460" s="51"/>
      <c r="AE460" s="51"/>
      <c r="AF460" s="51"/>
      <c r="AG460" s="51"/>
    </row>
    <row r="461" spans="1:33" ht="15.75" customHeight="1">
      <c r="A461" s="79" t="str">
        <f>IF(C461="","",VLOOKUP('OPĆI DIO'!$C$3,'OPĆI DIO'!$L$6:$U$120,10,FALSE))</f>
        <v/>
      </c>
      <c r="B461" s="79" t="str">
        <f>IF(C461="","",VLOOKUP('OPĆI DIO'!$C$3,'OPĆI DIO'!$L$6:$U$120,9,FALSE))</f>
        <v/>
      </c>
      <c r="C461" s="84"/>
      <c r="D461" s="79" t="str">
        <f t="shared" si="0"/>
        <v/>
      </c>
      <c r="E461" s="84"/>
      <c r="F461" s="79" t="str">
        <f t="shared" si="1"/>
        <v/>
      </c>
      <c r="G461" s="84"/>
      <c r="H461" s="79" t="str">
        <f t="shared" si="46"/>
        <v/>
      </c>
      <c r="I461" s="79" t="str">
        <f t="shared" si="47"/>
        <v/>
      </c>
      <c r="J461" s="67"/>
      <c r="K461" s="67"/>
      <c r="L461" s="67"/>
      <c r="M461" s="68"/>
      <c r="N461" s="51"/>
      <c r="O461" s="51" t="str">
        <f t="shared" si="4"/>
        <v/>
      </c>
      <c r="P461" s="51" t="str">
        <f t="shared" si="5"/>
        <v/>
      </c>
      <c r="Q461" s="51" t="str">
        <f t="shared" si="6"/>
        <v/>
      </c>
      <c r="R461" s="51" t="str">
        <f t="shared" si="7"/>
        <v/>
      </c>
      <c r="S461" s="51"/>
      <c r="T461" s="51"/>
      <c r="U461" s="51"/>
      <c r="V461" s="51"/>
      <c r="W461" s="51"/>
      <c r="X461" s="51"/>
      <c r="Y461" s="82"/>
      <c r="Z461" s="51"/>
      <c r="AA461" s="51"/>
      <c r="AB461" s="51"/>
      <c r="AC461" s="51"/>
      <c r="AD461" s="51"/>
      <c r="AE461" s="51"/>
      <c r="AF461" s="51"/>
      <c r="AG461" s="51"/>
    </row>
    <row r="462" spans="1:33" ht="15.75" customHeight="1">
      <c r="A462" s="79" t="str">
        <f>IF(C462="","",VLOOKUP('OPĆI DIO'!$C$3,'OPĆI DIO'!$L$6:$U$120,10,FALSE))</f>
        <v/>
      </c>
      <c r="B462" s="79" t="str">
        <f>IF(C462="","",VLOOKUP('OPĆI DIO'!$C$3,'OPĆI DIO'!$L$6:$U$120,9,FALSE))</f>
        <v/>
      </c>
      <c r="C462" s="84"/>
      <c r="D462" s="79" t="str">
        <f t="shared" si="0"/>
        <v/>
      </c>
      <c r="E462" s="84"/>
      <c r="F462" s="79" t="str">
        <f t="shared" si="1"/>
        <v/>
      </c>
      <c r="G462" s="84"/>
      <c r="H462" s="79" t="str">
        <f t="shared" si="46"/>
        <v/>
      </c>
      <c r="I462" s="79" t="str">
        <f t="shared" si="47"/>
        <v/>
      </c>
      <c r="J462" s="67"/>
      <c r="K462" s="67"/>
      <c r="L462" s="67"/>
      <c r="M462" s="68"/>
      <c r="N462" s="51"/>
      <c r="O462" s="51" t="str">
        <f t="shared" si="4"/>
        <v/>
      </c>
      <c r="P462" s="51" t="str">
        <f t="shared" si="5"/>
        <v/>
      </c>
      <c r="Q462" s="51" t="str">
        <f t="shared" si="6"/>
        <v/>
      </c>
      <c r="R462" s="51" t="str">
        <f t="shared" si="7"/>
        <v/>
      </c>
      <c r="S462" s="51"/>
      <c r="T462" s="51"/>
      <c r="U462" s="51"/>
      <c r="V462" s="51"/>
      <c r="W462" s="51"/>
      <c r="X462" s="51"/>
      <c r="Y462" s="82"/>
      <c r="Z462" s="51"/>
      <c r="AA462" s="51"/>
      <c r="AB462" s="51"/>
      <c r="AC462" s="51"/>
      <c r="AD462" s="51"/>
      <c r="AE462" s="51"/>
      <c r="AF462" s="51"/>
      <c r="AG462" s="51"/>
    </row>
    <row r="463" spans="1:33" ht="15.75" customHeight="1">
      <c r="A463" s="79" t="str">
        <f>IF(C463="","",VLOOKUP('OPĆI DIO'!$C$3,'OPĆI DIO'!$L$6:$U$120,10,FALSE))</f>
        <v/>
      </c>
      <c r="B463" s="79" t="str">
        <f>IF(C463="","",VLOOKUP('OPĆI DIO'!$C$3,'OPĆI DIO'!$L$6:$U$120,9,FALSE))</f>
        <v/>
      </c>
      <c r="C463" s="84"/>
      <c r="D463" s="79" t="str">
        <f t="shared" si="0"/>
        <v/>
      </c>
      <c r="E463" s="84"/>
      <c r="F463" s="79" t="str">
        <f t="shared" si="1"/>
        <v/>
      </c>
      <c r="G463" s="84"/>
      <c r="H463" s="79" t="str">
        <f t="shared" si="46"/>
        <v/>
      </c>
      <c r="I463" s="79" t="str">
        <f t="shared" si="47"/>
        <v/>
      </c>
      <c r="J463" s="67"/>
      <c r="K463" s="67"/>
      <c r="L463" s="67"/>
      <c r="M463" s="68"/>
      <c r="N463" s="51"/>
      <c r="O463" s="51" t="str">
        <f t="shared" si="4"/>
        <v/>
      </c>
      <c r="P463" s="51" t="str">
        <f t="shared" si="5"/>
        <v/>
      </c>
      <c r="Q463" s="51" t="str">
        <f t="shared" si="6"/>
        <v/>
      </c>
      <c r="R463" s="51" t="str">
        <f t="shared" si="7"/>
        <v/>
      </c>
      <c r="S463" s="51"/>
      <c r="T463" s="51"/>
      <c r="U463" s="51"/>
      <c r="V463" s="51"/>
      <c r="W463" s="51"/>
      <c r="X463" s="51"/>
      <c r="Y463" s="82"/>
      <c r="Z463" s="51"/>
      <c r="AA463" s="51"/>
      <c r="AB463" s="51"/>
      <c r="AC463" s="51"/>
      <c r="AD463" s="51"/>
      <c r="AE463" s="51"/>
      <c r="AF463" s="51"/>
      <c r="AG463" s="51"/>
    </row>
    <row r="464" spans="1:33" ht="15.75" customHeight="1">
      <c r="A464" s="79" t="str">
        <f>IF(C464="","",VLOOKUP('OPĆI DIO'!$C$3,'OPĆI DIO'!$L$6:$U$120,10,FALSE))</f>
        <v/>
      </c>
      <c r="B464" s="79" t="str">
        <f>IF(C464="","",VLOOKUP('OPĆI DIO'!$C$3,'OPĆI DIO'!$L$6:$U$120,9,FALSE))</f>
        <v/>
      </c>
      <c r="C464" s="84"/>
      <c r="D464" s="79" t="str">
        <f t="shared" si="0"/>
        <v/>
      </c>
      <c r="E464" s="84"/>
      <c r="F464" s="79" t="str">
        <f t="shared" si="1"/>
        <v/>
      </c>
      <c r="G464" s="84"/>
      <c r="H464" s="79" t="str">
        <f t="shared" si="46"/>
        <v/>
      </c>
      <c r="I464" s="79" t="str">
        <f t="shared" si="47"/>
        <v/>
      </c>
      <c r="J464" s="67"/>
      <c r="K464" s="67"/>
      <c r="L464" s="67"/>
      <c r="M464" s="68"/>
      <c r="N464" s="51"/>
      <c r="O464" s="51" t="str">
        <f t="shared" si="4"/>
        <v/>
      </c>
      <c r="P464" s="51" t="str">
        <f t="shared" si="5"/>
        <v/>
      </c>
      <c r="Q464" s="51" t="str">
        <f t="shared" si="6"/>
        <v/>
      </c>
      <c r="R464" s="51" t="str">
        <f t="shared" si="7"/>
        <v/>
      </c>
      <c r="S464" s="51"/>
      <c r="T464" s="51"/>
      <c r="U464" s="51"/>
      <c r="V464" s="51"/>
      <c r="W464" s="51"/>
      <c r="X464" s="51"/>
      <c r="Y464" s="82"/>
      <c r="Z464" s="51"/>
      <c r="AA464" s="51"/>
      <c r="AB464" s="51"/>
      <c r="AC464" s="51"/>
      <c r="AD464" s="51"/>
      <c r="AE464" s="51"/>
      <c r="AF464" s="51"/>
      <c r="AG464" s="51"/>
    </row>
    <row r="465" spans="1:33" ht="15.75" customHeight="1">
      <c r="A465" s="79" t="str">
        <f>IF(C465="","",VLOOKUP('OPĆI DIO'!$C$3,'OPĆI DIO'!$L$6:$U$120,10,FALSE))</f>
        <v/>
      </c>
      <c r="B465" s="79" t="str">
        <f>IF(C465="","",VLOOKUP('OPĆI DIO'!$C$3,'OPĆI DIO'!$L$6:$U$120,9,FALSE))</f>
        <v/>
      </c>
      <c r="C465" s="84"/>
      <c r="D465" s="79" t="str">
        <f t="shared" si="0"/>
        <v/>
      </c>
      <c r="E465" s="84"/>
      <c r="F465" s="79" t="str">
        <f t="shared" si="1"/>
        <v/>
      </c>
      <c r="G465" s="84"/>
      <c r="H465" s="79" t="str">
        <f t="shared" si="46"/>
        <v/>
      </c>
      <c r="I465" s="79" t="str">
        <f t="shared" si="47"/>
        <v/>
      </c>
      <c r="J465" s="67"/>
      <c r="K465" s="67"/>
      <c r="L465" s="67"/>
      <c r="M465" s="68"/>
      <c r="N465" s="51"/>
      <c r="O465" s="51" t="str">
        <f t="shared" si="4"/>
        <v/>
      </c>
      <c r="P465" s="51" t="str">
        <f t="shared" si="5"/>
        <v/>
      </c>
      <c r="Q465" s="51" t="str">
        <f t="shared" si="6"/>
        <v/>
      </c>
      <c r="R465" s="51" t="str">
        <f t="shared" si="7"/>
        <v/>
      </c>
      <c r="S465" s="51"/>
      <c r="T465" s="51"/>
      <c r="U465" s="51"/>
      <c r="V465" s="51"/>
      <c r="W465" s="51"/>
      <c r="X465" s="51"/>
      <c r="Y465" s="82"/>
      <c r="Z465" s="51"/>
      <c r="AA465" s="51"/>
      <c r="AB465" s="51"/>
      <c r="AC465" s="51"/>
      <c r="AD465" s="51"/>
      <c r="AE465" s="51"/>
      <c r="AF465" s="51"/>
      <c r="AG465" s="51"/>
    </row>
    <row r="466" spans="1:33" ht="15.75" customHeight="1">
      <c r="A466" s="79" t="str">
        <f>IF(C466="","",VLOOKUP('OPĆI DIO'!$C$3,'OPĆI DIO'!$L$6:$U$120,10,FALSE))</f>
        <v/>
      </c>
      <c r="B466" s="79" t="str">
        <f>IF(C466="","",VLOOKUP('OPĆI DIO'!$C$3,'OPĆI DIO'!$L$6:$U$120,9,FALSE))</f>
        <v/>
      </c>
      <c r="C466" s="84"/>
      <c r="D466" s="79" t="str">
        <f t="shared" si="0"/>
        <v/>
      </c>
      <c r="E466" s="84"/>
      <c r="F466" s="79" t="str">
        <f t="shared" si="1"/>
        <v/>
      </c>
      <c r="G466" s="84"/>
      <c r="H466" s="79" t="str">
        <f t="shared" si="46"/>
        <v/>
      </c>
      <c r="I466" s="79" t="str">
        <f t="shared" si="47"/>
        <v/>
      </c>
      <c r="J466" s="67"/>
      <c r="K466" s="67"/>
      <c r="L466" s="67"/>
      <c r="M466" s="68"/>
      <c r="N466" s="51"/>
      <c r="O466" s="51" t="str">
        <f t="shared" si="4"/>
        <v/>
      </c>
      <c r="P466" s="51" t="str">
        <f t="shared" si="5"/>
        <v/>
      </c>
      <c r="Q466" s="51" t="str">
        <f t="shared" si="6"/>
        <v/>
      </c>
      <c r="R466" s="51" t="str">
        <f t="shared" si="7"/>
        <v/>
      </c>
      <c r="S466" s="51"/>
      <c r="T466" s="51"/>
      <c r="U466" s="51"/>
      <c r="V466" s="51"/>
      <c r="W466" s="51"/>
      <c r="X466" s="51"/>
      <c r="Y466" s="82"/>
      <c r="Z466" s="51"/>
      <c r="AA466" s="51"/>
      <c r="AB466" s="51"/>
      <c r="AC466" s="51"/>
      <c r="AD466" s="51"/>
      <c r="AE466" s="51"/>
      <c r="AF466" s="51"/>
      <c r="AG466" s="51"/>
    </row>
    <row r="467" spans="1:33" ht="15.75" customHeight="1">
      <c r="A467" s="79" t="str">
        <f>IF(C467="","",VLOOKUP('OPĆI DIO'!$C$3,'OPĆI DIO'!$L$6:$U$120,10,FALSE))</f>
        <v/>
      </c>
      <c r="B467" s="79" t="str">
        <f>IF(C467="","",VLOOKUP('OPĆI DIO'!$C$3,'OPĆI DIO'!$L$6:$U$120,9,FALSE))</f>
        <v/>
      </c>
      <c r="C467" s="84"/>
      <c r="D467" s="79" t="str">
        <f t="shared" si="0"/>
        <v/>
      </c>
      <c r="E467" s="84"/>
      <c r="F467" s="79" t="str">
        <f t="shared" si="1"/>
        <v/>
      </c>
      <c r="G467" s="84"/>
      <c r="H467" s="79" t="str">
        <f t="shared" si="46"/>
        <v/>
      </c>
      <c r="I467" s="79" t="str">
        <f t="shared" si="47"/>
        <v/>
      </c>
      <c r="J467" s="67"/>
      <c r="K467" s="67"/>
      <c r="L467" s="67"/>
      <c r="M467" s="68"/>
      <c r="N467" s="51"/>
      <c r="O467" s="51" t="str">
        <f t="shared" si="4"/>
        <v/>
      </c>
      <c r="P467" s="51" t="str">
        <f t="shared" si="5"/>
        <v/>
      </c>
      <c r="Q467" s="51" t="str">
        <f t="shared" si="6"/>
        <v/>
      </c>
      <c r="R467" s="51" t="str">
        <f t="shared" si="7"/>
        <v/>
      </c>
      <c r="S467" s="51"/>
      <c r="T467" s="51"/>
      <c r="U467" s="51"/>
      <c r="V467" s="51"/>
      <c r="W467" s="51"/>
      <c r="X467" s="51"/>
      <c r="Y467" s="82"/>
      <c r="Z467" s="51"/>
      <c r="AA467" s="51"/>
      <c r="AB467" s="51"/>
      <c r="AC467" s="51"/>
      <c r="AD467" s="51"/>
      <c r="AE467" s="51"/>
      <c r="AF467" s="51"/>
      <c r="AG467" s="51"/>
    </row>
    <row r="468" spans="1:33" ht="15.75" customHeight="1">
      <c r="A468" s="79" t="str">
        <f>IF(C468="","",VLOOKUP('OPĆI DIO'!$C$3,'OPĆI DIO'!$L$6:$U$120,10,FALSE))</f>
        <v/>
      </c>
      <c r="B468" s="79" t="str">
        <f>IF(C468="","",VLOOKUP('OPĆI DIO'!$C$3,'OPĆI DIO'!$L$6:$U$120,9,FALSE))</f>
        <v/>
      </c>
      <c r="C468" s="84"/>
      <c r="D468" s="79" t="str">
        <f t="shared" si="0"/>
        <v/>
      </c>
      <c r="E468" s="84"/>
      <c r="F468" s="79" t="str">
        <f t="shared" si="1"/>
        <v/>
      </c>
      <c r="G468" s="84"/>
      <c r="H468" s="79" t="str">
        <f t="shared" si="46"/>
        <v/>
      </c>
      <c r="I468" s="79" t="str">
        <f t="shared" si="47"/>
        <v/>
      </c>
      <c r="J468" s="67"/>
      <c r="K468" s="67"/>
      <c r="L468" s="67"/>
      <c r="M468" s="68"/>
      <c r="N468" s="51"/>
      <c r="O468" s="51" t="str">
        <f t="shared" si="4"/>
        <v/>
      </c>
      <c r="P468" s="51" t="str">
        <f t="shared" si="5"/>
        <v/>
      </c>
      <c r="Q468" s="51" t="str">
        <f t="shared" si="6"/>
        <v/>
      </c>
      <c r="R468" s="51" t="str">
        <f t="shared" si="7"/>
        <v/>
      </c>
      <c r="S468" s="51"/>
      <c r="T468" s="51"/>
      <c r="U468" s="51"/>
      <c r="V468" s="51"/>
      <c r="W468" s="51"/>
      <c r="X468" s="51"/>
      <c r="Y468" s="82"/>
      <c r="Z468" s="51"/>
      <c r="AA468" s="51"/>
      <c r="AB468" s="51"/>
      <c r="AC468" s="51"/>
      <c r="AD468" s="51"/>
      <c r="AE468" s="51"/>
      <c r="AF468" s="51"/>
      <c r="AG468" s="51"/>
    </row>
    <row r="469" spans="1:33" ht="15.75" customHeight="1">
      <c r="A469" s="79" t="str">
        <f>IF(C469="","",VLOOKUP('OPĆI DIO'!$C$3,'OPĆI DIO'!$L$6:$U$120,10,FALSE))</f>
        <v/>
      </c>
      <c r="B469" s="79" t="str">
        <f>IF(C469="","",VLOOKUP('OPĆI DIO'!$C$3,'OPĆI DIO'!$L$6:$U$120,9,FALSE))</f>
        <v/>
      </c>
      <c r="C469" s="84"/>
      <c r="D469" s="79" t="str">
        <f t="shared" si="0"/>
        <v/>
      </c>
      <c r="E469" s="84"/>
      <c r="F469" s="79" t="str">
        <f t="shared" si="1"/>
        <v/>
      </c>
      <c r="G469" s="84"/>
      <c r="H469" s="79" t="str">
        <f t="shared" si="46"/>
        <v/>
      </c>
      <c r="I469" s="79" t="str">
        <f t="shared" si="47"/>
        <v/>
      </c>
      <c r="J469" s="67"/>
      <c r="K469" s="67"/>
      <c r="L469" s="67"/>
      <c r="M469" s="68"/>
      <c r="N469" s="51"/>
      <c r="O469" s="51" t="str">
        <f t="shared" si="4"/>
        <v/>
      </c>
      <c r="P469" s="51" t="str">
        <f t="shared" si="5"/>
        <v/>
      </c>
      <c r="Q469" s="51" t="str">
        <f t="shared" si="6"/>
        <v/>
      </c>
      <c r="R469" s="51" t="str">
        <f t="shared" si="7"/>
        <v/>
      </c>
      <c r="S469" s="51"/>
      <c r="T469" s="51"/>
      <c r="U469" s="51"/>
      <c r="V469" s="51"/>
      <c r="W469" s="51"/>
      <c r="X469" s="51"/>
      <c r="Y469" s="82"/>
      <c r="Z469" s="51"/>
      <c r="AA469" s="51"/>
      <c r="AB469" s="51"/>
      <c r="AC469" s="51"/>
      <c r="AD469" s="51"/>
      <c r="AE469" s="51"/>
      <c r="AF469" s="51"/>
      <c r="AG469" s="51"/>
    </row>
    <row r="470" spans="1:33" ht="15.75" customHeight="1">
      <c r="A470" s="79" t="str">
        <f>IF(C470="","",VLOOKUP('OPĆI DIO'!$C$3,'OPĆI DIO'!$L$6:$U$120,10,FALSE))</f>
        <v/>
      </c>
      <c r="B470" s="79" t="str">
        <f>IF(C470="","",VLOOKUP('OPĆI DIO'!$C$3,'OPĆI DIO'!$L$6:$U$120,9,FALSE))</f>
        <v/>
      </c>
      <c r="C470" s="84"/>
      <c r="D470" s="79" t="str">
        <f t="shared" si="0"/>
        <v/>
      </c>
      <c r="E470" s="84"/>
      <c r="F470" s="79" t="str">
        <f t="shared" si="1"/>
        <v/>
      </c>
      <c r="G470" s="84"/>
      <c r="H470" s="79" t="str">
        <f t="shared" si="46"/>
        <v/>
      </c>
      <c r="I470" s="79" t="str">
        <f t="shared" si="47"/>
        <v/>
      </c>
      <c r="J470" s="67"/>
      <c r="K470" s="67"/>
      <c r="L470" s="67"/>
      <c r="M470" s="68"/>
      <c r="N470" s="51"/>
      <c r="O470" s="51" t="str">
        <f t="shared" si="4"/>
        <v/>
      </c>
      <c r="P470" s="51" t="str">
        <f t="shared" si="5"/>
        <v/>
      </c>
      <c r="Q470" s="51" t="str">
        <f t="shared" si="6"/>
        <v/>
      </c>
      <c r="R470" s="51" t="str">
        <f t="shared" si="7"/>
        <v/>
      </c>
      <c r="S470" s="51"/>
      <c r="T470" s="51"/>
      <c r="U470" s="51"/>
      <c r="V470" s="51"/>
      <c r="W470" s="51"/>
      <c r="X470" s="51"/>
      <c r="Y470" s="82"/>
      <c r="Z470" s="51"/>
      <c r="AA470" s="51"/>
      <c r="AB470" s="51"/>
      <c r="AC470" s="51"/>
      <c r="AD470" s="51"/>
      <c r="AE470" s="51"/>
      <c r="AF470" s="51"/>
      <c r="AG470" s="51"/>
    </row>
    <row r="471" spans="1:33" ht="15.75" customHeight="1">
      <c r="A471" s="79" t="str">
        <f>IF(C471="","",VLOOKUP('OPĆI DIO'!$C$3,'OPĆI DIO'!$L$6:$U$120,10,FALSE))</f>
        <v/>
      </c>
      <c r="B471" s="79" t="str">
        <f>IF(C471="","",VLOOKUP('OPĆI DIO'!$C$3,'OPĆI DIO'!$L$6:$U$120,9,FALSE))</f>
        <v/>
      </c>
      <c r="C471" s="84"/>
      <c r="D471" s="79" t="str">
        <f t="shared" si="0"/>
        <v/>
      </c>
      <c r="E471" s="84"/>
      <c r="F471" s="79" t="str">
        <f t="shared" si="1"/>
        <v/>
      </c>
      <c r="G471" s="84"/>
      <c r="H471" s="79" t="str">
        <f t="shared" si="46"/>
        <v/>
      </c>
      <c r="I471" s="79" t="str">
        <f t="shared" si="47"/>
        <v/>
      </c>
      <c r="J471" s="67"/>
      <c r="K471" s="67"/>
      <c r="L471" s="67"/>
      <c r="M471" s="68"/>
      <c r="N471" s="51"/>
      <c r="O471" s="51" t="str">
        <f t="shared" si="4"/>
        <v/>
      </c>
      <c r="P471" s="51" t="str">
        <f t="shared" si="5"/>
        <v/>
      </c>
      <c r="Q471" s="51" t="str">
        <f t="shared" si="6"/>
        <v/>
      </c>
      <c r="R471" s="51" t="str">
        <f t="shared" si="7"/>
        <v/>
      </c>
      <c r="S471" s="51"/>
      <c r="T471" s="51"/>
      <c r="U471" s="51"/>
      <c r="V471" s="51"/>
      <c r="W471" s="51"/>
      <c r="X471" s="51"/>
      <c r="Y471" s="82"/>
      <c r="Z471" s="51"/>
      <c r="AA471" s="51"/>
      <c r="AB471" s="51"/>
      <c r="AC471" s="51"/>
      <c r="AD471" s="51"/>
      <c r="AE471" s="51"/>
      <c r="AF471" s="51"/>
      <c r="AG471" s="51"/>
    </row>
    <row r="472" spans="1:33" ht="15.75" customHeight="1">
      <c r="A472" s="79" t="str">
        <f>IF(C472="","",VLOOKUP('OPĆI DIO'!$C$3,'OPĆI DIO'!$L$6:$U$120,10,FALSE))</f>
        <v/>
      </c>
      <c r="B472" s="79" t="str">
        <f>IF(C472="","",VLOOKUP('OPĆI DIO'!$C$3,'OPĆI DIO'!$L$6:$U$120,9,FALSE))</f>
        <v/>
      </c>
      <c r="C472" s="84"/>
      <c r="D472" s="79" t="str">
        <f t="shared" si="0"/>
        <v/>
      </c>
      <c r="E472" s="84"/>
      <c r="F472" s="79" t="str">
        <f t="shared" si="1"/>
        <v/>
      </c>
      <c r="G472" s="84"/>
      <c r="H472" s="79" t="str">
        <f t="shared" si="46"/>
        <v/>
      </c>
      <c r="I472" s="79" t="str">
        <f t="shared" si="47"/>
        <v/>
      </c>
      <c r="J472" s="67"/>
      <c r="K472" s="67"/>
      <c r="L472" s="67"/>
      <c r="M472" s="68"/>
      <c r="N472" s="51"/>
      <c r="O472" s="51" t="str">
        <f t="shared" si="4"/>
        <v/>
      </c>
      <c r="P472" s="51" t="str">
        <f t="shared" si="5"/>
        <v/>
      </c>
      <c r="Q472" s="51" t="str">
        <f t="shared" si="6"/>
        <v/>
      </c>
      <c r="R472" s="51" t="str">
        <f t="shared" si="7"/>
        <v/>
      </c>
      <c r="S472" s="51"/>
      <c r="T472" s="51"/>
      <c r="U472" s="51"/>
      <c r="V472" s="51"/>
      <c r="W472" s="51"/>
      <c r="X472" s="51"/>
      <c r="Y472" s="82"/>
      <c r="Z472" s="51"/>
      <c r="AA472" s="51"/>
      <c r="AB472" s="51"/>
      <c r="AC472" s="51"/>
      <c r="AD472" s="51"/>
      <c r="AE472" s="51"/>
      <c r="AF472" s="51"/>
      <c r="AG472" s="51"/>
    </row>
    <row r="473" spans="1:33" ht="15.75" customHeight="1">
      <c r="A473" s="79" t="str">
        <f>IF(C473="","",VLOOKUP('OPĆI DIO'!$C$3,'OPĆI DIO'!$L$6:$U$120,10,FALSE))</f>
        <v/>
      </c>
      <c r="B473" s="79" t="str">
        <f>IF(C473="","",VLOOKUP('OPĆI DIO'!$C$3,'OPĆI DIO'!$L$6:$U$120,9,FALSE))</f>
        <v/>
      </c>
      <c r="C473" s="84"/>
      <c r="D473" s="79" t="str">
        <f t="shared" si="0"/>
        <v/>
      </c>
      <c r="E473" s="84"/>
      <c r="F473" s="79" t="str">
        <f t="shared" si="1"/>
        <v/>
      </c>
      <c r="G473" s="84"/>
      <c r="H473" s="79" t="str">
        <f t="shared" si="46"/>
        <v/>
      </c>
      <c r="I473" s="79" t="str">
        <f t="shared" si="47"/>
        <v/>
      </c>
      <c r="J473" s="67"/>
      <c r="K473" s="67"/>
      <c r="L473" s="67"/>
      <c r="M473" s="68"/>
      <c r="N473" s="51"/>
      <c r="O473" s="51" t="str">
        <f t="shared" si="4"/>
        <v/>
      </c>
      <c r="P473" s="51" t="str">
        <f t="shared" si="5"/>
        <v/>
      </c>
      <c r="Q473" s="51" t="str">
        <f t="shared" si="6"/>
        <v/>
      </c>
      <c r="R473" s="51" t="str">
        <f t="shared" si="7"/>
        <v/>
      </c>
      <c r="S473" s="51"/>
      <c r="T473" s="51"/>
      <c r="U473" s="51"/>
      <c r="V473" s="51"/>
      <c r="W473" s="51"/>
      <c r="X473" s="51"/>
      <c r="Y473" s="82"/>
      <c r="Z473" s="51"/>
      <c r="AA473" s="51"/>
      <c r="AB473" s="51"/>
      <c r="AC473" s="51"/>
      <c r="AD473" s="51"/>
      <c r="AE473" s="51"/>
      <c r="AF473" s="51"/>
      <c r="AG473" s="51"/>
    </row>
    <row r="474" spans="1:33" ht="15.75" customHeight="1">
      <c r="A474" s="79" t="str">
        <f>IF(C474="","",VLOOKUP('OPĆI DIO'!$C$3,'OPĆI DIO'!$L$6:$U$120,10,FALSE))</f>
        <v/>
      </c>
      <c r="B474" s="79" t="str">
        <f>IF(C474="","",VLOOKUP('OPĆI DIO'!$C$3,'OPĆI DIO'!$L$6:$U$120,9,FALSE))</f>
        <v/>
      </c>
      <c r="C474" s="84"/>
      <c r="D474" s="79" t="str">
        <f t="shared" si="0"/>
        <v/>
      </c>
      <c r="E474" s="84"/>
      <c r="F474" s="79" t="str">
        <f t="shared" si="1"/>
        <v/>
      </c>
      <c r="G474" s="84"/>
      <c r="H474" s="79" t="str">
        <f t="shared" si="46"/>
        <v/>
      </c>
      <c r="I474" s="79" t="str">
        <f t="shared" si="47"/>
        <v/>
      </c>
      <c r="J474" s="67"/>
      <c r="K474" s="67"/>
      <c r="L474" s="67"/>
      <c r="M474" s="68"/>
      <c r="N474" s="51"/>
      <c r="O474" s="51" t="str">
        <f t="shared" si="4"/>
        <v/>
      </c>
      <c r="P474" s="51" t="str">
        <f t="shared" si="5"/>
        <v/>
      </c>
      <c r="Q474" s="51" t="str">
        <f t="shared" si="6"/>
        <v/>
      </c>
      <c r="R474" s="51" t="str">
        <f t="shared" si="7"/>
        <v/>
      </c>
      <c r="S474" s="51"/>
      <c r="T474" s="51"/>
      <c r="U474" s="51"/>
      <c r="V474" s="51"/>
      <c r="W474" s="51"/>
      <c r="X474" s="51"/>
      <c r="Y474" s="82"/>
      <c r="Z474" s="51"/>
      <c r="AA474" s="51"/>
      <c r="AB474" s="51"/>
      <c r="AC474" s="51"/>
      <c r="AD474" s="51"/>
      <c r="AE474" s="51"/>
      <c r="AF474" s="51"/>
      <c r="AG474" s="51"/>
    </row>
    <row r="475" spans="1:33" ht="15.75" customHeight="1">
      <c r="A475" s="79" t="str">
        <f>IF(C475="","",VLOOKUP('OPĆI DIO'!$C$3,'OPĆI DIO'!$L$6:$U$120,10,FALSE))</f>
        <v/>
      </c>
      <c r="B475" s="79" t="str">
        <f>IF(C475="","",VLOOKUP('OPĆI DIO'!$C$3,'OPĆI DIO'!$L$6:$U$120,9,FALSE))</f>
        <v/>
      </c>
      <c r="C475" s="84"/>
      <c r="D475" s="79" t="str">
        <f t="shared" si="0"/>
        <v/>
      </c>
      <c r="E475" s="84"/>
      <c r="F475" s="79" t="str">
        <f t="shared" si="1"/>
        <v/>
      </c>
      <c r="G475" s="84"/>
      <c r="H475" s="79" t="str">
        <f t="shared" si="46"/>
        <v/>
      </c>
      <c r="I475" s="79" t="str">
        <f t="shared" si="47"/>
        <v/>
      </c>
      <c r="J475" s="67"/>
      <c r="K475" s="67"/>
      <c r="L475" s="67"/>
      <c r="M475" s="68"/>
      <c r="N475" s="51"/>
      <c r="O475" s="51" t="str">
        <f t="shared" si="4"/>
        <v/>
      </c>
      <c r="P475" s="51" t="str">
        <f t="shared" si="5"/>
        <v/>
      </c>
      <c r="Q475" s="51" t="str">
        <f t="shared" si="6"/>
        <v/>
      </c>
      <c r="R475" s="51" t="str">
        <f t="shared" si="7"/>
        <v/>
      </c>
      <c r="S475" s="51"/>
      <c r="T475" s="51"/>
      <c r="U475" s="51"/>
      <c r="V475" s="51"/>
      <c r="W475" s="51"/>
      <c r="X475" s="51"/>
      <c r="Y475" s="82"/>
      <c r="Z475" s="51"/>
      <c r="AA475" s="51"/>
      <c r="AB475" s="51"/>
      <c r="AC475" s="51"/>
      <c r="AD475" s="51"/>
      <c r="AE475" s="51"/>
      <c r="AF475" s="51"/>
      <c r="AG475" s="51"/>
    </row>
    <row r="476" spans="1:33" ht="15.75" customHeight="1">
      <c r="A476" s="79" t="str">
        <f>IF(C476="","",VLOOKUP('OPĆI DIO'!$C$3,'OPĆI DIO'!$L$6:$U$120,10,FALSE))</f>
        <v/>
      </c>
      <c r="B476" s="79" t="str">
        <f>IF(C476="","",VLOOKUP('OPĆI DIO'!$C$3,'OPĆI DIO'!$L$6:$U$120,9,FALSE))</f>
        <v/>
      </c>
      <c r="C476" s="84"/>
      <c r="D476" s="79" t="str">
        <f t="shared" si="0"/>
        <v/>
      </c>
      <c r="E476" s="84"/>
      <c r="F476" s="79" t="str">
        <f t="shared" si="1"/>
        <v/>
      </c>
      <c r="G476" s="84"/>
      <c r="H476" s="79" t="str">
        <f t="shared" si="46"/>
        <v/>
      </c>
      <c r="I476" s="79" t="str">
        <f t="shared" si="47"/>
        <v/>
      </c>
      <c r="J476" s="67"/>
      <c r="K476" s="67"/>
      <c r="L476" s="67"/>
      <c r="M476" s="68"/>
      <c r="N476" s="51"/>
      <c r="O476" s="51" t="str">
        <f t="shared" si="4"/>
        <v/>
      </c>
      <c r="P476" s="51" t="str">
        <f t="shared" si="5"/>
        <v/>
      </c>
      <c r="Q476" s="51" t="str">
        <f t="shared" si="6"/>
        <v/>
      </c>
      <c r="R476" s="51" t="str">
        <f t="shared" si="7"/>
        <v/>
      </c>
      <c r="S476" s="51"/>
      <c r="T476" s="51"/>
      <c r="U476" s="51"/>
      <c r="V476" s="51"/>
      <c r="W476" s="51"/>
      <c r="X476" s="51"/>
      <c r="Y476" s="82"/>
      <c r="Z476" s="51"/>
      <c r="AA476" s="51"/>
      <c r="AB476" s="51"/>
      <c r="AC476" s="51"/>
      <c r="AD476" s="51"/>
      <c r="AE476" s="51"/>
      <c r="AF476" s="51"/>
      <c r="AG476" s="51"/>
    </row>
    <row r="477" spans="1:33" ht="15.75" customHeight="1">
      <c r="A477" s="79" t="str">
        <f>IF(C477="","",VLOOKUP('OPĆI DIO'!$C$3,'OPĆI DIO'!$L$6:$U$120,10,FALSE))</f>
        <v/>
      </c>
      <c r="B477" s="79" t="str">
        <f>IF(C477="","",VLOOKUP('OPĆI DIO'!$C$3,'OPĆI DIO'!$L$6:$U$120,9,FALSE))</f>
        <v/>
      </c>
      <c r="C477" s="84"/>
      <c r="D477" s="79" t="str">
        <f t="shared" si="0"/>
        <v/>
      </c>
      <c r="E477" s="84"/>
      <c r="F477" s="79" t="str">
        <f t="shared" si="1"/>
        <v/>
      </c>
      <c r="G477" s="84"/>
      <c r="H477" s="79" t="str">
        <f t="shared" si="46"/>
        <v/>
      </c>
      <c r="I477" s="79" t="str">
        <f t="shared" si="47"/>
        <v/>
      </c>
      <c r="J477" s="67"/>
      <c r="K477" s="67"/>
      <c r="L477" s="67"/>
      <c r="M477" s="68"/>
      <c r="N477" s="51"/>
      <c r="O477" s="51" t="str">
        <f t="shared" si="4"/>
        <v/>
      </c>
      <c r="P477" s="51" t="str">
        <f t="shared" si="5"/>
        <v/>
      </c>
      <c r="Q477" s="51" t="str">
        <f t="shared" si="6"/>
        <v/>
      </c>
      <c r="R477" s="51" t="str">
        <f t="shared" si="7"/>
        <v/>
      </c>
      <c r="S477" s="51"/>
      <c r="T477" s="51"/>
      <c r="U477" s="51"/>
      <c r="V477" s="51"/>
      <c r="W477" s="51"/>
      <c r="X477" s="51"/>
      <c r="Y477" s="82"/>
      <c r="Z477" s="51"/>
      <c r="AA477" s="51"/>
      <c r="AB477" s="51"/>
      <c r="AC477" s="51"/>
      <c r="AD477" s="51"/>
      <c r="AE477" s="51"/>
      <c r="AF477" s="51"/>
      <c r="AG477" s="51"/>
    </row>
    <row r="478" spans="1:33" ht="15.75" customHeight="1">
      <c r="A478" s="79" t="str">
        <f>IF(C478="","",VLOOKUP('OPĆI DIO'!$C$3,'OPĆI DIO'!$L$6:$U$120,10,FALSE))</f>
        <v/>
      </c>
      <c r="B478" s="79" t="str">
        <f>IF(C478="","",VLOOKUP('OPĆI DIO'!$C$3,'OPĆI DIO'!$L$6:$U$120,9,FALSE))</f>
        <v/>
      </c>
      <c r="C478" s="84"/>
      <c r="D478" s="79" t="str">
        <f t="shared" si="0"/>
        <v/>
      </c>
      <c r="E478" s="84"/>
      <c r="F478" s="79" t="str">
        <f t="shared" si="1"/>
        <v/>
      </c>
      <c r="G478" s="84"/>
      <c r="H478" s="79" t="str">
        <f t="shared" si="46"/>
        <v/>
      </c>
      <c r="I478" s="79" t="str">
        <f t="shared" si="47"/>
        <v/>
      </c>
      <c r="J478" s="67"/>
      <c r="K478" s="67"/>
      <c r="L478" s="67"/>
      <c r="M478" s="68"/>
      <c r="N478" s="51"/>
      <c r="O478" s="51" t="str">
        <f t="shared" si="4"/>
        <v/>
      </c>
      <c r="P478" s="51" t="str">
        <f t="shared" si="5"/>
        <v/>
      </c>
      <c r="Q478" s="51" t="str">
        <f t="shared" si="6"/>
        <v/>
      </c>
      <c r="R478" s="51" t="str">
        <f t="shared" si="7"/>
        <v/>
      </c>
      <c r="S478" s="51"/>
      <c r="T478" s="51"/>
      <c r="U478" s="51"/>
      <c r="V478" s="51"/>
      <c r="W478" s="51"/>
      <c r="X478" s="51"/>
      <c r="Y478" s="82"/>
      <c r="Z478" s="51"/>
      <c r="AA478" s="51"/>
      <c r="AB478" s="51"/>
      <c r="AC478" s="51"/>
      <c r="AD478" s="51"/>
      <c r="AE478" s="51"/>
      <c r="AF478" s="51"/>
      <c r="AG478" s="51"/>
    </row>
    <row r="479" spans="1:33" ht="15.75" customHeight="1">
      <c r="A479" s="79" t="str">
        <f>IF(C479="","",VLOOKUP('OPĆI DIO'!$C$3,'OPĆI DIO'!$L$6:$U$120,10,FALSE))</f>
        <v/>
      </c>
      <c r="B479" s="79" t="str">
        <f>IF(C479="","",VLOOKUP('OPĆI DIO'!$C$3,'OPĆI DIO'!$L$6:$U$120,9,FALSE))</f>
        <v/>
      </c>
      <c r="C479" s="84"/>
      <c r="D479" s="79" t="str">
        <f t="shared" si="0"/>
        <v/>
      </c>
      <c r="E479" s="84"/>
      <c r="F479" s="79" t="str">
        <f t="shared" si="1"/>
        <v/>
      </c>
      <c r="G479" s="84"/>
      <c r="H479" s="79" t="str">
        <f t="shared" si="46"/>
        <v/>
      </c>
      <c r="I479" s="79" t="str">
        <f t="shared" si="47"/>
        <v/>
      </c>
      <c r="J479" s="67"/>
      <c r="K479" s="67"/>
      <c r="L479" s="67"/>
      <c r="M479" s="68"/>
      <c r="N479" s="51"/>
      <c r="O479" s="51" t="str">
        <f t="shared" si="4"/>
        <v/>
      </c>
      <c r="P479" s="51" t="str">
        <f t="shared" si="5"/>
        <v/>
      </c>
      <c r="Q479" s="51" t="str">
        <f t="shared" si="6"/>
        <v/>
      </c>
      <c r="R479" s="51" t="str">
        <f t="shared" si="7"/>
        <v/>
      </c>
      <c r="S479" s="51"/>
      <c r="T479" s="51"/>
      <c r="U479" s="51"/>
      <c r="V479" s="51"/>
      <c r="W479" s="51"/>
      <c r="X479" s="51"/>
      <c r="Y479" s="82"/>
      <c r="Z479" s="51"/>
      <c r="AA479" s="51"/>
      <c r="AB479" s="51"/>
      <c r="AC479" s="51"/>
      <c r="AD479" s="51"/>
      <c r="AE479" s="51"/>
      <c r="AF479" s="51"/>
      <c r="AG479" s="51"/>
    </row>
    <row r="480" spans="1:33" ht="15.75" customHeight="1">
      <c r="A480" s="79" t="str">
        <f>IF(C480="","",VLOOKUP('OPĆI DIO'!$C$3,'OPĆI DIO'!$L$6:$U$120,10,FALSE))</f>
        <v/>
      </c>
      <c r="B480" s="79" t="str">
        <f>IF(C480="","",VLOOKUP('OPĆI DIO'!$C$3,'OPĆI DIO'!$L$6:$U$120,9,FALSE))</f>
        <v/>
      </c>
      <c r="C480" s="84"/>
      <c r="D480" s="79" t="str">
        <f t="shared" si="0"/>
        <v/>
      </c>
      <c r="E480" s="84"/>
      <c r="F480" s="79" t="str">
        <f t="shared" si="1"/>
        <v/>
      </c>
      <c r="G480" s="84"/>
      <c r="H480" s="79" t="str">
        <f t="shared" si="46"/>
        <v/>
      </c>
      <c r="I480" s="79" t="str">
        <f t="shared" si="47"/>
        <v/>
      </c>
      <c r="J480" s="67"/>
      <c r="K480" s="67"/>
      <c r="L480" s="67"/>
      <c r="M480" s="68"/>
      <c r="N480" s="51"/>
      <c r="O480" s="51" t="str">
        <f t="shared" si="4"/>
        <v/>
      </c>
      <c r="P480" s="51" t="str">
        <f t="shared" si="5"/>
        <v/>
      </c>
      <c r="Q480" s="51" t="str">
        <f t="shared" si="6"/>
        <v/>
      </c>
      <c r="R480" s="51" t="str">
        <f t="shared" si="7"/>
        <v/>
      </c>
      <c r="S480" s="51"/>
      <c r="T480" s="51"/>
      <c r="U480" s="51"/>
      <c r="V480" s="51"/>
      <c r="W480" s="51"/>
      <c r="X480" s="51"/>
      <c r="Y480" s="82"/>
      <c r="Z480" s="51"/>
      <c r="AA480" s="51"/>
      <c r="AB480" s="51"/>
      <c r="AC480" s="51"/>
      <c r="AD480" s="51"/>
      <c r="AE480" s="51"/>
      <c r="AF480" s="51"/>
      <c r="AG480" s="51"/>
    </row>
    <row r="481" spans="1:33" ht="15.75" customHeight="1">
      <c r="A481" s="79" t="str">
        <f>IF(C481="","",VLOOKUP('OPĆI DIO'!$C$3,'OPĆI DIO'!$L$6:$U$120,10,FALSE))</f>
        <v/>
      </c>
      <c r="B481" s="79" t="str">
        <f>IF(C481="","",VLOOKUP('OPĆI DIO'!$C$3,'OPĆI DIO'!$L$6:$U$120,9,FALSE))</f>
        <v/>
      </c>
      <c r="C481" s="84"/>
      <c r="D481" s="79" t="str">
        <f t="shared" si="0"/>
        <v/>
      </c>
      <c r="E481" s="84"/>
      <c r="F481" s="79" t="str">
        <f t="shared" si="1"/>
        <v/>
      </c>
      <c r="G481" s="84"/>
      <c r="H481" s="79" t="str">
        <f t="shared" si="46"/>
        <v/>
      </c>
      <c r="I481" s="79" t="str">
        <f t="shared" si="47"/>
        <v/>
      </c>
      <c r="J481" s="67"/>
      <c r="K481" s="67"/>
      <c r="L481" s="67"/>
      <c r="M481" s="68"/>
      <c r="N481" s="51"/>
      <c r="O481" s="51" t="str">
        <f t="shared" si="4"/>
        <v/>
      </c>
      <c r="P481" s="51" t="str">
        <f t="shared" si="5"/>
        <v/>
      </c>
      <c r="Q481" s="51" t="str">
        <f t="shared" si="6"/>
        <v/>
      </c>
      <c r="R481" s="51" t="str">
        <f t="shared" si="7"/>
        <v/>
      </c>
      <c r="S481" s="51"/>
      <c r="T481" s="51"/>
      <c r="U481" s="51"/>
      <c r="V481" s="51"/>
      <c r="W481" s="51"/>
      <c r="X481" s="51"/>
      <c r="Y481" s="82"/>
      <c r="Z481" s="51"/>
      <c r="AA481" s="51"/>
      <c r="AB481" s="51"/>
      <c r="AC481" s="51"/>
      <c r="AD481" s="51"/>
      <c r="AE481" s="51"/>
      <c r="AF481" s="51"/>
      <c r="AG481" s="51"/>
    </row>
    <row r="482" spans="1:33" ht="15.75" customHeight="1">
      <c r="A482" s="79" t="str">
        <f>IF(C482="","",VLOOKUP('OPĆI DIO'!$C$3,'OPĆI DIO'!$L$6:$U$120,10,FALSE))</f>
        <v/>
      </c>
      <c r="B482" s="79" t="str">
        <f>IF(C482="","",VLOOKUP('OPĆI DIO'!$C$3,'OPĆI DIO'!$L$6:$U$120,9,FALSE))</f>
        <v/>
      </c>
      <c r="C482" s="84"/>
      <c r="D482" s="79" t="str">
        <f t="shared" si="0"/>
        <v/>
      </c>
      <c r="E482" s="84"/>
      <c r="F482" s="79" t="str">
        <f t="shared" si="1"/>
        <v/>
      </c>
      <c r="G482" s="84"/>
      <c r="H482" s="79" t="str">
        <f t="shared" si="46"/>
        <v/>
      </c>
      <c r="I482" s="79" t="str">
        <f t="shared" si="47"/>
        <v/>
      </c>
      <c r="J482" s="67"/>
      <c r="K482" s="67"/>
      <c r="L482" s="67"/>
      <c r="M482" s="68"/>
      <c r="N482" s="51"/>
      <c r="O482" s="51" t="str">
        <f t="shared" si="4"/>
        <v/>
      </c>
      <c r="P482" s="51" t="str">
        <f t="shared" si="5"/>
        <v/>
      </c>
      <c r="Q482" s="51" t="str">
        <f t="shared" si="6"/>
        <v/>
      </c>
      <c r="R482" s="51" t="str">
        <f t="shared" si="7"/>
        <v/>
      </c>
      <c r="S482" s="51"/>
      <c r="T482" s="51"/>
      <c r="U482" s="51"/>
      <c r="V482" s="51"/>
      <c r="W482" s="51"/>
      <c r="X482" s="51"/>
      <c r="Y482" s="82"/>
      <c r="Z482" s="51"/>
      <c r="AA482" s="51"/>
      <c r="AB482" s="51"/>
      <c r="AC482" s="51"/>
      <c r="AD482" s="51"/>
      <c r="AE482" s="51"/>
      <c r="AF482" s="51"/>
      <c r="AG482" s="51"/>
    </row>
    <row r="483" spans="1:33" ht="15.75" customHeight="1">
      <c r="A483" s="79" t="str">
        <f>IF(C483="","",VLOOKUP('OPĆI DIO'!$C$3,'OPĆI DIO'!$L$6:$U$120,10,FALSE))</f>
        <v/>
      </c>
      <c r="B483" s="79" t="str">
        <f>IF(C483="","",VLOOKUP('OPĆI DIO'!$C$3,'OPĆI DIO'!$L$6:$U$120,9,FALSE))</f>
        <v/>
      </c>
      <c r="C483" s="84"/>
      <c r="D483" s="79" t="str">
        <f t="shared" si="0"/>
        <v/>
      </c>
      <c r="E483" s="84"/>
      <c r="F483" s="79" t="str">
        <f t="shared" si="1"/>
        <v/>
      </c>
      <c r="G483" s="84"/>
      <c r="H483" s="79" t="str">
        <f t="shared" si="46"/>
        <v/>
      </c>
      <c r="I483" s="79" t="str">
        <f t="shared" si="47"/>
        <v/>
      </c>
      <c r="J483" s="67"/>
      <c r="K483" s="67"/>
      <c r="L483" s="67"/>
      <c r="M483" s="68"/>
      <c r="N483" s="51"/>
      <c r="O483" s="51" t="str">
        <f t="shared" si="4"/>
        <v/>
      </c>
      <c r="P483" s="51" t="str">
        <f t="shared" si="5"/>
        <v/>
      </c>
      <c r="Q483" s="51" t="str">
        <f t="shared" si="6"/>
        <v/>
      </c>
      <c r="R483" s="51" t="str">
        <f t="shared" si="7"/>
        <v/>
      </c>
      <c r="S483" s="51"/>
      <c r="T483" s="51"/>
      <c r="U483" s="51"/>
      <c r="V483" s="51"/>
      <c r="W483" s="51"/>
      <c r="X483" s="51"/>
      <c r="Y483" s="82"/>
      <c r="Z483" s="51"/>
      <c r="AA483" s="51"/>
      <c r="AB483" s="51"/>
      <c r="AC483" s="51"/>
      <c r="AD483" s="51"/>
      <c r="AE483" s="51"/>
      <c r="AF483" s="51"/>
      <c r="AG483" s="51"/>
    </row>
    <row r="484" spans="1:33" ht="15.75" customHeight="1">
      <c r="A484" s="79" t="str">
        <f>IF(C484="","",VLOOKUP('OPĆI DIO'!$C$3,'OPĆI DIO'!$L$6:$U$120,10,FALSE))</f>
        <v/>
      </c>
      <c r="B484" s="79" t="str">
        <f>IF(C484="","",VLOOKUP('OPĆI DIO'!$C$3,'OPĆI DIO'!$L$6:$U$120,9,FALSE))</f>
        <v/>
      </c>
      <c r="C484" s="84"/>
      <c r="D484" s="79" t="str">
        <f t="shared" si="0"/>
        <v/>
      </c>
      <c r="E484" s="84"/>
      <c r="F484" s="79" t="str">
        <f t="shared" si="1"/>
        <v/>
      </c>
      <c r="G484" s="84"/>
      <c r="H484" s="79" t="str">
        <f t="shared" si="46"/>
        <v/>
      </c>
      <c r="I484" s="79" t="str">
        <f t="shared" si="47"/>
        <v/>
      </c>
      <c r="J484" s="67"/>
      <c r="K484" s="67"/>
      <c r="L484" s="67"/>
      <c r="M484" s="68"/>
      <c r="N484" s="51"/>
      <c r="O484" s="51" t="str">
        <f t="shared" si="4"/>
        <v/>
      </c>
      <c r="P484" s="51" t="str">
        <f t="shared" si="5"/>
        <v/>
      </c>
      <c r="Q484" s="51" t="str">
        <f t="shared" si="6"/>
        <v/>
      </c>
      <c r="R484" s="51" t="str">
        <f t="shared" si="7"/>
        <v/>
      </c>
      <c r="S484" s="51"/>
      <c r="T484" s="51"/>
      <c r="U484" s="51"/>
      <c r="V484" s="51"/>
      <c r="W484" s="51"/>
      <c r="X484" s="51"/>
      <c r="Y484" s="82"/>
      <c r="Z484" s="51"/>
      <c r="AA484" s="51"/>
      <c r="AB484" s="51"/>
      <c r="AC484" s="51"/>
      <c r="AD484" s="51"/>
      <c r="AE484" s="51"/>
      <c r="AF484" s="51"/>
      <c r="AG484" s="51"/>
    </row>
    <row r="485" spans="1:33" ht="15.75" customHeight="1">
      <c r="A485" s="79" t="str">
        <f>IF(C485="","",VLOOKUP('OPĆI DIO'!$C$3,'OPĆI DIO'!$L$6:$U$120,10,FALSE))</f>
        <v/>
      </c>
      <c r="B485" s="79" t="str">
        <f>IF(C485="","",VLOOKUP('OPĆI DIO'!$C$3,'OPĆI DIO'!$L$6:$U$120,9,FALSE))</f>
        <v/>
      </c>
      <c r="C485" s="84"/>
      <c r="D485" s="79" t="str">
        <f t="shared" si="0"/>
        <v/>
      </c>
      <c r="E485" s="84"/>
      <c r="F485" s="79" t="str">
        <f t="shared" si="1"/>
        <v/>
      </c>
      <c r="G485" s="84"/>
      <c r="H485" s="79" t="str">
        <f t="shared" si="46"/>
        <v/>
      </c>
      <c r="I485" s="79" t="str">
        <f t="shared" si="47"/>
        <v/>
      </c>
      <c r="J485" s="67"/>
      <c r="K485" s="67"/>
      <c r="L485" s="67"/>
      <c r="M485" s="68"/>
      <c r="N485" s="51"/>
      <c r="O485" s="51" t="str">
        <f t="shared" si="4"/>
        <v/>
      </c>
      <c r="P485" s="51" t="str">
        <f t="shared" si="5"/>
        <v/>
      </c>
      <c r="Q485" s="51" t="str">
        <f t="shared" si="6"/>
        <v/>
      </c>
      <c r="R485" s="51" t="str">
        <f t="shared" si="7"/>
        <v/>
      </c>
      <c r="S485" s="51"/>
      <c r="T485" s="51"/>
      <c r="U485" s="51"/>
      <c r="V485" s="51"/>
      <c r="W485" s="51"/>
      <c r="X485" s="51"/>
      <c r="Y485" s="82"/>
      <c r="Z485" s="51"/>
      <c r="AA485" s="51"/>
      <c r="AB485" s="51"/>
      <c r="AC485" s="51"/>
      <c r="AD485" s="51"/>
      <c r="AE485" s="51"/>
      <c r="AF485" s="51"/>
      <c r="AG485" s="51"/>
    </row>
    <row r="486" spans="1:33" ht="15.75" customHeight="1">
      <c r="A486" s="79" t="str">
        <f>IF(C486="","",VLOOKUP('OPĆI DIO'!$C$3,'OPĆI DIO'!$L$6:$U$120,10,FALSE))</f>
        <v/>
      </c>
      <c r="B486" s="79" t="str">
        <f>IF(C486="","",VLOOKUP('OPĆI DIO'!$C$3,'OPĆI DIO'!$L$6:$U$120,9,FALSE))</f>
        <v/>
      </c>
      <c r="C486" s="84"/>
      <c r="D486" s="79" t="str">
        <f t="shared" si="0"/>
        <v/>
      </c>
      <c r="E486" s="84"/>
      <c r="F486" s="79" t="str">
        <f t="shared" si="1"/>
        <v/>
      </c>
      <c r="G486" s="84"/>
      <c r="H486" s="79" t="str">
        <f t="shared" si="46"/>
        <v/>
      </c>
      <c r="I486" s="79" t="str">
        <f t="shared" si="47"/>
        <v/>
      </c>
      <c r="J486" s="67"/>
      <c r="K486" s="67"/>
      <c r="L486" s="67"/>
      <c r="M486" s="68"/>
      <c r="N486" s="51"/>
      <c r="O486" s="51" t="str">
        <f t="shared" si="4"/>
        <v/>
      </c>
      <c r="P486" s="51" t="str">
        <f t="shared" si="5"/>
        <v/>
      </c>
      <c r="Q486" s="51" t="str">
        <f t="shared" si="6"/>
        <v/>
      </c>
      <c r="R486" s="51" t="str">
        <f t="shared" si="7"/>
        <v/>
      </c>
      <c r="S486" s="51"/>
      <c r="T486" s="51"/>
      <c r="U486" s="51"/>
      <c r="V486" s="51"/>
      <c r="W486" s="51"/>
      <c r="X486" s="51"/>
      <c r="Y486" s="82"/>
      <c r="Z486" s="51"/>
      <c r="AA486" s="51"/>
      <c r="AB486" s="51"/>
      <c r="AC486" s="51"/>
      <c r="AD486" s="51"/>
      <c r="AE486" s="51"/>
      <c r="AF486" s="51"/>
      <c r="AG486" s="51"/>
    </row>
    <row r="487" spans="1:33" ht="15.75" customHeight="1">
      <c r="A487" s="79" t="str">
        <f>IF(C487="","",VLOOKUP('OPĆI DIO'!$C$3,'OPĆI DIO'!$L$6:$U$120,10,FALSE))</f>
        <v/>
      </c>
      <c r="B487" s="79" t="str">
        <f>IF(C487="","",VLOOKUP('OPĆI DIO'!$C$3,'OPĆI DIO'!$L$6:$U$120,9,FALSE))</f>
        <v/>
      </c>
      <c r="C487" s="84"/>
      <c r="D487" s="79" t="str">
        <f t="shared" si="0"/>
        <v/>
      </c>
      <c r="E487" s="84"/>
      <c r="F487" s="79" t="str">
        <f t="shared" si="1"/>
        <v/>
      </c>
      <c r="G487" s="84"/>
      <c r="H487" s="79" t="str">
        <f t="shared" si="46"/>
        <v/>
      </c>
      <c r="I487" s="79" t="str">
        <f t="shared" si="47"/>
        <v/>
      </c>
      <c r="J487" s="67"/>
      <c r="K487" s="67"/>
      <c r="L487" s="67"/>
      <c r="M487" s="68"/>
      <c r="N487" s="51"/>
      <c r="O487" s="51" t="str">
        <f t="shared" si="4"/>
        <v/>
      </c>
      <c r="P487" s="51" t="str">
        <f t="shared" si="5"/>
        <v/>
      </c>
      <c r="Q487" s="51" t="str">
        <f t="shared" si="6"/>
        <v/>
      </c>
      <c r="R487" s="51" t="str">
        <f t="shared" si="7"/>
        <v/>
      </c>
      <c r="S487" s="51"/>
      <c r="T487" s="51"/>
      <c r="U487" s="51"/>
      <c r="V487" s="51"/>
      <c r="W487" s="51"/>
      <c r="X487" s="51"/>
      <c r="Y487" s="82"/>
      <c r="Z487" s="51"/>
      <c r="AA487" s="51"/>
      <c r="AB487" s="51"/>
      <c r="AC487" s="51"/>
      <c r="AD487" s="51"/>
      <c r="AE487" s="51"/>
      <c r="AF487" s="51"/>
      <c r="AG487" s="51"/>
    </row>
    <row r="488" spans="1:33" ht="15.75" customHeight="1">
      <c r="A488" s="79" t="str">
        <f>IF(C488="","",VLOOKUP('OPĆI DIO'!$C$3,'OPĆI DIO'!$L$6:$U$120,10,FALSE))</f>
        <v/>
      </c>
      <c r="B488" s="79" t="str">
        <f>IF(C488="","",VLOOKUP('OPĆI DIO'!$C$3,'OPĆI DIO'!$L$6:$U$120,9,FALSE))</f>
        <v/>
      </c>
      <c r="C488" s="84"/>
      <c r="D488" s="79" t="str">
        <f t="shared" si="0"/>
        <v/>
      </c>
      <c r="E488" s="84"/>
      <c r="F488" s="79" t="str">
        <f t="shared" si="1"/>
        <v/>
      </c>
      <c r="G488" s="84"/>
      <c r="H488" s="79" t="str">
        <f t="shared" si="46"/>
        <v/>
      </c>
      <c r="I488" s="79" t="str">
        <f t="shared" si="47"/>
        <v/>
      </c>
      <c r="J488" s="67"/>
      <c r="K488" s="67"/>
      <c r="L488" s="67"/>
      <c r="M488" s="68"/>
      <c r="N488" s="51"/>
      <c r="O488" s="51" t="str">
        <f t="shared" si="4"/>
        <v/>
      </c>
      <c r="P488" s="51" t="str">
        <f t="shared" si="5"/>
        <v/>
      </c>
      <c r="Q488" s="51" t="str">
        <f t="shared" si="6"/>
        <v/>
      </c>
      <c r="R488" s="51" t="str">
        <f t="shared" si="7"/>
        <v/>
      </c>
      <c r="S488" s="51"/>
      <c r="T488" s="51"/>
      <c r="U488" s="51"/>
      <c r="V488" s="51"/>
      <c r="W488" s="51"/>
      <c r="X488" s="51"/>
      <c r="Y488" s="82"/>
      <c r="Z488" s="51"/>
      <c r="AA488" s="51"/>
      <c r="AB488" s="51"/>
      <c r="AC488" s="51"/>
      <c r="AD488" s="51"/>
      <c r="AE488" s="51"/>
      <c r="AF488" s="51"/>
      <c r="AG488" s="51"/>
    </row>
    <row r="489" spans="1:33" ht="15.75" customHeight="1">
      <c r="A489" s="79" t="str">
        <f>IF(C489="","",VLOOKUP('OPĆI DIO'!$C$3,'OPĆI DIO'!$L$6:$U$120,10,FALSE))</f>
        <v/>
      </c>
      <c r="B489" s="79" t="str">
        <f>IF(C489="","",VLOOKUP('OPĆI DIO'!$C$3,'OPĆI DIO'!$L$6:$U$120,9,FALSE))</f>
        <v/>
      </c>
      <c r="C489" s="84"/>
      <c r="D489" s="79" t="str">
        <f t="shared" si="0"/>
        <v/>
      </c>
      <c r="E489" s="84"/>
      <c r="F489" s="79" t="str">
        <f t="shared" si="1"/>
        <v/>
      </c>
      <c r="G489" s="84"/>
      <c r="H489" s="79" t="str">
        <f t="shared" si="46"/>
        <v/>
      </c>
      <c r="I489" s="79" t="str">
        <f t="shared" si="47"/>
        <v/>
      </c>
      <c r="J489" s="67"/>
      <c r="K489" s="67"/>
      <c r="L489" s="67"/>
      <c r="M489" s="68"/>
      <c r="N489" s="51"/>
      <c r="O489" s="51" t="str">
        <f t="shared" si="4"/>
        <v/>
      </c>
      <c r="P489" s="51" t="str">
        <f t="shared" si="5"/>
        <v/>
      </c>
      <c r="Q489" s="51" t="str">
        <f t="shared" si="6"/>
        <v/>
      </c>
      <c r="R489" s="51" t="str">
        <f t="shared" si="7"/>
        <v/>
      </c>
      <c r="S489" s="51"/>
      <c r="T489" s="51"/>
      <c r="U489" s="51"/>
      <c r="V489" s="51"/>
      <c r="W489" s="51"/>
      <c r="X489" s="51"/>
      <c r="Y489" s="82"/>
      <c r="Z489" s="51"/>
      <c r="AA489" s="51"/>
      <c r="AB489" s="51"/>
      <c r="AC489" s="51"/>
      <c r="AD489" s="51"/>
      <c r="AE489" s="51"/>
      <c r="AF489" s="51"/>
      <c r="AG489" s="51"/>
    </row>
    <row r="490" spans="1:33" ht="15.75" customHeight="1">
      <c r="A490" s="79" t="str">
        <f>IF(C490="","",VLOOKUP('OPĆI DIO'!$C$3,'OPĆI DIO'!$L$6:$U$120,10,FALSE))</f>
        <v/>
      </c>
      <c r="B490" s="79" t="str">
        <f>IF(C490="","",VLOOKUP('OPĆI DIO'!$C$3,'OPĆI DIO'!$L$6:$U$120,9,FALSE))</f>
        <v/>
      </c>
      <c r="C490" s="84"/>
      <c r="D490" s="79" t="str">
        <f t="shared" si="0"/>
        <v/>
      </c>
      <c r="E490" s="84"/>
      <c r="F490" s="79" t="str">
        <f t="shared" si="1"/>
        <v/>
      </c>
      <c r="G490" s="84"/>
      <c r="H490" s="79" t="str">
        <f t="shared" si="46"/>
        <v/>
      </c>
      <c r="I490" s="79" t="str">
        <f t="shared" si="47"/>
        <v/>
      </c>
      <c r="J490" s="67"/>
      <c r="K490" s="67"/>
      <c r="L490" s="67"/>
      <c r="M490" s="68"/>
      <c r="N490" s="51"/>
      <c r="O490" s="51" t="str">
        <f t="shared" si="4"/>
        <v/>
      </c>
      <c r="P490" s="51" t="str">
        <f t="shared" si="5"/>
        <v/>
      </c>
      <c r="Q490" s="51" t="str">
        <f t="shared" si="6"/>
        <v/>
      </c>
      <c r="R490" s="51" t="str">
        <f t="shared" si="7"/>
        <v/>
      </c>
      <c r="S490" s="51"/>
      <c r="T490" s="51"/>
      <c r="U490" s="51"/>
      <c r="V490" s="51"/>
      <c r="W490" s="51"/>
      <c r="X490" s="51"/>
      <c r="Y490" s="82"/>
      <c r="Z490" s="51"/>
      <c r="AA490" s="51"/>
      <c r="AB490" s="51"/>
      <c r="AC490" s="51"/>
      <c r="AD490" s="51"/>
      <c r="AE490" s="51"/>
      <c r="AF490" s="51"/>
      <c r="AG490" s="51"/>
    </row>
    <row r="491" spans="1:33" ht="15.75" customHeight="1">
      <c r="A491" s="79" t="str">
        <f>IF(C491="","",VLOOKUP('OPĆI DIO'!$C$3,'OPĆI DIO'!$L$6:$U$120,10,FALSE))</f>
        <v/>
      </c>
      <c r="B491" s="79" t="str">
        <f>IF(C491="","",VLOOKUP('OPĆI DIO'!$C$3,'OPĆI DIO'!$L$6:$U$120,9,FALSE))</f>
        <v/>
      </c>
      <c r="C491" s="84"/>
      <c r="D491" s="79" t="str">
        <f t="shared" si="0"/>
        <v/>
      </c>
      <c r="E491" s="84"/>
      <c r="F491" s="79" t="str">
        <f t="shared" si="1"/>
        <v/>
      </c>
      <c r="G491" s="84"/>
      <c r="H491" s="79" t="str">
        <f t="shared" si="46"/>
        <v/>
      </c>
      <c r="I491" s="79" t="str">
        <f t="shared" si="47"/>
        <v/>
      </c>
      <c r="J491" s="67"/>
      <c r="K491" s="67"/>
      <c r="L491" s="67"/>
      <c r="M491" s="68"/>
      <c r="N491" s="51"/>
      <c r="O491" s="51" t="str">
        <f t="shared" si="4"/>
        <v/>
      </c>
      <c r="P491" s="51" t="str">
        <f t="shared" si="5"/>
        <v/>
      </c>
      <c r="Q491" s="51" t="str">
        <f t="shared" si="6"/>
        <v/>
      </c>
      <c r="R491" s="51" t="str">
        <f t="shared" si="7"/>
        <v/>
      </c>
      <c r="S491" s="51"/>
      <c r="T491" s="51"/>
      <c r="U491" s="51"/>
      <c r="V491" s="51"/>
      <c r="W491" s="51"/>
      <c r="X491" s="51"/>
      <c r="Y491" s="82"/>
      <c r="Z491" s="51"/>
      <c r="AA491" s="51"/>
      <c r="AB491" s="51"/>
      <c r="AC491" s="51"/>
      <c r="AD491" s="51"/>
      <c r="AE491" s="51"/>
      <c r="AF491" s="51"/>
      <c r="AG491" s="51"/>
    </row>
    <row r="492" spans="1:33" ht="15.75" customHeight="1">
      <c r="A492" s="79" t="str">
        <f>IF(C492="","",VLOOKUP('OPĆI DIO'!$C$3,'OPĆI DIO'!$L$6:$U$120,10,FALSE))</f>
        <v/>
      </c>
      <c r="B492" s="79" t="str">
        <f>IF(C492="","",VLOOKUP('OPĆI DIO'!$C$3,'OPĆI DIO'!$L$6:$U$120,9,FALSE))</f>
        <v/>
      </c>
      <c r="C492" s="84"/>
      <c r="D492" s="79" t="str">
        <f t="shared" si="0"/>
        <v/>
      </c>
      <c r="E492" s="84"/>
      <c r="F492" s="79" t="str">
        <f t="shared" si="1"/>
        <v/>
      </c>
      <c r="G492" s="84"/>
      <c r="H492" s="79" t="str">
        <f t="shared" si="46"/>
        <v/>
      </c>
      <c r="I492" s="79" t="str">
        <f t="shared" si="47"/>
        <v/>
      </c>
      <c r="J492" s="67"/>
      <c r="K492" s="67"/>
      <c r="L492" s="67"/>
      <c r="M492" s="68"/>
      <c r="N492" s="51"/>
      <c r="O492" s="51" t="str">
        <f t="shared" si="4"/>
        <v/>
      </c>
      <c r="P492" s="51" t="str">
        <f t="shared" si="5"/>
        <v/>
      </c>
      <c r="Q492" s="51" t="str">
        <f t="shared" si="6"/>
        <v/>
      </c>
      <c r="R492" s="51" t="str">
        <f t="shared" si="7"/>
        <v/>
      </c>
      <c r="S492" s="51"/>
      <c r="T492" s="51"/>
      <c r="U492" s="51"/>
      <c r="V492" s="51"/>
      <c r="W492" s="51"/>
      <c r="X492" s="51"/>
      <c r="Y492" s="82"/>
      <c r="Z492" s="51"/>
      <c r="AA492" s="51"/>
      <c r="AB492" s="51"/>
      <c r="AC492" s="51"/>
      <c r="AD492" s="51"/>
      <c r="AE492" s="51"/>
      <c r="AF492" s="51"/>
      <c r="AG492" s="51"/>
    </row>
    <row r="493" spans="1:33" ht="15.75" customHeight="1">
      <c r="A493" s="79" t="str">
        <f>IF(C493="","",VLOOKUP('OPĆI DIO'!$C$3,'OPĆI DIO'!$L$6:$U$120,10,FALSE))</f>
        <v/>
      </c>
      <c r="B493" s="79" t="str">
        <f>IF(C493="","",VLOOKUP('OPĆI DIO'!$C$3,'OPĆI DIO'!$L$6:$U$120,9,FALSE))</f>
        <v/>
      </c>
      <c r="C493" s="84"/>
      <c r="D493" s="79" t="str">
        <f t="shared" si="0"/>
        <v/>
      </c>
      <c r="E493" s="84"/>
      <c r="F493" s="79" t="str">
        <f t="shared" si="1"/>
        <v/>
      </c>
      <c r="G493" s="84"/>
      <c r="H493" s="79" t="str">
        <f t="shared" si="46"/>
        <v/>
      </c>
      <c r="I493" s="79" t="str">
        <f t="shared" si="47"/>
        <v/>
      </c>
      <c r="J493" s="67"/>
      <c r="K493" s="67"/>
      <c r="L493" s="67"/>
      <c r="M493" s="68"/>
      <c r="N493" s="51"/>
      <c r="O493" s="51" t="str">
        <f t="shared" si="4"/>
        <v/>
      </c>
      <c r="P493" s="51" t="str">
        <f t="shared" si="5"/>
        <v/>
      </c>
      <c r="Q493" s="51" t="str">
        <f t="shared" si="6"/>
        <v/>
      </c>
      <c r="R493" s="51" t="str">
        <f t="shared" si="7"/>
        <v/>
      </c>
      <c r="S493" s="51"/>
      <c r="T493" s="51"/>
      <c r="U493" s="51"/>
      <c r="V493" s="51"/>
      <c r="W493" s="51"/>
      <c r="X493" s="51"/>
      <c r="Y493" s="82"/>
      <c r="Z493" s="51"/>
      <c r="AA493" s="51"/>
      <c r="AB493" s="51"/>
      <c r="AC493" s="51"/>
      <c r="AD493" s="51"/>
      <c r="AE493" s="51"/>
      <c r="AF493" s="51"/>
      <c r="AG493" s="51"/>
    </row>
    <row r="494" spans="1:33" ht="15.75" customHeight="1">
      <c r="A494" s="79" t="str">
        <f>IF(C494="","",VLOOKUP('OPĆI DIO'!$C$3,'OPĆI DIO'!$L$6:$U$120,10,FALSE))</f>
        <v/>
      </c>
      <c r="B494" s="79" t="str">
        <f>IF(C494="","",VLOOKUP('OPĆI DIO'!$C$3,'OPĆI DIO'!$L$6:$U$120,9,FALSE))</f>
        <v/>
      </c>
      <c r="C494" s="84"/>
      <c r="D494" s="79" t="str">
        <f t="shared" si="0"/>
        <v/>
      </c>
      <c r="E494" s="84"/>
      <c r="F494" s="79" t="str">
        <f t="shared" si="1"/>
        <v/>
      </c>
      <c r="G494" s="84"/>
      <c r="H494" s="79" t="str">
        <f t="shared" si="46"/>
        <v/>
      </c>
      <c r="I494" s="79" t="str">
        <f t="shared" si="47"/>
        <v/>
      </c>
      <c r="J494" s="67"/>
      <c r="K494" s="67"/>
      <c r="L494" s="67"/>
      <c r="M494" s="68"/>
      <c r="N494" s="51"/>
      <c r="O494" s="51" t="str">
        <f t="shared" si="4"/>
        <v/>
      </c>
      <c r="P494" s="51" t="str">
        <f t="shared" si="5"/>
        <v/>
      </c>
      <c r="Q494" s="51" t="str">
        <f t="shared" si="6"/>
        <v/>
      </c>
      <c r="R494" s="51" t="str">
        <f t="shared" si="7"/>
        <v/>
      </c>
      <c r="S494" s="51"/>
      <c r="T494" s="51"/>
      <c r="U494" s="51"/>
      <c r="V494" s="51"/>
      <c r="W494" s="51"/>
      <c r="X494" s="51"/>
      <c r="Y494" s="82"/>
      <c r="Z494" s="51"/>
      <c r="AA494" s="51"/>
      <c r="AB494" s="51"/>
      <c r="AC494" s="51"/>
      <c r="AD494" s="51"/>
      <c r="AE494" s="51"/>
      <c r="AF494" s="51"/>
      <c r="AG494" s="51"/>
    </row>
    <row r="495" spans="1:33" ht="15.75" customHeight="1">
      <c r="A495" s="79" t="str">
        <f>IF(C495="","",VLOOKUP('OPĆI DIO'!$C$3,'OPĆI DIO'!$L$6:$U$120,10,FALSE))</f>
        <v/>
      </c>
      <c r="B495" s="79" t="str">
        <f>IF(C495="","",VLOOKUP('OPĆI DIO'!$C$3,'OPĆI DIO'!$L$6:$U$120,9,FALSE))</f>
        <v/>
      </c>
      <c r="C495" s="84"/>
      <c r="D495" s="79" t="str">
        <f t="shared" si="0"/>
        <v/>
      </c>
      <c r="E495" s="84"/>
      <c r="F495" s="79" t="str">
        <f t="shared" si="1"/>
        <v/>
      </c>
      <c r="G495" s="84"/>
      <c r="H495" s="79" t="str">
        <f t="shared" si="46"/>
        <v/>
      </c>
      <c r="I495" s="79" t="str">
        <f t="shared" si="47"/>
        <v/>
      </c>
      <c r="J495" s="67"/>
      <c r="K495" s="67"/>
      <c r="L495" s="67"/>
      <c r="M495" s="68"/>
      <c r="N495" s="51"/>
      <c r="O495" s="51" t="str">
        <f t="shared" si="4"/>
        <v/>
      </c>
      <c r="P495" s="51" t="str">
        <f t="shared" si="5"/>
        <v/>
      </c>
      <c r="Q495" s="51" t="str">
        <f t="shared" si="6"/>
        <v/>
      </c>
      <c r="R495" s="51" t="str">
        <f t="shared" si="7"/>
        <v/>
      </c>
      <c r="S495" s="51"/>
      <c r="T495" s="51"/>
      <c r="U495" s="51"/>
      <c r="V495" s="51"/>
      <c r="W495" s="51"/>
      <c r="X495" s="51"/>
      <c r="Y495" s="82"/>
      <c r="Z495" s="51"/>
      <c r="AA495" s="51"/>
      <c r="AB495" s="51"/>
      <c r="AC495" s="51"/>
      <c r="AD495" s="51"/>
      <c r="AE495" s="51"/>
      <c r="AF495" s="51"/>
      <c r="AG495" s="51"/>
    </row>
    <row r="496" spans="1:33" ht="15.75" customHeight="1">
      <c r="A496" s="79" t="str">
        <f>IF(C496="","",VLOOKUP('OPĆI DIO'!$C$3,'OPĆI DIO'!$L$6:$U$120,10,FALSE))</f>
        <v/>
      </c>
      <c r="B496" s="79" t="str">
        <f>IF(C496="","",VLOOKUP('OPĆI DIO'!$C$3,'OPĆI DIO'!$L$6:$U$120,9,FALSE))</f>
        <v/>
      </c>
      <c r="C496" s="84"/>
      <c r="D496" s="79" t="str">
        <f t="shared" si="0"/>
        <v/>
      </c>
      <c r="E496" s="84"/>
      <c r="F496" s="79" t="str">
        <f t="shared" si="1"/>
        <v/>
      </c>
      <c r="G496" s="84"/>
      <c r="H496" s="79" t="str">
        <f t="shared" si="46"/>
        <v/>
      </c>
      <c r="I496" s="79" t="str">
        <f t="shared" si="47"/>
        <v/>
      </c>
      <c r="J496" s="67"/>
      <c r="K496" s="67"/>
      <c r="L496" s="67"/>
      <c r="M496" s="68"/>
      <c r="N496" s="51"/>
      <c r="O496" s="51" t="str">
        <f t="shared" si="4"/>
        <v/>
      </c>
      <c r="P496" s="51" t="str">
        <f t="shared" si="5"/>
        <v/>
      </c>
      <c r="Q496" s="51" t="str">
        <f t="shared" si="6"/>
        <v/>
      </c>
      <c r="R496" s="51" t="str">
        <f t="shared" si="7"/>
        <v/>
      </c>
      <c r="S496" s="51"/>
      <c r="T496" s="51"/>
      <c r="U496" s="51"/>
      <c r="V496" s="51"/>
      <c r="W496" s="51"/>
      <c r="X496" s="51"/>
      <c r="Y496" s="82"/>
      <c r="Z496" s="51"/>
      <c r="AA496" s="51"/>
      <c r="AB496" s="51"/>
      <c r="AC496" s="51"/>
      <c r="AD496" s="51"/>
      <c r="AE496" s="51"/>
      <c r="AF496" s="51"/>
      <c r="AG496" s="51"/>
    </row>
    <row r="497" spans="1:33" ht="15.75" customHeight="1">
      <c r="A497" s="79" t="str">
        <f>IF(C497="","",VLOOKUP('OPĆI DIO'!$C$3,'OPĆI DIO'!$L$6:$U$120,10,FALSE))</f>
        <v/>
      </c>
      <c r="B497" s="79" t="str">
        <f>IF(C497="","",VLOOKUP('OPĆI DIO'!$C$3,'OPĆI DIO'!$L$6:$U$120,9,FALSE))</f>
        <v/>
      </c>
      <c r="C497" s="84"/>
      <c r="D497" s="79" t="str">
        <f t="shared" si="0"/>
        <v/>
      </c>
      <c r="E497" s="84"/>
      <c r="F497" s="79" t="str">
        <f t="shared" si="1"/>
        <v/>
      </c>
      <c r="G497" s="84"/>
      <c r="H497" s="79" t="str">
        <f t="shared" si="46"/>
        <v/>
      </c>
      <c r="I497" s="79" t="str">
        <f t="shared" si="47"/>
        <v/>
      </c>
      <c r="J497" s="67"/>
      <c r="K497" s="67"/>
      <c r="L497" s="67"/>
      <c r="M497" s="68"/>
      <c r="N497" s="51"/>
      <c r="O497" s="51" t="str">
        <f t="shared" si="4"/>
        <v/>
      </c>
      <c r="P497" s="51" t="str">
        <f t="shared" si="5"/>
        <v/>
      </c>
      <c r="Q497" s="51" t="str">
        <f t="shared" si="6"/>
        <v/>
      </c>
      <c r="R497" s="51" t="str">
        <f t="shared" si="7"/>
        <v/>
      </c>
      <c r="S497" s="51"/>
      <c r="T497" s="51"/>
      <c r="U497" s="51"/>
      <c r="V497" s="51"/>
      <c r="W497" s="51"/>
      <c r="X497" s="51"/>
      <c r="Y497" s="82"/>
      <c r="Z497" s="51"/>
      <c r="AA497" s="51"/>
      <c r="AB497" s="51"/>
      <c r="AC497" s="51"/>
      <c r="AD497" s="51"/>
      <c r="AE497" s="51"/>
      <c r="AF497" s="51"/>
      <c r="AG497" s="51"/>
    </row>
    <row r="498" spans="1:33" ht="15.75" customHeight="1">
      <c r="A498" s="79" t="str">
        <f>IF(C498="","",VLOOKUP('OPĆI DIO'!$C$3,'OPĆI DIO'!$L$6:$U$120,10,FALSE))</f>
        <v/>
      </c>
      <c r="B498" s="79" t="str">
        <f>IF(C498="","",VLOOKUP('OPĆI DIO'!$C$3,'OPĆI DIO'!$L$6:$U$120,9,FALSE))</f>
        <v/>
      </c>
      <c r="C498" s="84"/>
      <c r="D498" s="79" t="str">
        <f t="shared" si="0"/>
        <v/>
      </c>
      <c r="E498" s="84"/>
      <c r="F498" s="79" t="str">
        <f t="shared" si="1"/>
        <v/>
      </c>
      <c r="G498" s="84"/>
      <c r="H498" s="79" t="str">
        <f t="shared" si="46"/>
        <v/>
      </c>
      <c r="I498" s="79" t="str">
        <f t="shared" si="47"/>
        <v/>
      </c>
      <c r="J498" s="67"/>
      <c r="K498" s="67"/>
      <c r="L498" s="67"/>
      <c r="M498" s="68"/>
      <c r="N498" s="51"/>
      <c r="O498" s="51" t="str">
        <f t="shared" si="4"/>
        <v/>
      </c>
      <c r="P498" s="51" t="str">
        <f t="shared" si="5"/>
        <v/>
      </c>
      <c r="Q498" s="51" t="str">
        <f t="shared" si="6"/>
        <v/>
      </c>
      <c r="R498" s="51" t="str">
        <f t="shared" si="7"/>
        <v/>
      </c>
      <c r="S498" s="51"/>
      <c r="T498" s="51"/>
      <c r="U498" s="51"/>
      <c r="V498" s="51"/>
      <c r="W498" s="51"/>
      <c r="X498" s="51"/>
      <c r="Y498" s="82"/>
      <c r="Z498" s="51"/>
      <c r="AA498" s="51"/>
      <c r="AB498" s="51"/>
      <c r="AC498" s="51"/>
      <c r="AD498" s="51"/>
      <c r="AE498" s="51"/>
      <c r="AF498" s="51"/>
      <c r="AG498" s="51"/>
    </row>
    <row r="499" spans="1:33" ht="15.75" customHeight="1">
      <c r="A499" s="79" t="str">
        <f>IF(C499="","",VLOOKUP('OPĆI DIO'!$C$3,'OPĆI DIO'!$L$6:$U$120,10,FALSE))</f>
        <v/>
      </c>
      <c r="B499" s="79" t="str">
        <f>IF(C499="","",VLOOKUP('OPĆI DIO'!$C$3,'OPĆI DIO'!$L$6:$U$120,9,FALSE))</f>
        <v/>
      </c>
      <c r="C499" s="84"/>
      <c r="D499" s="79" t="str">
        <f t="shared" si="0"/>
        <v/>
      </c>
      <c r="E499" s="84"/>
      <c r="F499" s="79" t="str">
        <f t="shared" si="1"/>
        <v/>
      </c>
      <c r="G499" s="84"/>
      <c r="H499" s="79" t="str">
        <f t="shared" si="46"/>
        <v/>
      </c>
      <c r="I499" s="79" t="str">
        <f t="shared" si="47"/>
        <v/>
      </c>
      <c r="J499" s="67"/>
      <c r="K499" s="67"/>
      <c r="L499" s="67"/>
      <c r="M499" s="68"/>
      <c r="N499" s="51"/>
      <c r="O499" s="51" t="str">
        <f t="shared" si="4"/>
        <v/>
      </c>
      <c r="P499" s="51" t="str">
        <f t="shared" si="5"/>
        <v/>
      </c>
      <c r="Q499" s="51" t="str">
        <f t="shared" si="6"/>
        <v/>
      </c>
      <c r="R499" s="51" t="str">
        <f t="shared" si="7"/>
        <v/>
      </c>
      <c r="S499" s="51"/>
      <c r="T499" s="51"/>
      <c r="U499" s="51"/>
      <c r="V499" s="51"/>
      <c r="W499" s="51"/>
      <c r="X499" s="51"/>
      <c r="Y499" s="82"/>
      <c r="Z499" s="51"/>
      <c r="AA499" s="51"/>
      <c r="AB499" s="51"/>
      <c r="AC499" s="51"/>
      <c r="AD499" s="51"/>
      <c r="AE499" s="51"/>
      <c r="AF499" s="51"/>
      <c r="AG499" s="51"/>
    </row>
    <row r="500" spans="1:33" ht="15.75" customHeight="1">
      <c r="A500" s="79" t="str">
        <f>IF(C500="","",VLOOKUP('OPĆI DIO'!$C$3,'OPĆI DIO'!$L$6:$U$120,10,FALSE))</f>
        <v/>
      </c>
      <c r="B500" s="79" t="str">
        <f>IF(C500="","",VLOOKUP('OPĆI DIO'!$C$3,'OPĆI DIO'!$L$6:$U$120,9,FALSE))</f>
        <v/>
      </c>
      <c r="C500" s="84"/>
      <c r="D500" s="79" t="str">
        <f t="shared" si="0"/>
        <v/>
      </c>
      <c r="E500" s="84"/>
      <c r="F500" s="79" t="str">
        <f t="shared" si="1"/>
        <v/>
      </c>
      <c r="G500" s="84"/>
      <c r="H500" s="79" t="str">
        <f t="shared" si="46"/>
        <v/>
      </c>
      <c r="I500" s="79" t="str">
        <f t="shared" si="47"/>
        <v/>
      </c>
      <c r="J500" s="67"/>
      <c r="K500" s="67"/>
      <c r="L500" s="67"/>
      <c r="M500" s="68"/>
      <c r="N500" s="51"/>
      <c r="O500" s="51" t="str">
        <f t="shared" si="4"/>
        <v/>
      </c>
      <c r="P500" s="51" t="str">
        <f t="shared" si="5"/>
        <v/>
      </c>
      <c r="Q500" s="51" t="str">
        <f t="shared" si="6"/>
        <v/>
      </c>
      <c r="R500" s="51" t="str">
        <f t="shared" si="7"/>
        <v/>
      </c>
      <c r="S500" s="51"/>
      <c r="T500" s="51"/>
      <c r="U500" s="51"/>
      <c r="V500" s="51"/>
      <c r="W500" s="51"/>
      <c r="X500" s="51"/>
      <c r="Y500" s="82"/>
      <c r="Z500" s="51"/>
      <c r="AA500" s="51"/>
      <c r="AB500" s="51"/>
      <c r="AC500" s="51"/>
      <c r="AD500" s="51"/>
      <c r="AE500" s="51"/>
      <c r="AF500" s="51"/>
      <c r="AG500" s="51"/>
    </row>
    <row r="501" spans="1:33" ht="15.75" customHeight="1">
      <c r="A501" s="79" t="str">
        <f>IF(C501="","",VLOOKUP('OPĆI DIO'!$C$3,'OPĆI DIO'!$L$6:$U$120,10,FALSE))</f>
        <v/>
      </c>
      <c r="B501" s="79" t="str">
        <f>IF(C501="","",VLOOKUP('OPĆI DIO'!$C$3,'OPĆI DIO'!$L$6:$U$120,9,FALSE))</f>
        <v/>
      </c>
      <c r="C501" s="84"/>
      <c r="D501" s="79" t="str">
        <f t="shared" si="0"/>
        <v/>
      </c>
      <c r="E501" s="84"/>
      <c r="F501" s="79" t="str">
        <f t="shared" si="1"/>
        <v/>
      </c>
      <c r="G501" s="84"/>
      <c r="H501" s="79" t="str">
        <f t="shared" si="46"/>
        <v/>
      </c>
      <c r="I501" s="79" t="str">
        <f t="shared" si="47"/>
        <v/>
      </c>
      <c r="J501" s="67"/>
      <c r="K501" s="67"/>
      <c r="L501" s="67"/>
      <c r="M501" s="68"/>
      <c r="N501" s="51"/>
      <c r="O501" s="51" t="str">
        <f t="shared" si="4"/>
        <v/>
      </c>
      <c r="P501" s="51" t="str">
        <f t="shared" si="5"/>
        <v/>
      </c>
      <c r="Q501" s="51" t="str">
        <f t="shared" si="6"/>
        <v/>
      </c>
      <c r="R501" s="51" t="str">
        <f t="shared" si="7"/>
        <v/>
      </c>
      <c r="S501" s="51"/>
      <c r="T501" s="51"/>
      <c r="U501" s="51"/>
      <c r="V501" s="51"/>
      <c r="W501" s="51"/>
      <c r="X501" s="51"/>
      <c r="Y501" s="82"/>
      <c r="Z501" s="51"/>
      <c r="AA501" s="51"/>
      <c r="AB501" s="51"/>
      <c r="AC501" s="51"/>
      <c r="AD501" s="51"/>
      <c r="AE501" s="51"/>
      <c r="AF501" s="51"/>
      <c r="AG501" s="51"/>
    </row>
    <row r="502" spans="1:33" ht="15.75" customHeight="1">
      <c r="A502" s="79" t="str">
        <f>IF(C502="","",VLOOKUP('OPĆI DIO'!$C$3,'OPĆI DIO'!$L$6:$U$120,10,FALSE))</f>
        <v/>
      </c>
      <c r="B502" s="79" t="str">
        <f>IF(C502="","",VLOOKUP('OPĆI DIO'!$C$3,'OPĆI DIO'!$L$6:$U$120,9,FALSE))</f>
        <v/>
      </c>
      <c r="C502" s="84"/>
      <c r="D502" s="79" t="str">
        <f t="shared" si="0"/>
        <v/>
      </c>
      <c r="E502" s="84"/>
      <c r="F502" s="79" t="str">
        <f t="shared" si="1"/>
        <v/>
      </c>
      <c r="G502" s="84"/>
      <c r="H502" s="79" t="str">
        <f t="shared" si="46"/>
        <v/>
      </c>
      <c r="I502" s="79" t="str">
        <f t="shared" si="47"/>
        <v/>
      </c>
      <c r="J502" s="67"/>
      <c r="K502" s="67"/>
      <c r="L502" s="67"/>
      <c r="M502" s="68"/>
      <c r="N502" s="51"/>
      <c r="O502" s="51" t="str">
        <f t="shared" si="4"/>
        <v/>
      </c>
      <c r="P502" s="51" t="str">
        <f t="shared" si="5"/>
        <v/>
      </c>
      <c r="Q502" s="51" t="str">
        <f t="shared" si="6"/>
        <v/>
      </c>
      <c r="R502" s="51" t="str">
        <f t="shared" si="7"/>
        <v/>
      </c>
      <c r="S502" s="51"/>
      <c r="T502" s="51"/>
      <c r="U502" s="51"/>
      <c r="V502" s="51"/>
      <c r="W502" s="51"/>
      <c r="X502" s="51"/>
      <c r="Y502" s="82"/>
      <c r="Z502" s="51"/>
      <c r="AA502" s="51"/>
      <c r="AB502" s="51"/>
      <c r="AC502" s="51"/>
      <c r="AD502" s="51"/>
      <c r="AE502" s="51"/>
      <c r="AF502" s="51"/>
      <c r="AG502" s="51"/>
    </row>
    <row r="503" spans="1:33" ht="15.75" customHeight="1">
      <c r="A503" s="79" t="str">
        <f>IF(C503="","",VLOOKUP('OPĆI DIO'!$C$3,'OPĆI DIO'!$L$6:$U$120,10,FALSE))</f>
        <v/>
      </c>
      <c r="B503" s="79" t="str">
        <f>IF(C503="","",VLOOKUP('OPĆI DIO'!$C$3,'OPĆI DIO'!$L$6:$U$120,9,FALSE))</f>
        <v/>
      </c>
      <c r="C503" s="84"/>
      <c r="D503" s="79" t="str">
        <f t="shared" si="0"/>
        <v/>
      </c>
      <c r="E503" s="84"/>
      <c r="F503" s="79" t="str">
        <f t="shared" si="1"/>
        <v/>
      </c>
      <c r="G503" s="84"/>
      <c r="H503" s="79" t="str">
        <f t="shared" si="46"/>
        <v/>
      </c>
      <c r="I503" s="79" t="str">
        <f t="shared" si="47"/>
        <v/>
      </c>
      <c r="J503" s="67"/>
      <c r="K503" s="67"/>
      <c r="L503" s="67"/>
      <c r="M503" s="68"/>
      <c r="N503" s="51"/>
      <c r="O503" s="51" t="str">
        <f t="shared" si="4"/>
        <v/>
      </c>
      <c r="P503" s="51" t="str">
        <f t="shared" si="5"/>
        <v/>
      </c>
      <c r="Q503" s="51" t="str">
        <f t="shared" si="6"/>
        <v/>
      </c>
      <c r="R503" s="51" t="str">
        <f t="shared" si="7"/>
        <v/>
      </c>
      <c r="S503" s="51"/>
      <c r="T503" s="51"/>
      <c r="U503" s="51"/>
      <c r="V503" s="51"/>
      <c r="W503" s="51"/>
      <c r="X503" s="51"/>
      <c r="Y503" s="82"/>
      <c r="Z503" s="51"/>
      <c r="AA503" s="51"/>
      <c r="AB503" s="51"/>
      <c r="AC503" s="51"/>
      <c r="AD503" s="51"/>
      <c r="AE503" s="51"/>
      <c r="AF503" s="51"/>
      <c r="AG503" s="51"/>
    </row>
    <row r="504" spans="1:33" ht="15.75" customHeight="1">
      <c r="A504" s="79" t="str">
        <f>IF(C504="","",VLOOKUP('OPĆI DIO'!$C$3,'OPĆI DIO'!$L$6:$U$120,10,FALSE))</f>
        <v/>
      </c>
      <c r="B504" s="79" t="str">
        <f>IF(C504="","",VLOOKUP('OPĆI DIO'!$C$3,'OPĆI DIO'!$L$6:$U$120,9,FALSE))</f>
        <v/>
      </c>
      <c r="C504" s="84"/>
      <c r="D504" s="79" t="str">
        <f t="shared" si="0"/>
        <v/>
      </c>
      <c r="E504" s="84"/>
      <c r="F504" s="79" t="str">
        <f t="shared" si="1"/>
        <v/>
      </c>
      <c r="G504" s="84"/>
      <c r="H504" s="79" t="str">
        <f t="shared" si="46"/>
        <v/>
      </c>
      <c r="I504" s="79" t="str">
        <f t="shared" si="47"/>
        <v/>
      </c>
      <c r="J504" s="67"/>
      <c r="K504" s="67"/>
      <c r="L504" s="67"/>
      <c r="M504" s="68"/>
      <c r="N504" s="51"/>
      <c r="O504" s="51" t="str">
        <f t="shared" si="4"/>
        <v/>
      </c>
      <c r="P504" s="51" t="str">
        <f t="shared" si="5"/>
        <v/>
      </c>
      <c r="Q504" s="51" t="str">
        <f t="shared" si="6"/>
        <v/>
      </c>
      <c r="R504" s="51" t="str">
        <f t="shared" si="7"/>
        <v/>
      </c>
      <c r="S504" s="51"/>
      <c r="T504" s="51"/>
      <c r="U504" s="51"/>
      <c r="V504" s="51"/>
      <c r="W504" s="51"/>
      <c r="X504" s="51"/>
      <c r="Y504" s="82"/>
      <c r="Z504" s="51"/>
      <c r="AA504" s="51"/>
      <c r="AB504" s="51"/>
      <c r="AC504" s="51"/>
      <c r="AD504" s="51"/>
      <c r="AE504" s="51"/>
      <c r="AF504" s="51"/>
      <c r="AG504" s="51"/>
    </row>
    <row r="505" spans="1:33" ht="15.75" customHeight="1">
      <c r="A505" s="79" t="str">
        <f>IF(C505="","",VLOOKUP('OPĆI DIO'!$C$3,'OPĆI DIO'!$L$6:$U$120,10,FALSE))</f>
        <v/>
      </c>
      <c r="B505" s="79" t="str">
        <f>IF(C505="","",VLOOKUP('OPĆI DIO'!$C$3,'OPĆI DIO'!$L$6:$U$120,9,FALSE))</f>
        <v/>
      </c>
      <c r="C505" s="84"/>
      <c r="D505" s="79" t="str">
        <f t="shared" si="0"/>
        <v/>
      </c>
      <c r="E505" s="84"/>
      <c r="F505" s="79" t="str">
        <f t="shared" si="1"/>
        <v/>
      </c>
      <c r="G505" s="84"/>
      <c r="H505" s="79" t="str">
        <f t="shared" si="46"/>
        <v/>
      </c>
      <c r="I505" s="79" t="str">
        <f t="shared" si="47"/>
        <v/>
      </c>
      <c r="J505" s="67"/>
      <c r="K505" s="67"/>
      <c r="L505" s="67"/>
      <c r="M505" s="68"/>
      <c r="N505" s="51"/>
      <c r="O505" s="51" t="str">
        <f t="shared" si="4"/>
        <v/>
      </c>
      <c r="P505" s="51" t="str">
        <f t="shared" si="5"/>
        <v/>
      </c>
      <c r="Q505" s="51" t="str">
        <f t="shared" si="6"/>
        <v/>
      </c>
      <c r="R505" s="51" t="str">
        <f t="shared" si="7"/>
        <v/>
      </c>
      <c r="S505" s="51"/>
      <c r="T505" s="51"/>
      <c r="U505" s="51"/>
      <c r="V505" s="51"/>
      <c r="W505" s="51"/>
      <c r="X505" s="51"/>
      <c r="Y505" s="82"/>
      <c r="Z505" s="51"/>
      <c r="AA505" s="51"/>
      <c r="AB505" s="51"/>
      <c r="AC505" s="51"/>
      <c r="AD505" s="51"/>
      <c r="AE505" s="51"/>
      <c r="AF505" s="51"/>
      <c r="AG505" s="51"/>
    </row>
    <row r="506" spans="1:33" ht="15.75" customHeight="1">
      <c r="A506" s="79" t="str">
        <f>IF(C506="","",VLOOKUP('OPĆI DIO'!$C$3,'OPĆI DIO'!$L$6:$U$120,10,FALSE))</f>
        <v/>
      </c>
      <c r="B506" s="79" t="str">
        <f>IF(C506="","",VLOOKUP('OPĆI DIO'!$C$3,'OPĆI DIO'!$L$6:$U$120,9,FALSE))</f>
        <v/>
      </c>
      <c r="C506" s="84"/>
      <c r="D506" s="79" t="str">
        <f t="shared" si="0"/>
        <v/>
      </c>
      <c r="E506" s="84"/>
      <c r="F506" s="79" t="str">
        <f t="shared" si="1"/>
        <v/>
      </c>
      <c r="G506" s="84"/>
      <c r="H506" s="79" t="str">
        <f t="shared" si="46"/>
        <v/>
      </c>
      <c r="I506" s="79" t="str">
        <f t="shared" si="47"/>
        <v/>
      </c>
      <c r="J506" s="67"/>
      <c r="K506" s="67"/>
      <c r="L506" s="67"/>
      <c r="M506" s="68"/>
      <c r="N506" s="51"/>
      <c r="O506" s="51" t="str">
        <f t="shared" si="4"/>
        <v/>
      </c>
      <c r="P506" s="51" t="str">
        <f t="shared" si="5"/>
        <v/>
      </c>
      <c r="Q506" s="51" t="str">
        <f t="shared" si="6"/>
        <v/>
      </c>
      <c r="R506" s="51" t="str">
        <f t="shared" si="7"/>
        <v/>
      </c>
      <c r="S506" s="51"/>
      <c r="T506" s="51"/>
      <c r="U506" s="51"/>
      <c r="V506" s="51"/>
      <c r="W506" s="51"/>
      <c r="X506" s="51"/>
      <c r="Y506" s="82"/>
      <c r="Z506" s="51"/>
      <c r="AA506" s="51"/>
      <c r="AB506" s="51"/>
      <c r="AC506" s="51"/>
      <c r="AD506" s="51"/>
      <c r="AE506" s="51"/>
      <c r="AF506" s="51"/>
      <c r="AG506" s="51"/>
    </row>
    <row r="507" spans="1:33" ht="15.75" customHeight="1">
      <c r="A507" s="51"/>
      <c r="B507" s="51"/>
      <c r="C507" s="51"/>
      <c r="D507" s="51"/>
      <c r="E507" s="51"/>
      <c r="F507" s="51"/>
      <c r="G507" s="51"/>
      <c r="H507" s="51"/>
      <c r="I507" s="51"/>
      <c r="J507" s="55"/>
      <c r="K507" s="55"/>
      <c r="L507" s="55"/>
      <c r="M507" s="55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82"/>
      <c r="Z507" s="51"/>
      <c r="AA507" s="51"/>
      <c r="AB507" s="51"/>
      <c r="AC507" s="51"/>
      <c r="AD507" s="51"/>
      <c r="AE507" s="51"/>
      <c r="AF507" s="51"/>
      <c r="AG507" s="51"/>
    </row>
    <row r="508" spans="1:33" ht="15.75" hidden="1" customHeight="1">
      <c r="A508" s="51"/>
      <c r="B508" s="51"/>
      <c r="C508" s="51"/>
      <c r="D508" s="51"/>
      <c r="E508" s="51"/>
      <c r="F508" s="51"/>
      <c r="G508" s="51"/>
      <c r="H508" s="51"/>
      <c r="I508" s="51"/>
      <c r="J508" s="55"/>
      <c r="K508" s="55"/>
      <c r="L508" s="55"/>
      <c r="M508" s="55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82"/>
      <c r="Z508" s="51"/>
      <c r="AA508" s="51"/>
      <c r="AB508" s="51"/>
      <c r="AC508" s="51"/>
      <c r="AD508" s="51"/>
      <c r="AE508" s="51"/>
      <c r="AF508" s="51"/>
      <c r="AG508" s="51"/>
    </row>
    <row r="509" spans="1:33" ht="15.75" hidden="1" customHeight="1">
      <c r="A509" s="51"/>
      <c r="B509" s="51"/>
      <c r="C509" s="51"/>
      <c r="D509" s="51"/>
      <c r="E509" s="51"/>
      <c r="F509" s="51"/>
      <c r="G509" s="51"/>
      <c r="H509" s="51"/>
      <c r="I509" s="51"/>
      <c r="J509" s="55"/>
      <c r="K509" s="55"/>
      <c r="L509" s="55"/>
      <c r="M509" s="55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82"/>
      <c r="Z509" s="51"/>
      <c r="AA509" s="51"/>
      <c r="AB509" s="51"/>
      <c r="AC509" s="51"/>
      <c r="AD509" s="51"/>
      <c r="AE509" s="51"/>
      <c r="AF509" s="51"/>
      <c r="AG509" s="51"/>
    </row>
    <row r="510" spans="1:33" ht="15.75" hidden="1" customHeight="1">
      <c r="A510" s="51"/>
      <c r="B510" s="51"/>
      <c r="C510" s="51"/>
      <c r="D510" s="51"/>
      <c r="E510" s="51"/>
      <c r="F510" s="51"/>
      <c r="G510" s="51"/>
      <c r="H510" s="51"/>
      <c r="I510" s="51"/>
      <c r="J510" s="55"/>
      <c r="K510" s="55"/>
      <c r="L510" s="55"/>
      <c r="M510" s="55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82"/>
      <c r="Z510" s="51"/>
      <c r="AA510" s="51"/>
      <c r="AB510" s="51"/>
      <c r="AC510" s="51"/>
      <c r="AD510" s="51"/>
      <c r="AE510" s="51"/>
      <c r="AF510" s="51"/>
      <c r="AG510" s="51"/>
    </row>
    <row r="511" spans="1:33" ht="15.75" hidden="1" customHeight="1">
      <c r="A511" s="51"/>
      <c r="B511" s="51"/>
      <c r="C511" s="51"/>
      <c r="D511" s="51"/>
      <c r="E511" s="51"/>
      <c r="F511" s="51"/>
      <c r="G511" s="51"/>
      <c r="H511" s="51"/>
      <c r="I511" s="51"/>
      <c r="J511" s="55"/>
      <c r="K511" s="55"/>
      <c r="L511" s="55"/>
      <c r="M511" s="55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82"/>
      <c r="Z511" s="51"/>
      <c r="AA511" s="51"/>
      <c r="AB511" s="51"/>
      <c r="AC511" s="51"/>
      <c r="AD511" s="51"/>
      <c r="AE511" s="51"/>
      <c r="AF511" s="51"/>
      <c r="AG511" s="51"/>
    </row>
    <row r="512" spans="1:33" ht="15.75" hidden="1" customHeight="1">
      <c r="A512" s="51"/>
      <c r="B512" s="51"/>
      <c r="C512" s="51"/>
      <c r="D512" s="51"/>
      <c r="E512" s="51"/>
      <c r="F512" s="51"/>
      <c r="G512" s="51"/>
      <c r="H512" s="51"/>
      <c r="I512" s="51"/>
      <c r="J512" s="55"/>
      <c r="K512" s="55"/>
      <c r="L512" s="55"/>
      <c r="M512" s="55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82"/>
      <c r="Z512" s="51"/>
      <c r="AA512" s="51"/>
      <c r="AB512" s="51"/>
      <c r="AC512" s="51"/>
      <c r="AD512" s="51"/>
      <c r="AE512" s="51"/>
      <c r="AF512" s="51"/>
      <c r="AG512" s="51"/>
    </row>
    <row r="513" spans="1:33" ht="15.75" customHeight="1">
      <c r="A513" s="51"/>
      <c r="B513" s="51"/>
      <c r="C513" s="51"/>
      <c r="D513" s="51"/>
      <c r="E513" s="51"/>
      <c r="F513" s="51"/>
      <c r="G513" s="51"/>
      <c r="H513" s="51"/>
      <c r="I513" s="51"/>
      <c r="J513" s="259">
        <f>SUBTOTAL(9,J3:J506)</f>
        <v>33465193.751917955</v>
      </c>
      <c r="K513" s="259">
        <f>SUBTOTAL(9,K3:K506)</f>
        <v>31980348.223750014</v>
      </c>
      <c r="L513" s="259">
        <f>SUBTOTAL(9,L3:L506)</f>
        <v>30991610.2496439</v>
      </c>
      <c r="M513" s="55">
        <v>213138</v>
      </c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82"/>
      <c r="Z513" s="51"/>
      <c r="AA513" s="51"/>
      <c r="AB513" s="51"/>
      <c r="AC513" s="51"/>
      <c r="AD513" s="51"/>
      <c r="AE513" s="51"/>
      <c r="AF513" s="51"/>
      <c r="AG513" s="51"/>
    </row>
    <row r="514" spans="1:33" ht="15.75" customHeight="1">
      <c r="A514" s="51"/>
      <c r="B514" s="51"/>
      <c r="C514" s="51"/>
      <c r="D514" s="51"/>
      <c r="E514" s="51"/>
      <c r="F514" s="51"/>
      <c r="G514" s="51"/>
      <c r="H514" s="51"/>
      <c r="I514" s="51"/>
      <c r="J514" s="80">
        <f>J513*$M$1</f>
        <v>252143502.32382584</v>
      </c>
      <c r="K514" s="80">
        <f t="shared" ref="K514:L514" si="48">K513*$M$1</f>
        <v>240955933.69184449</v>
      </c>
      <c r="L514" s="80">
        <f t="shared" si="48"/>
        <v>233506287.42594197</v>
      </c>
      <c r="M514" s="55">
        <f>J513/M513</f>
        <v>157.01185969614968</v>
      </c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82"/>
      <c r="Z514" s="51"/>
      <c r="AA514" s="51"/>
      <c r="AB514" s="51"/>
      <c r="AC514" s="51"/>
      <c r="AD514" s="51"/>
      <c r="AE514" s="51"/>
      <c r="AF514" s="51"/>
      <c r="AG514" s="51"/>
    </row>
    <row r="515" spans="1:33" ht="15.75" customHeight="1">
      <c r="A515" s="51"/>
      <c r="B515" s="51"/>
      <c r="C515" s="51"/>
      <c r="D515" s="51"/>
      <c r="E515" s="51"/>
      <c r="F515" s="51"/>
      <c r="G515" s="51"/>
      <c r="H515" s="51"/>
      <c r="I515" s="51"/>
      <c r="J515" s="55"/>
      <c r="K515" s="55"/>
      <c r="L515" s="55"/>
      <c r="M515" s="55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82"/>
      <c r="Z515" s="51"/>
      <c r="AA515" s="51"/>
      <c r="AB515" s="51"/>
      <c r="AC515" s="51"/>
      <c r="AD515" s="51"/>
      <c r="AE515" s="51"/>
      <c r="AF515" s="51"/>
      <c r="AG515" s="51"/>
    </row>
    <row r="516" spans="1:33" ht="15.75" customHeight="1">
      <c r="A516" s="51"/>
      <c r="B516" s="51"/>
      <c r="C516" s="51"/>
      <c r="D516" s="51"/>
      <c r="E516" s="51"/>
      <c r="F516" s="51"/>
      <c r="G516" s="51"/>
      <c r="H516" s="51"/>
      <c r="I516" s="51"/>
      <c r="J516" s="55">
        <v>5921840</v>
      </c>
      <c r="K516" s="55">
        <v>4252715</v>
      </c>
      <c r="L516" s="55">
        <v>3272623</v>
      </c>
      <c r="M516" s="55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82"/>
      <c r="Z516" s="51"/>
      <c r="AA516" s="51"/>
      <c r="AB516" s="51"/>
      <c r="AC516" s="51"/>
      <c r="AD516" s="51"/>
      <c r="AE516" s="51"/>
      <c r="AF516" s="51"/>
      <c r="AG516" s="51"/>
    </row>
    <row r="517" spans="1:33" ht="15.75" customHeight="1">
      <c r="A517" s="51"/>
      <c r="B517" s="51"/>
      <c r="C517" s="51"/>
      <c r="D517" s="51"/>
      <c r="E517" s="51"/>
      <c r="F517" s="51"/>
      <c r="G517" s="51"/>
      <c r="H517" s="51"/>
      <c r="I517" s="51"/>
      <c r="J517" s="80"/>
      <c r="K517" s="55"/>
      <c r="L517" s="55"/>
      <c r="M517" s="55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82"/>
      <c r="Z517" s="51"/>
      <c r="AA517" s="51"/>
      <c r="AB517" s="51"/>
      <c r="AC517" s="51"/>
      <c r="AD517" s="51"/>
      <c r="AE517" s="51"/>
      <c r="AF517" s="51"/>
      <c r="AG517" s="51"/>
    </row>
    <row r="518" spans="1:33" ht="15.75" customHeight="1">
      <c r="A518" s="51"/>
      <c r="B518" s="51"/>
      <c r="C518" s="51"/>
      <c r="D518" s="51"/>
      <c r="E518" s="51"/>
      <c r="F518" s="51"/>
      <c r="G518" s="51"/>
      <c r="H518" s="51"/>
      <c r="I518" s="51"/>
      <c r="J518" s="267"/>
      <c r="K518" s="55"/>
      <c r="L518" s="55"/>
      <c r="M518" s="55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82"/>
      <c r="Z518" s="51"/>
      <c r="AA518" s="51"/>
      <c r="AB518" s="51"/>
      <c r="AC518" s="51"/>
      <c r="AD518" s="51"/>
      <c r="AE518" s="51"/>
      <c r="AF518" s="51"/>
      <c r="AG518" s="51"/>
    </row>
    <row r="519" spans="1:33" ht="15.75" customHeight="1">
      <c r="A519" s="51"/>
      <c r="B519" s="51"/>
      <c r="C519" s="51"/>
      <c r="D519" s="51"/>
      <c r="E519" s="51"/>
      <c r="F519" s="51"/>
      <c r="G519" s="51"/>
      <c r="H519" s="51"/>
      <c r="I519" s="51"/>
      <c r="J519" s="55"/>
      <c r="K519" s="55"/>
      <c r="L519" s="55"/>
      <c r="M519" s="55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82"/>
      <c r="Z519" s="51"/>
      <c r="AA519" s="51"/>
      <c r="AB519" s="51"/>
      <c r="AC519" s="51"/>
      <c r="AD519" s="51"/>
      <c r="AE519" s="51"/>
      <c r="AF519" s="51"/>
      <c r="AG519" s="51"/>
    </row>
    <row r="520" spans="1:33" ht="15.75" customHeight="1">
      <c r="A520" s="51"/>
      <c r="B520" s="51"/>
      <c r="C520" s="51"/>
      <c r="D520" s="51"/>
      <c r="E520" s="51"/>
      <c r="F520" s="51"/>
      <c r="G520" s="51"/>
      <c r="H520" s="51"/>
      <c r="I520" s="51"/>
      <c r="J520" s="55"/>
      <c r="K520" s="55"/>
      <c r="L520" s="55"/>
      <c r="M520" s="55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82"/>
      <c r="Z520" s="51"/>
      <c r="AA520" s="51"/>
      <c r="AB520" s="51"/>
      <c r="AC520" s="51"/>
      <c r="AD520" s="51"/>
      <c r="AE520" s="51"/>
      <c r="AF520" s="51"/>
      <c r="AG520" s="51"/>
    </row>
    <row r="521" spans="1:33" ht="15.75" customHeight="1">
      <c r="A521" s="51"/>
      <c r="B521" s="51"/>
      <c r="C521" s="51"/>
      <c r="D521" s="51"/>
      <c r="E521" s="51"/>
      <c r="F521" s="51"/>
      <c r="G521" s="51"/>
      <c r="H521" s="51"/>
      <c r="I521" s="51"/>
      <c r="J521" s="55"/>
      <c r="K521" s="55"/>
      <c r="L521" s="55"/>
      <c r="M521" s="55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82"/>
      <c r="Z521" s="51"/>
      <c r="AA521" s="51"/>
      <c r="AB521" s="51"/>
      <c r="AC521" s="51"/>
      <c r="AD521" s="51"/>
      <c r="AE521" s="51"/>
      <c r="AF521" s="51"/>
      <c r="AG521" s="51"/>
    </row>
    <row r="522" spans="1:33" ht="15.75" customHeight="1">
      <c r="A522" s="51"/>
      <c r="B522" s="51"/>
      <c r="C522" s="51"/>
      <c r="D522" s="51"/>
      <c r="E522" s="51"/>
      <c r="F522" s="51"/>
      <c r="G522" s="51"/>
      <c r="H522" s="51"/>
      <c r="I522" s="51"/>
      <c r="J522" s="55"/>
      <c r="K522" s="55"/>
      <c r="L522" s="55"/>
      <c r="M522" s="55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82"/>
      <c r="Z522" s="51"/>
      <c r="AA522" s="51"/>
      <c r="AB522" s="51"/>
      <c r="AC522" s="51"/>
      <c r="AD522" s="51"/>
      <c r="AE522" s="51"/>
      <c r="AF522" s="51"/>
      <c r="AG522" s="51"/>
    </row>
    <row r="523" spans="1:33" ht="15.75" customHeight="1">
      <c r="A523" s="51"/>
      <c r="B523" s="51"/>
      <c r="C523" s="51"/>
      <c r="D523" s="51"/>
      <c r="E523" s="51"/>
      <c r="F523" s="51"/>
      <c r="G523" s="51"/>
      <c r="H523" s="51"/>
      <c r="I523" s="51"/>
      <c r="J523" s="55"/>
      <c r="K523" s="55"/>
      <c r="L523" s="55"/>
      <c r="M523" s="55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82"/>
      <c r="Z523" s="51"/>
      <c r="AA523" s="51"/>
      <c r="AB523" s="51"/>
      <c r="AC523" s="51"/>
      <c r="AD523" s="51"/>
      <c r="AE523" s="51"/>
      <c r="AF523" s="51"/>
      <c r="AG523" s="51"/>
    </row>
    <row r="524" spans="1:33" ht="15.75" customHeight="1">
      <c r="A524" s="51"/>
      <c r="B524" s="51"/>
      <c r="C524" s="51"/>
      <c r="D524" s="51"/>
      <c r="E524" s="51"/>
      <c r="F524" s="51"/>
      <c r="G524" s="51"/>
      <c r="H524" s="51"/>
      <c r="I524" s="51"/>
      <c r="J524" s="55"/>
      <c r="K524" s="55"/>
      <c r="L524" s="55"/>
      <c r="M524" s="55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82"/>
      <c r="Z524" s="51"/>
      <c r="AA524" s="51"/>
      <c r="AB524" s="51"/>
      <c r="AC524" s="51"/>
      <c r="AD524" s="51"/>
      <c r="AE524" s="51"/>
      <c r="AF524" s="51"/>
      <c r="AG524" s="51"/>
    </row>
    <row r="525" spans="1:33" ht="15.75" customHeight="1">
      <c r="A525" s="51"/>
      <c r="B525" s="51"/>
      <c r="C525" s="51"/>
      <c r="D525" s="51"/>
      <c r="E525" s="51"/>
      <c r="F525" s="51"/>
      <c r="G525" s="51"/>
      <c r="H525" s="51"/>
      <c r="I525" s="51"/>
      <c r="J525" s="55"/>
      <c r="K525" s="55"/>
      <c r="L525" s="55"/>
      <c r="M525" s="55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82"/>
      <c r="Z525" s="51"/>
      <c r="AA525" s="51"/>
      <c r="AB525" s="51"/>
      <c r="AC525" s="51"/>
      <c r="AD525" s="51"/>
      <c r="AE525" s="51"/>
      <c r="AF525" s="51"/>
      <c r="AG525" s="51"/>
    </row>
    <row r="526" spans="1:33" ht="15.75" customHeight="1">
      <c r="A526" s="51"/>
      <c r="B526" s="51"/>
      <c r="C526" s="51"/>
      <c r="D526" s="51"/>
      <c r="E526" s="51"/>
      <c r="F526" s="51"/>
      <c r="G526" s="51"/>
      <c r="H526" s="51"/>
      <c r="I526" s="51"/>
      <c r="J526" s="55"/>
      <c r="K526" s="55"/>
      <c r="L526" s="55"/>
      <c r="M526" s="55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82"/>
      <c r="Z526" s="51"/>
      <c r="AA526" s="51"/>
      <c r="AB526" s="51"/>
      <c r="AC526" s="51"/>
      <c r="AD526" s="51"/>
      <c r="AE526" s="51"/>
      <c r="AF526" s="51"/>
      <c r="AG526" s="51"/>
    </row>
    <row r="527" spans="1:33" ht="15.75" customHeight="1">
      <c r="A527" s="51"/>
      <c r="B527" s="51"/>
      <c r="C527" s="51"/>
      <c r="D527" s="51"/>
      <c r="E527" s="51"/>
      <c r="F527" s="51"/>
      <c r="G527" s="51"/>
      <c r="H527" s="51"/>
      <c r="I527" s="51"/>
      <c r="J527" s="55"/>
      <c r="K527" s="55"/>
      <c r="L527" s="55"/>
      <c r="M527" s="55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82"/>
      <c r="Z527" s="51"/>
      <c r="AA527" s="51"/>
      <c r="AB527" s="51"/>
      <c r="AC527" s="51"/>
      <c r="AD527" s="51"/>
      <c r="AE527" s="51"/>
      <c r="AF527" s="51"/>
      <c r="AG527" s="51"/>
    </row>
    <row r="528" spans="1:33" ht="15.75" customHeight="1">
      <c r="A528" s="51"/>
      <c r="B528" s="51"/>
      <c r="C528" s="51"/>
      <c r="D528" s="51"/>
      <c r="E528" s="51"/>
      <c r="F528" s="51"/>
      <c r="G528" s="51"/>
      <c r="H528" s="51"/>
      <c r="I528" s="51"/>
      <c r="J528" s="55"/>
      <c r="K528" s="55"/>
      <c r="L528" s="55"/>
      <c r="M528" s="55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82"/>
      <c r="Z528" s="51"/>
      <c r="AA528" s="51"/>
      <c r="AB528" s="51"/>
      <c r="AC528" s="51"/>
      <c r="AD528" s="51"/>
      <c r="AE528" s="51"/>
      <c r="AF528" s="51"/>
      <c r="AG528" s="51"/>
    </row>
    <row r="529" spans="1:33" ht="15.75" customHeight="1">
      <c r="A529" s="51"/>
      <c r="B529" s="51"/>
      <c r="C529" s="51"/>
      <c r="D529" s="51"/>
      <c r="E529" s="51"/>
      <c r="F529" s="51"/>
      <c r="G529" s="51"/>
      <c r="H529" s="51"/>
      <c r="I529" s="51"/>
      <c r="J529" s="55"/>
      <c r="K529" s="55"/>
      <c r="L529" s="55"/>
      <c r="M529" s="55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82"/>
      <c r="Z529" s="51"/>
      <c r="AA529" s="51"/>
      <c r="AB529" s="51"/>
      <c r="AC529" s="51"/>
      <c r="AD529" s="51"/>
      <c r="AE529" s="51"/>
      <c r="AF529" s="51"/>
      <c r="AG529" s="51"/>
    </row>
    <row r="530" spans="1:33" ht="15.75" customHeight="1">
      <c r="A530" s="51"/>
      <c r="B530" s="51"/>
      <c r="C530" s="51"/>
      <c r="D530" s="51"/>
      <c r="E530" s="51"/>
      <c r="F530" s="51"/>
      <c r="G530" s="51"/>
      <c r="H530" s="51"/>
      <c r="I530" s="51"/>
      <c r="J530" s="55"/>
      <c r="K530" s="55"/>
      <c r="L530" s="55"/>
      <c r="M530" s="55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82"/>
      <c r="Z530" s="51"/>
      <c r="AA530" s="51"/>
      <c r="AB530" s="51"/>
      <c r="AC530" s="51"/>
      <c r="AD530" s="51"/>
      <c r="AE530" s="51"/>
      <c r="AF530" s="51"/>
      <c r="AG530" s="51"/>
    </row>
    <row r="531" spans="1:33" ht="15.75" customHeight="1">
      <c r="A531" s="51"/>
      <c r="B531" s="51"/>
      <c r="C531" s="51"/>
      <c r="D531" s="51"/>
      <c r="E531" s="51"/>
      <c r="F531" s="51"/>
      <c r="G531" s="51"/>
      <c r="H531" s="51"/>
      <c r="I531" s="51"/>
      <c r="J531" s="55"/>
      <c r="K531" s="55"/>
      <c r="L531" s="55"/>
      <c r="M531" s="55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82"/>
      <c r="Z531" s="51"/>
      <c r="AA531" s="51"/>
      <c r="AB531" s="51"/>
      <c r="AC531" s="51"/>
      <c r="AD531" s="51"/>
      <c r="AE531" s="51"/>
      <c r="AF531" s="51"/>
      <c r="AG531" s="51"/>
    </row>
    <row r="532" spans="1:33" ht="15.75" customHeight="1">
      <c r="A532" s="51"/>
      <c r="B532" s="51"/>
      <c r="C532" s="51"/>
      <c r="D532" s="51"/>
      <c r="E532" s="51"/>
      <c r="F532" s="51"/>
      <c r="G532" s="51"/>
      <c r="H532" s="51"/>
      <c r="I532" s="51"/>
      <c r="J532" s="55"/>
      <c r="K532" s="55"/>
      <c r="L532" s="55"/>
      <c r="M532" s="55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82"/>
      <c r="Z532" s="51"/>
      <c r="AA532" s="51"/>
      <c r="AB532" s="51"/>
      <c r="AC532" s="51"/>
      <c r="AD532" s="51"/>
      <c r="AE532" s="51"/>
      <c r="AF532" s="51"/>
      <c r="AG532" s="51"/>
    </row>
    <row r="533" spans="1:33" ht="15.75" customHeight="1">
      <c r="A533" s="51"/>
      <c r="B533" s="51"/>
      <c r="C533" s="51"/>
      <c r="D533" s="51"/>
      <c r="E533" s="51"/>
      <c r="F533" s="51"/>
      <c r="G533" s="51"/>
      <c r="H533" s="51"/>
      <c r="I533" s="51"/>
      <c r="J533" s="55"/>
      <c r="K533" s="55"/>
      <c r="L533" s="55"/>
      <c r="M533" s="55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82"/>
      <c r="Z533" s="51"/>
      <c r="AA533" s="51"/>
      <c r="AB533" s="51"/>
      <c r="AC533" s="51"/>
      <c r="AD533" s="51"/>
      <c r="AE533" s="51"/>
      <c r="AF533" s="51"/>
      <c r="AG533" s="51"/>
    </row>
    <row r="534" spans="1:33" ht="15.75" customHeight="1">
      <c r="A534" s="51"/>
      <c r="B534" s="51"/>
      <c r="C534" s="51"/>
      <c r="D534" s="51"/>
      <c r="E534" s="51"/>
      <c r="F534" s="51"/>
      <c r="G534" s="51"/>
      <c r="H534" s="51"/>
      <c r="I534" s="51"/>
      <c r="J534" s="55"/>
      <c r="K534" s="55"/>
      <c r="L534" s="55"/>
      <c r="M534" s="55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82"/>
      <c r="Z534" s="51"/>
      <c r="AA534" s="51"/>
      <c r="AB534" s="51"/>
      <c r="AC534" s="51"/>
      <c r="AD534" s="51"/>
      <c r="AE534" s="51"/>
      <c r="AF534" s="51"/>
      <c r="AG534" s="51"/>
    </row>
    <row r="535" spans="1:33" ht="15.75" customHeight="1">
      <c r="A535" s="51"/>
      <c r="B535" s="51"/>
      <c r="C535" s="51"/>
      <c r="D535" s="51"/>
      <c r="E535" s="51"/>
      <c r="F535" s="51"/>
      <c r="G535" s="51"/>
      <c r="H535" s="51"/>
      <c r="I535" s="51"/>
      <c r="J535" s="55"/>
      <c r="K535" s="55"/>
      <c r="L535" s="55"/>
      <c r="M535" s="55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82"/>
      <c r="Z535" s="51"/>
      <c r="AA535" s="51"/>
      <c r="AB535" s="51"/>
      <c r="AC535" s="51"/>
      <c r="AD535" s="51"/>
      <c r="AE535" s="51"/>
      <c r="AF535" s="51"/>
      <c r="AG535" s="51"/>
    </row>
    <row r="536" spans="1:33" ht="15.75" customHeight="1">
      <c r="A536" s="51"/>
      <c r="B536" s="51"/>
      <c r="C536" s="51"/>
      <c r="D536" s="51"/>
      <c r="E536" s="51"/>
      <c r="F536" s="51"/>
      <c r="G536" s="51"/>
      <c r="H536" s="51"/>
      <c r="I536" s="51"/>
      <c r="J536" s="55"/>
      <c r="K536" s="55"/>
      <c r="L536" s="55"/>
      <c r="M536" s="55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82"/>
      <c r="Z536" s="51"/>
      <c r="AA536" s="51"/>
      <c r="AB536" s="51"/>
      <c r="AC536" s="51"/>
      <c r="AD536" s="51"/>
      <c r="AE536" s="51"/>
      <c r="AF536" s="51"/>
      <c r="AG536" s="51"/>
    </row>
    <row r="537" spans="1:33" ht="15.75" customHeight="1">
      <c r="A537" s="51"/>
      <c r="B537" s="51"/>
      <c r="C537" s="51"/>
      <c r="D537" s="51"/>
      <c r="E537" s="51"/>
      <c r="F537" s="51"/>
      <c r="G537" s="51"/>
      <c r="H537" s="51"/>
      <c r="I537" s="51"/>
      <c r="J537" s="55"/>
      <c r="K537" s="55"/>
      <c r="L537" s="55"/>
      <c r="M537" s="55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82"/>
      <c r="Z537" s="51"/>
      <c r="AA537" s="51"/>
      <c r="AB537" s="51"/>
      <c r="AC537" s="51"/>
      <c r="AD537" s="51"/>
      <c r="AE537" s="51"/>
      <c r="AF537" s="51"/>
      <c r="AG537" s="51"/>
    </row>
    <row r="538" spans="1:33" ht="15.75" customHeight="1">
      <c r="A538" s="51"/>
      <c r="B538" s="51"/>
      <c r="C538" s="51"/>
      <c r="D538" s="51"/>
      <c r="E538" s="51"/>
      <c r="F538" s="51"/>
      <c r="G538" s="51"/>
      <c r="H538" s="51"/>
      <c r="I538" s="51"/>
      <c r="J538" s="55"/>
      <c r="K538" s="55"/>
      <c r="L538" s="55"/>
      <c r="M538" s="55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82"/>
      <c r="Z538" s="51"/>
      <c r="AA538" s="51"/>
      <c r="AB538" s="51"/>
      <c r="AC538" s="51"/>
      <c r="AD538" s="51"/>
      <c r="AE538" s="51"/>
      <c r="AF538" s="51"/>
      <c r="AG538" s="51"/>
    </row>
    <row r="539" spans="1:33" ht="15.75" customHeight="1">
      <c r="A539" s="51"/>
      <c r="B539" s="51"/>
      <c r="C539" s="51"/>
      <c r="D539" s="51"/>
      <c r="E539" s="51"/>
      <c r="F539" s="51"/>
      <c r="G539" s="51"/>
      <c r="H539" s="51"/>
      <c r="I539" s="51"/>
      <c r="J539" s="55"/>
      <c r="K539" s="55"/>
      <c r="L539" s="55"/>
      <c r="M539" s="55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82"/>
      <c r="Z539" s="51"/>
      <c r="AA539" s="51"/>
      <c r="AB539" s="51"/>
      <c r="AC539" s="51"/>
      <c r="AD539" s="51"/>
      <c r="AE539" s="51"/>
      <c r="AF539" s="51"/>
      <c r="AG539" s="51"/>
    </row>
    <row r="540" spans="1:33" ht="15.75" customHeight="1">
      <c r="A540" s="51"/>
      <c r="B540" s="51"/>
      <c r="C540" s="51"/>
      <c r="D540" s="51"/>
      <c r="E540" s="51"/>
      <c r="F540" s="51"/>
      <c r="G540" s="51"/>
      <c r="H540" s="51"/>
      <c r="I540" s="51"/>
      <c r="J540" s="55"/>
      <c r="K540" s="55"/>
      <c r="L540" s="55"/>
      <c r="M540" s="55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82"/>
      <c r="Z540" s="51"/>
      <c r="AA540" s="51"/>
      <c r="AB540" s="51"/>
      <c r="AC540" s="51"/>
      <c r="AD540" s="51"/>
      <c r="AE540" s="51"/>
      <c r="AF540" s="51"/>
      <c r="AG540" s="51"/>
    </row>
    <row r="541" spans="1:33" ht="15.75" customHeight="1">
      <c r="A541" s="51"/>
      <c r="B541" s="51"/>
      <c r="C541" s="51"/>
      <c r="D541" s="51"/>
      <c r="E541" s="51"/>
      <c r="F541" s="51"/>
      <c r="G541" s="51"/>
      <c r="H541" s="51"/>
      <c r="I541" s="51"/>
      <c r="J541" s="55"/>
      <c r="K541" s="55"/>
      <c r="L541" s="55"/>
      <c r="M541" s="55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82"/>
      <c r="Z541" s="51"/>
      <c r="AA541" s="51"/>
      <c r="AB541" s="51"/>
      <c r="AC541" s="51"/>
      <c r="AD541" s="51"/>
      <c r="AE541" s="51"/>
      <c r="AF541" s="51"/>
      <c r="AG541" s="51"/>
    </row>
    <row r="542" spans="1:33" ht="15.75" customHeight="1">
      <c r="A542" s="51"/>
      <c r="B542" s="51"/>
      <c r="C542" s="51"/>
      <c r="D542" s="51"/>
      <c r="E542" s="51"/>
      <c r="F542" s="51"/>
      <c r="G542" s="51"/>
      <c r="H542" s="51"/>
      <c r="I542" s="51"/>
      <c r="J542" s="55"/>
      <c r="K542" s="55"/>
      <c r="L542" s="55"/>
      <c r="M542" s="55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82"/>
      <c r="Z542" s="51"/>
      <c r="AA542" s="51"/>
      <c r="AB542" s="51"/>
      <c r="AC542" s="51"/>
      <c r="AD542" s="51"/>
      <c r="AE542" s="51"/>
      <c r="AF542" s="51"/>
      <c r="AG542" s="51"/>
    </row>
    <row r="543" spans="1:33" ht="15.75" customHeight="1">
      <c r="A543" s="51"/>
      <c r="B543" s="51"/>
      <c r="C543" s="51"/>
      <c r="D543" s="51"/>
      <c r="E543" s="51"/>
      <c r="F543" s="51"/>
      <c r="G543" s="51"/>
      <c r="H543" s="51"/>
      <c r="I543" s="51"/>
      <c r="J543" s="55"/>
      <c r="K543" s="55"/>
      <c r="L543" s="55"/>
      <c r="M543" s="55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82"/>
      <c r="Z543" s="51"/>
      <c r="AA543" s="51"/>
      <c r="AB543" s="51"/>
      <c r="AC543" s="51"/>
      <c r="AD543" s="51"/>
      <c r="AE543" s="51"/>
      <c r="AF543" s="51"/>
      <c r="AG543" s="51"/>
    </row>
    <row r="544" spans="1:33" ht="15.75" customHeight="1">
      <c r="A544" s="51"/>
      <c r="B544" s="51"/>
      <c r="C544" s="51"/>
      <c r="D544" s="51"/>
      <c r="E544" s="51"/>
      <c r="F544" s="51"/>
      <c r="G544" s="51"/>
      <c r="H544" s="51"/>
      <c r="I544" s="51"/>
      <c r="J544" s="55"/>
      <c r="K544" s="55"/>
      <c r="L544" s="55"/>
      <c r="M544" s="55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82"/>
      <c r="Z544" s="51"/>
      <c r="AA544" s="51"/>
      <c r="AB544" s="51"/>
      <c r="AC544" s="51"/>
      <c r="AD544" s="51"/>
      <c r="AE544" s="51"/>
      <c r="AF544" s="51"/>
      <c r="AG544" s="51"/>
    </row>
    <row r="545" spans="1:33" ht="15.75" customHeight="1">
      <c r="A545" s="51"/>
      <c r="B545" s="51"/>
      <c r="C545" s="51"/>
      <c r="D545" s="51"/>
      <c r="E545" s="51"/>
      <c r="F545" s="51"/>
      <c r="G545" s="51"/>
      <c r="H545" s="51"/>
      <c r="I545" s="51"/>
      <c r="J545" s="55"/>
      <c r="K545" s="55"/>
      <c r="L545" s="55"/>
      <c r="M545" s="55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82"/>
      <c r="Z545" s="51"/>
      <c r="AA545" s="51"/>
      <c r="AB545" s="51"/>
      <c r="AC545" s="51"/>
      <c r="AD545" s="51"/>
      <c r="AE545" s="51"/>
      <c r="AF545" s="51"/>
      <c r="AG545" s="51"/>
    </row>
    <row r="546" spans="1:33" ht="15.75" customHeight="1">
      <c r="A546" s="51"/>
      <c r="B546" s="51"/>
      <c r="C546" s="51"/>
      <c r="D546" s="51"/>
      <c r="E546" s="51"/>
      <c r="F546" s="51"/>
      <c r="G546" s="51"/>
      <c r="H546" s="51"/>
      <c r="I546" s="51"/>
      <c r="J546" s="55"/>
      <c r="K546" s="55"/>
      <c r="L546" s="55"/>
      <c r="M546" s="55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82"/>
      <c r="Z546" s="51"/>
      <c r="AA546" s="51"/>
      <c r="AB546" s="51"/>
      <c r="AC546" s="51"/>
      <c r="AD546" s="51"/>
      <c r="AE546" s="51"/>
      <c r="AF546" s="51"/>
      <c r="AG546" s="51"/>
    </row>
    <row r="547" spans="1:33" ht="15.75" customHeight="1">
      <c r="A547" s="51"/>
      <c r="B547" s="51"/>
      <c r="C547" s="51"/>
      <c r="D547" s="51"/>
      <c r="E547" s="51"/>
      <c r="F547" s="51"/>
      <c r="G547" s="51"/>
      <c r="H547" s="51"/>
      <c r="I547" s="51"/>
      <c r="J547" s="55"/>
      <c r="K547" s="55"/>
      <c r="L547" s="55"/>
      <c r="M547" s="55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82"/>
      <c r="Z547" s="51"/>
      <c r="AA547" s="51"/>
      <c r="AB547" s="51"/>
      <c r="AC547" s="51"/>
      <c r="AD547" s="51"/>
      <c r="AE547" s="51"/>
      <c r="AF547" s="51"/>
      <c r="AG547" s="51"/>
    </row>
    <row r="548" spans="1:33" ht="15.75" customHeight="1">
      <c r="A548" s="51"/>
      <c r="B548" s="51"/>
      <c r="C548" s="51"/>
      <c r="D548" s="51"/>
      <c r="E548" s="51"/>
      <c r="F548" s="51"/>
      <c r="G548" s="51"/>
      <c r="H548" s="51"/>
      <c r="I548" s="51"/>
      <c r="J548" s="55"/>
      <c r="K548" s="55"/>
      <c r="L548" s="55"/>
      <c r="M548" s="55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82"/>
      <c r="Z548" s="51"/>
      <c r="AA548" s="51"/>
      <c r="AB548" s="51"/>
      <c r="AC548" s="51"/>
      <c r="AD548" s="51"/>
      <c r="AE548" s="51"/>
      <c r="AF548" s="51"/>
      <c r="AG548" s="51"/>
    </row>
    <row r="549" spans="1:33" ht="15.75" customHeight="1">
      <c r="A549" s="51"/>
      <c r="B549" s="51"/>
      <c r="C549" s="51"/>
      <c r="D549" s="51"/>
      <c r="E549" s="51"/>
      <c r="F549" s="51"/>
      <c r="G549" s="51"/>
      <c r="H549" s="51"/>
      <c r="I549" s="51"/>
      <c r="J549" s="55"/>
      <c r="K549" s="55"/>
      <c r="L549" s="55"/>
      <c r="M549" s="55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82"/>
      <c r="Z549" s="51"/>
      <c r="AA549" s="51"/>
      <c r="AB549" s="51"/>
      <c r="AC549" s="51"/>
      <c r="AD549" s="51"/>
      <c r="AE549" s="51"/>
      <c r="AF549" s="51"/>
      <c r="AG549" s="51"/>
    </row>
    <row r="550" spans="1:33" ht="15.75" customHeight="1">
      <c r="A550" s="51"/>
      <c r="B550" s="51"/>
      <c r="C550" s="51"/>
      <c r="D550" s="51"/>
      <c r="E550" s="51"/>
      <c r="F550" s="51"/>
      <c r="G550" s="51"/>
      <c r="H550" s="51"/>
      <c r="I550" s="51"/>
      <c r="J550" s="55"/>
      <c r="K550" s="55"/>
      <c r="L550" s="55"/>
      <c r="M550" s="55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82"/>
      <c r="Z550" s="51"/>
      <c r="AA550" s="51"/>
      <c r="AB550" s="51"/>
      <c r="AC550" s="51"/>
      <c r="AD550" s="51"/>
      <c r="AE550" s="51"/>
      <c r="AF550" s="51"/>
      <c r="AG550" s="51"/>
    </row>
    <row r="551" spans="1:33" ht="15.75" customHeight="1">
      <c r="A551" s="51"/>
      <c r="B551" s="51"/>
      <c r="C551" s="51"/>
      <c r="D551" s="51"/>
      <c r="E551" s="51"/>
      <c r="F551" s="51"/>
      <c r="G551" s="51"/>
      <c r="H551" s="51"/>
      <c r="I551" s="51"/>
      <c r="J551" s="55"/>
      <c r="K551" s="55"/>
      <c r="L551" s="55"/>
      <c r="M551" s="55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82"/>
      <c r="Z551" s="51"/>
      <c r="AA551" s="51"/>
      <c r="AB551" s="51"/>
      <c r="AC551" s="51"/>
      <c r="AD551" s="51"/>
      <c r="AE551" s="51"/>
      <c r="AF551" s="51"/>
      <c r="AG551" s="51"/>
    </row>
    <row r="552" spans="1:33" ht="15.75" customHeight="1">
      <c r="A552" s="51"/>
      <c r="B552" s="51"/>
      <c r="C552" s="51"/>
      <c r="D552" s="51"/>
      <c r="E552" s="51"/>
      <c r="F552" s="51"/>
      <c r="G552" s="51"/>
      <c r="H552" s="51"/>
      <c r="I552" s="51"/>
      <c r="J552" s="55"/>
      <c r="K552" s="55"/>
      <c r="L552" s="55"/>
      <c r="M552" s="55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82"/>
      <c r="Z552" s="51"/>
      <c r="AA552" s="51"/>
      <c r="AB552" s="51"/>
      <c r="AC552" s="51"/>
      <c r="AD552" s="51"/>
      <c r="AE552" s="51"/>
      <c r="AF552" s="51"/>
      <c r="AG552" s="51"/>
    </row>
    <row r="553" spans="1:33" ht="15.75" customHeight="1">
      <c r="A553" s="51"/>
      <c r="B553" s="51"/>
      <c r="C553" s="51"/>
      <c r="D553" s="51"/>
      <c r="E553" s="51"/>
      <c r="F553" s="51"/>
      <c r="G553" s="51"/>
      <c r="H553" s="51"/>
      <c r="I553" s="51"/>
      <c r="J553" s="55"/>
      <c r="K553" s="55"/>
      <c r="L553" s="55"/>
      <c r="M553" s="55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82"/>
      <c r="Z553" s="51"/>
      <c r="AA553" s="51"/>
      <c r="AB553" s="51"/>
      <c r="AC553" s="51"/>
      <c r="AD553" s="51"/>
      <c r="AE553" s="51"/>
      <c r="AF553" s="51"/>
      <c r="AG553" s="51"/>
    </row>
    <row r="554" spans="1:33" ht="15.75" customHeight="1">
      <c r="A554" s="51"/>
      <c r="B554" s="51"/>
      <c r="C554" s="51"/>
      <c r="D554" s="51"/>
      <c r="E554" s="51"/>
      <c r="F554" s="51"/>
      <c r="G554" s="51"/>
      <c r="H554" s="51"/>
      <c r="I554" s="51"/>
      <c r="J554" s="55"/>
      <c r="K554" s="55"/>
      <c r="L554" s="55"/>
      <c r="M554" s="55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82"/>
      <c r="Z554" s="51"/>
      <c r="AA554" s="51"/>
      <c r="AB554" s="51"/>
      <c r="AC554" s="51"/>
      <c r="AD554" s="51"/>
      <c r="AE554" s="51"/>
      <c r="AF554" s="51"/>
      <c r="AG554" s="51"/>
    </row>
    <row r="555" spans="1:33" ht="15.75" customHeight="1">
      <c r="A555" s="51"/>
      <c r="B555" s="51"/>
      <c r="C555" s="51"/>
      <c r="D555" s="51"/>
      <c r="E555" s="51"/>
      <c r="F555" s="51"/>
      <c r="G555" s="51"/>
      <c r="H555" s="51"/>
      <c r="I555" s="51"/>
      <c r="J555" s="55"/>
      <c r="K555" s="55"/>
      <c r="L555" s="55"/>
      <c r="M555" s="55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82"/>
      <c r="Z555" s="51"/>
      <c r="AA555" s="51"/>
      <c r="AB555" s="51"/>
      <c r="AC555" s="51"/>
      <c r="AD555" s="51"/>
      <c r="AE555" s="51"/>
      <c r="AF555" s="51"/>
      <c r="AG555" s="51"/>
    </row>
    <row r="556" spans="1:33" ht="15.75" customHeight="1">
      <c r="A556" s="51"/>
      <c r="B556" s="51"/>
      <c r="C556" s="51"/>
      <c r="D556" s="51"/>
      <c r="E556" s="51"/>
      <c r="F556" s="51"/>
      <c r="G556" s="51"/>
      <c r="H556" s="51"/>
      <c r="I556" s="51"/>
      <c r="J556" s="55"/>
      <c r="K556" s="55"/>
      <c r="L556" s="55"/>
      <c r="M556" s="55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82"/>
      <c r="Z556" s="51"/>
      <c r="AA556" s="51"/>
      <c r="AB556" s="51"/>
      <c r="AC556" s="51"/>
      <c r="AD556" s="51"/>
      <c r="AE556" s="51"/>
      <c r="AF556" s="51"/>
      <c r="AG556" s="51"/>
    </row>
    <row r="557" spans="1:33" ht="15.75" customHeight="1">
      <c r="A557" s="51"/>
      <c r="B557" s="51"/>
      <c r="C557" s="51"/>
      <c r="D557" s="51"/>
      <c r="E557" s="51"/>
      <c r="F557" s="51"/>
      <c r="G557" s="51"/>
      <c r="H557" s="51"/>
      <c r="I557" s="51"/>
      <c r="J557" s="55"/>
      <c r="K557" s="55"/>
      <c r="L557" s="55"/>
      <c r="M557" s="55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82"/>
      <c r="Z557" s="51"/>
      <c r="AA557" s="51"/>
      <c r="AB557" s="51"/>
      <c r="AC557" s="51"/>
      <c r="AD557" s="51"/>
      <c r="AE557" s="51"/>
      <c r="AF557" s="51"/>
      <c r="AG557" s="51"/>
    </row>
    <row r="558" spans="1:33" ht="15.75" customHeight="1">
      <c r="A558" s="51"/>
      <c r="B558" s="51"/>
      <c r="C558" s="51"/>
      <c r="D558" s="51"/>
      <c r="E558" s="51"/>
      <c r="F558" s="51"/>
      <c r="G558" s="51"/>
      <c r="H558" s="51"/>
      <c r="I558" s="51"/>
      <c r="J558" s="55"/>
      <c r="K558" s="55"/>
      <c r="L558" s="55"/>
      <c r="M558" s="55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82"/>
      <c r="Z558" s="51"/>
      <c r="AA558" s="51"/>
      <c r="AB558" s="51"/>
      <c r="AC558" s="51"/>
      <c r="AD558" s="51"/>
      <c r="AE558" s="51"/>
      <c r="AF558" s="51"/>
      <c r="AG558" s="51"/>
    </row>
    <row r="559" spans="1:33" ht="15.75" customHeight="1">
      <c r="A559" s="51"/>
      <c r="B559" s="51"/>
      <c r="C559" s="51"/>
      <c r="D559" s="51"/>
      <c r="E559" s="51"/>
      <c r="F559" s="51"/>
      <c r="G559" s="51"/>
      <c r="H559" s="51"/>
      <c r="I559" s="51"/>
      <c r="J559" s="55"/>
      <c r="K559" s="55"/>
      <c r="L559" s="55"/>
      <c r="M559" s="55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82"/>
      <c r="Z559" s="51"/>
      <c r="AA559" s="51"/>
      <c r="AB559" s="51"/>
      <c r="AC559" s="51"/>
      <c r="AD559" s="51"/>
      <c r="AE559" s="51"/>
      <c r="AF559" s="51"/>
      <c r="AG559" s="51"/>
    </row>
    <row r="560" spans="1:33" ht="15.75" customHeight="1">
      <c r="A560" s="51"/>
      <c r="B560" s="51"/>
      <c r="C560" s="51"/>
      <c r="D560" s="51"/>
      <c r="E560" s="51"/>
      <c r="F560" s="51"/>
      <c r="G560" s="51"/>
      <c r="H560" s="51"/>
      <c r="I560" s="51"/>
      <c r="J560" s="55"/>
      <c r="K560" s="55"/>
      <c r="L560" s="55"/>
      <c r="M560" s="55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82"/>
      <c r="Z560" s="51"/>
      <c r="AA560" s="51"/>
      <c r="AB560" s="51"/>
      <c r="AC560" s="51"/>
      <c r="AD560" s="51"/>
      <c r="AE560" s="51"/>
      <c r="AF560" s="51"/>
      <c r="AG560" s="51"/>
    </row>
    <row r="561" spans="1:33" ht="15.75" customHeight="1">
      <c r="A561" s="51"/>
      <c r="B561" s="51"/>
      <c r="C561" s="51"/>
      <c r="D561" s="51"/>
      <c r="E561" s="51"/>
      <c r="F561" s="51"/>
      <c r="G561" s="51"/>
      <c r="H561" s="51"/>
      <c r="I561" s="51"/>
      <c r="J561" s="55"/>
      <c r="K561" s="55"/>
      <c r="L561" s="55"/>
      <c r="M561" s="55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82"/>
      <c r="Z561" s="51"/>
      <c r="AA561" s="51"/>
      <c r="AB561" s="51"/>
      <c r="AC561" s="51"/>
      <c r="AD561" s="51"/>
      <c r="AE561" s="51"/>
      <c r="AF561" s="51"/>
      <c r="AG561" s="51"/>
    </row>
    <row r="562" spans="1:33" ht="15.75" customHeight="1">
      <c r="A562" s="51"/>
      <c r="B562" s="51"/>
      <c r="C562" s="51"/>
      <c r="D562" s="51"/>
      <c r="E562" s="51"/>
      <c r="F562" s="51"/>
      <c r="G562" s="51"/>
      <c r="H562" s="51"/>
      <c r="I562" s="51"/>
      <c r="J562" s="55"/>
      <c r="K562" s="55"/>
      <c r="L562" s="55"/>
      <c r="M562" s="55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82"/>
      <c r="Z562" s="51"/>
      <c r="AA562" s="51"/>
      <c r="AB562" s="51"/>
      <c r="AC562" s="51"/>
      <c r="AD562" s="51"/>
      <c r="AE562" s="51"/>
      <c r="AF562" s="51"/>
      <c r="AG562" s="51"/>
    </row>
    <row r="563" spans="1:33" ht="15.75" customHeight="1">
      <c r="A563" s="51"/>
      <c r="B563" s="51"/>
      <c r="C563" s="51"/>
      <c r="D563" s="51"/>
      <c r="E563" s="51"/>
      <c r="F563" s="51"/>
      <c r="G563" s="51"/>
      <c r="H563" s="51"/>
      <c r="I563" s="51"/>
      <c r="J563" s="55"/>
      <c r="K563" s="55"/>
      <c r="L563" s="55"/>
      <c r="M563" s="55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82"/>
      <c r="Z563" s="51"/>
      <c r="AA563" s="51"/>
      <c r="AB563" s="51"/>
      <c r="AC563" s="51"/>
      <c r="AD563" s="51"/>
      <c r="AE563" s="51"/>
      <c r="AF563" s="51"/>
      <c r="AG563" s="51"/>
    </row>
    <row r="564" spans="1:33" ht="15.75" customHeight="1">
      <c r="A564" s="51"/>
      <c r="B564" s="51"/>
      <c r="C564" s="51"/>
      <c r="D564" s="51"/>
      <c r="E564" s="51"/>
      <c r="F564" s="51"/>
      <c r="G564" s="51"/>
      <c r="H564" s="51"/>
      <c r="I564" s="51"/>
      <c r="J564" s="55"/>
      <c r="K564" s="55"/>
      <c r="L564" s="55"/>
      <c r="M564" s="55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82"/>
      <c r="Z564" s="51"/>
      <c r="AA564" s="51"/>
      <c r="AB564" s="51"/>
      <c r="AC564" s="51"/>
      <c r="AD564" s="51"/>
      <c r="AE564" s="51"/>
      <c r="AF564" s="51"/>
      <c r="AG564" s="51"/>
    </row>
    <row r="565" spans="1:33" ht="15.75" customHeight="1">
      <c r="A565" s="51"/>
      <c r="B565" s="51"/>
      <c r="C565" s="51"/>
      <c r="D565" s="51"/>
      <c r="E565" s="51"/>
      <c r="F565" s="51"/>
      <c r="G565" s="51"/>
      <c r="H565" s="51"/>
      <c r="I565" s="51"/>
      <c r="J565" s="55"/>
      <c r="K565" s="55"/>
      <c r="L565" s="55"/>
      <c r="M565" s="55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82"/>
      <c r="Z565" s="51"/>
      <c r="AA565" s="51"/>
      <c r="AB565" s="51"/>
      <c r="AC565" s="51"/>
      <c r="AD565" s="51"/>
      <c r="AE565" s="51"/>
      <c r="AF565" s="51"/>
      <c r="AG565" s="51"/>
    </row>
    <row r="566" spans="1:33" ht="15.75" customHeight="1">
      <c r="A566" s="51"/>
      <c r="B566" s="51"/>
      <c r="C566" s="51"/>
      <c r="D566" s="51"/>
      <c r="E566" s="51"/>
      <c r="F566" s="51"/>
      <c r="G566" s="51"/>
      <c r="H566" s="51"/>
      <c r="I566" s="51"/>
      <c r="J566" s="55"/>
      <c r="K566" s="55"/>
      <c r="L566" s="55"/>
      <c r="M566" s="55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82"/>
      <c r="Z566" s="51"/>
      <c r="AA566" s="51"/>
      <c r="AB566" s="51"/>
      <c r="AC566" s="51"/>
      <c r="AD566" s="51"/>
      <c r="AE566" s="51"/>
      <c r="AF566" s="51"/>
      <c r="AG566" s="51"/>
    </row>
    <row r="567" spans="1:33" ht="15.75" customHeight="1">
      <c r="A567" s="51"/>
      <c r="B567" s="51"/>
      <c r="C567" s="51"/>
      <c r="D567" s="51"/>
      <c r="E567" s="51"/>
      <c r="F567" s="51"/>
      <c r="G567" s="51"/>
      <c r="H567" s="51"/>
      <c r="I567" s="51"/>
      <c r="J567" s="55"/>
      <c r="K567" s="55"/>
      <c r="L567" s="55"/>
      <c r="M567" s="55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82"/>
      <c r="Z567" s="51"/>
      <c r="AA567" s="51"/>
      <c r="AB567" s="51"/>
      <c r="AC567" s="51"/>
      <c r="AD567" s="51"/>
      <c r="AE567" s="51"/>
      <c r="AF567" s="51"/>
      <c r="AG567" s="51"/>
    </row>
    <row r="568" spans="1:33" ht="15.75" customHeight="1">
      <c r="A568" s="51"/>
      <c r="B568" s="51"/>
      <c r="C568" s="51"/>
      <c r="D568" s="51"/>
      <c r="E568" s="51"/>
      <c r="F568" s="51"/>
      <c r="G568" s="51"/>
      <c r="H568" s="51"/>
      <c r="I568" s="51"/>
      <c r="J568" s="55"/>
      <c r="K568" s="55"/>
      <c r="L568" s="55"/>
      <c r="M568" s="55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82"/>
      <c r="Z568" s="51"/>
      <c r="AA568" s="51"/>
      <c r="AB568" s="51"/>
      <c r="AC568" s="51"/>
      <c r="AD568" s="51"/>
      <c r="AE568" s="51"/>
      <c r="AF568" s="51"/>
      <c r="AG568" s="51"/>
    </row>
    <row r="569" spans="1:33" ht="15.75" customHeight="1">
      <c r="A569" s="51"/>
      <c r="B569" s="51"/>
      <c r="C569" s="51"/>
      <c r="D569" s="51"/>
      <c r="E569" s="51"/>
      <c r="F569" s="51"/>
      <c r="G569" s="51"/>
      <c r="H569" s="51"/>
      <c r="I569" s="51"/>
      <c r="J569" s="55"/>
      <c r="K569" s="55"/>
      <c r="L569" s="55"/>
      <c r="M569" s="55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82"/>
      <c r="Z569" s="51"/>
      <c r="AA569" s="51"/>
      <c r="AB569" s="51"/>
      <c r="AC569" s="51"/>
      <c r="AD569" s="51"/>
      <c r="AE569" s="51"/>
      <c r="AF569" s="51"/>
      <c r="AG569" s="51"/>
    </row>
    <row r="570" spans="1:33" ht="15.75" customHeight="1">
      <c r="A570" s="51"/>
      <c r="B570" s="51"/>
      <c r="C570" s="51"/>
      <c r="D570" s="51"/>
      <c r="E570" s="51"/>
      <c r="F570" s="51"/>
      <c r="G570" s="51"/>
      <c r="H570" s="51"/>
      <c r="I570" s="51"/>
      <c r="J570" s="55"/>
      <c r="K570" s="55"/>
      <c r="L570" s="55"/>
      <c r="M570" s="55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82"/>
      <c r="Z570" s="51"/>
      <c r="AA570" s="51"/>
      <c r="AB570" s="51"/>
      <c r="AC570" s="51"/>
      <c r="AD570" s="51"/>
      <c r="AE570" s="51"/>
      <c r="AF570" s="51"/>
      <c r="AG570" s="51"/>
    </row>
    <row r="571" spans="1:33" ht="15.75" customHeight="1">
      <c r="A571" s="51"/>
      <c r="B571" s="51"/>
      <c r="C571" s="51"/>
      <c r="D571" s="51"/>
      <c r="E571" s="51"/>
      <c r="F571" s="51"/>
      <c r="G571" s="51"/>
      <c r="H571" s="51"/>
      <c r="I571" s="51"/>
      <c r="J571" s="55"/>
      <c r="K571" s="55"/>
      <c r="L571" s="55"/>
      <c r="M571" s="55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82"/>
      <c r="Z571" s="51"/>
      <c r="AA571" s="51"/>
      <c r="AB571" s="51"/>
      <c r="AC571" s="51"/>
      <c r="AD571" s="51"/>
      <c r="AE571" s="51"/>
      <c r="AF571" s="51"/>
      <c r="AG571" s="51"/>
    </row>
    <row r="572" spans="1:33" ht="15.75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5"/>
      <c r="K572" s="55"/>
      <c r="L572" s="55"/>
      <c r="M572" s="55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82"/>
      <c r="Z572" s="51"/>
      <c r="AA572" s="51"/>
      <c r="AB572" s="51"/>
      <c r="AC572" s="51"/>
      <c r="AD572" s="51"/>
      <c r="AE572" s="51"/>
      <c r="AF572" s="51"/>
      <c r="AG572" s="51"/>
    </row>
    <row r="573" spans="1:33" ht="15.75" customHeight="1">
      <c r="A573" s="51"/>
      <c r="B573" s="51"/>
      <c r="C573" s="51"/>
      <c r="D573" s="51"/>
      <c r="E573" s="51"/>
      <c r="F573" s="51"/>
      <c r="G573" s="51"/>
      <c r="H573" s="51"/>
      <c r="I573" s="51"/>
      <c r="J573" s="55"/>
      <c r="K573" s="55"/>
      <c r="L573" s="55"/>
      <c r="M573" s="55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82"/>
      <c r="Z573" s="51"/>
      <c r="AA573" s="51"/>
      <c r="AB573" s="51"/>
      <c r="AC573" s="51"/>
      <c r="AD573" s="51"/>
      <c r="AE573" s="51"/>
      <c r="AF573" s="51"/>
      <c r="AG573" s="51"/>
    </row>
    <row r="574" spans="1:33" ht="15.75" customHeight="1">
      <c r="A574" s="51"/>
      <c r="B574" s="51"/>
      <c r="C574" s="51"/>
      <c r="D574" s="51"/>
      <c r="E574" s="51"/>
      <c r="F574" s="51"/>
      <c r="G574" s="51"/>
      <c r="H574" s="51"/>
      <c r="I574" s="51"/>
      <c r="J574" s="55"/>
      <c r="K574" s="55"/>
      <c r="L574" s="55"/>
      <c r="M574" s="55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82"/>
      <c r="Z574" s="51"/>
      <c r="AA574" s="51"/>
      <c r="AB574" s="51"/>
      <c r="AC574" s="51"/>
      <c r="AD574" s="51"/>
      <c r="AE574" s="51"/>
      <c r="AF574" s="51"/>
      <c r="AG574" s="51"/>
    </row>
    <row r="575" spans="1:33" ht="15.75" customHeight="1">
      <c r="A575" s="51"/>
      <c r="B575" s="51"/>
      <c r="C575" s="51"/>
      <c r="D575" s="51"/>
      <c r="E575" s="51"/>
      <c r="F575" s="51"/>
      <c r="G575" s="51"/>
      <c r="H575" s="51"/>
      <c r="I575" s="51"/>
      <c r="J575" s="55"/>
      <c r="K575" s="55"/>
      <c r="L575" s="55"/>
      <c r="M575" s="55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82"/>
      <c r="Z575" s="51"/>
      <c r="AA575" s="51"/>
      <c r="AB575" s="51"/>
      <c r="AC575" s="51"/>
      <c r="AD575" s="51"/>
      <c r="AE575" s="51"/>
      <c r="AF575" s="51"/>
      <c r="AG575" s="51"/>
    </row>
    <row r="576" spans="1:33" ht="15.75" customHeight="1">
      <c r="A576" s="51"/>
      <c r="B576" s="51"/>
      <c r="C576" s="51"/>
      <c r="D576" s="51"/>
      <c r="E576" s="51"/>
      <c r="F576" s="51"/>
      <c r="G576" s="51"/>
      <c r="H576" s="51"/>
      <c r="I576" s="51"/>
      <c r="J576" s="55"/>
      <c r="K576" s="55"/>
      <c r="L576" s="55"/>
      <c r="M576" s="55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82"/>
      <c r="Z576" s="51"/>
      <c r="AA576" s="51"/>
      <c r="AB576" s="51"/>
      <c r="AC576" s="51"/>
      <c r="AD576" s="51"/>
      <c r="AE576" s="51"/>
      <c r="AF576" s="51"/>
      <c r="AG576" s="51"/>
    </row>
    <row r="577" spans="1:33" ht="15.75" customHeight="1">
      <c r="A577" s="51"/>
      <c r="B577" s="51"/>
      <c r="C577" s="51"/>
      <c r="D577" s="51"/>
      <c r="E577" s="51"/>
      <c r="F577" s="51"/>
      <c r="G577" s="51"/>
      <c r="H577" s="51"/>
      <c r="I577" s="51"/>
      <c r="J577" s="55"/>
      <c r="K577" s="55"/>
      <c r="L577" s="55"/>
      <c r="M577" s="55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82"/>
      <c r="Z577" s="51"/>
      <c r="AA577" s="51"/>
      <c r="AB577" s="51"/>
      <c r="AC577" s="51"/>
      <c r="AD577" s="51"/>
      <c r="AE577" s="51"/>
      <c r="AF577" s="51"/>
      <c r="AG577" s="51"/>
    </row>
    <row r="578" spans="1:33" ht="15.75" customHeight="1">
      <c r="A578" s="51"/>
      <c r="B578" s="51"/>
      <c r="C578" s="51"/>
      <c r="D578" s="51"/>
      <c r="E578" s="51"/>
      <c r="F578" s="51"/>
      <c r="G578" s="51"/>
      <c r="H578" s="51"/>
      <c r="I578" s="51"/>
      <c r="J578" s="55"/>
      <c r="K578" s="55"/>
      <c r="L578" s="55"/>
      <c r="M578" s="55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82"/>
      <c r="Z578" s="51"/>
      <c r="AA578" s="51"/>
      <c r="AB578" s="51"/>
      <c r="AC578" s="51"/>
      <c r="AD578" s="51"/>
      <c r="AE578" s="51"/>
      <c r="AF578" s="51"/>
      <c r="AG578" s="51"/>
    </row>
    <row r="579" spans="1:33" ht="15.75" customHeight="1">
      <c r="A579" s="51"/>
      <c r="B579" s="51"/>
      <c r="C579" s="51"/>
      <c r="D579" s="51"/>
      <c r="E579" s="51"/>
      <c r="F579" s="51"/>
      <c r="G579" s="51"/>
      <c r="H579" s="51"/>
      <c r="I579" s="51"/>
      <c r="J579" s="55"/>
      <c r="K579" s="55"/>
      <c r="L579" s="55"/>
      <c r="M579" s="55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82"/>
      <c r="Z579" s="51"/>
      <c r="AA579" s="51"/>
      <c r="AB579" s="51"/>
      <c r="AC579" s="51"/>
      <c r="AD579" s="51"/>
      <c r="AE579" s="51"/>
      <c r="AF579" s="51"/>
      <c r="AG579" s="51"/>
    </row>
    <row r="580" spans="1:33" ht="15.75" customHeight="1">
      <c r="A580" s="51"/>
      <c r="B580" s="51"/>
      <c r="C580" s="51"/>
      <c r="D580" s="51"/>
      <c r="E580" s="51"/>
      <c r="F580" s="51"/>
      <c r="G580" s="51"/>
      <c r="H580" s="51"/>
      <c r="I580" s="51"/>
      <c r="J580" s="55"/>
      <c r="K580" s="55"/>
      <c r="L580" s="55"/>
      <c r="M580" s="55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82"/>
      <c r="Z580" s="51"/>
      <c r="AA580" s="51"/>
      <c r="AB580" s="51"/>
      <c r="AC580" s="51"/>
      <c r="AD580" s="51"/>
      <c r="AE580" s="51"/>
      <c r="AF580" s="51"/>
      <c r="AG580" s="51"/>
    </row>
    <row r="581" spans="1:33" ht="15.75" customHeight="1">
      <c r="A581" s="51"/>
      <c r="B581" s="51"/>
      <c r="C581" s="51"/>
      <c r="D581" s="51"/>
      <c r="E581" s="51"/>
      <c r="F581" s="51"/>
      <c r="G581" s="51"/>
      <c r="H581" s="51"/>
      <c r="I581" s="51"/>
      <c r="J581" s="55"/>
      <c r="K581" s="55"/>
      <c r="L581" s="55"/>
      <c r="M581" s="55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82"/>
      <c r="Z581" s="51"/>
      <c r="AA581" s="51"/>
      <c r="AB581" s="51"/>
      <c r="AC581" s="51"/>
      <c r="AD581" s="51"/>
      <c r="AE581" s="51"/>
      <c r="AF581" s="51"/>
      <c r="AG581" s="51"/>
    </row>
    <row r="582" spans="1:33" ht="15.75" customHeight="1">
      <c r="A582" s="51"/>
      <c r="B582" s="51"/>
      <c r="C582" s="51"/>
      <c r="D582" s="51"/>
      <c r="E582" s="51"/>
      <c r="F582" s="51"/>
      <c r="G582" s="51"/>
      <c r="H582" s="51"/>
      <c r="I582" s="51"/>
      <c r="J582" s="55"/>
      <c r="K582" s="55"/>
      <c r="L582" s="55"/>
      <c r="M582" s="55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82"/>
      <c r="Z582" s="51"/>
      <c r="AA582" s="51"/>
      <c r="AB582" s="51"/>
      <c r="AC582" s="51"/>
      <c r="AD582" s="51"/>
      <c r="AE582" s="51"/>
      <c r="AF582" s="51"/>
      <c r="AG582" s="51"/>
    </row>
    <row r="583" spans="1:33" ht="15.75" customHeight="1">
      <c r="A583" s="51"/>
      <c r="B583" s="51"/>
      <c r="C583" s="51"/>
      <c r="D583" s="51"/>
      <c r="E583" s="51"/>
      <c r="F583" s="51"/>
      <c r="G583" s="51"/>
      <c r="H583" s="51"/>
      <c r="I583" s="51"/>
      <c r="J583" s="55"/>
      <c r="K583" s="55"/>
      <c r="L583" s="55"/>
      <c r="M583" s="55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82"/>
      <c r="Z583" s="51"/>
      <c r="AA583" s="51"/>
      <c r="AB583" s="51"/>
      <c r="AC583" s="51"/>
      <c r="AD583" s="51"/>
      <c r="AE583" s="51"/>
      <c r="AF583" s="51"/>
      <c r="AG583" s="51"/>
    </row>
    <row r="584" spans="1:33" ht="15.75" customHeight="1">
      <c r="A584" s="51"/>
      <c r="B584" s="51"/>
      <c r="C584" s="51"/>
      <c r="D584" s="51"/>
      <c r="E584" s="51"/>
      <c r="F584" s="51"/>
      <c r="G584" s="51"/>
      <c r="H584" s="51"/>
      <c r="I584" s="51"/>
      <c r="J584" s="55"/>
      <c r="K584" s="55"/>
      <c r="L584" s="55"/>
      <c r="M584" s="55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82"/>
      <c r="Z584" s="51"/>
      <c r="AA584" s="51"/>
      <c r="AB584" s="51"/>
      <c r="AC584" s="51"/>
      <c r="AD584" s="51"/>
      <c r="AE584" s="51"/>
      <c r="AF584" s="51"/>
      <c r="AG584" s="51"/>
    </row>
    <row r="585" spans="1:33" ht="15.75" customHeight="1">
      <c r="A585" s="51"/>
      <c r="B585" s="51"/>
      <c r="C585" s="51"/>
      <c r="D585" s="51"/>
      <c r="E585" s="51"/>
      <c r="F585" s="51"/>
      <c r="G585" s="51"/>
      <c r="H585" s="51"/>
      <c r="I585" s="51"/>
      <c r="J585" s="55"/>
      <c r="K585" s="55"/>
      <c r="L585" s="55"/>
      <c r="M585" s="55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82"/>
      <c r="Z585" s="51"/>
      <c r="AA585" s="51"/>
      <c r="AB585" s="51"/>
      <c r="AC585" s="51"/>
      <c r="AD585" s="51"/>
      <c r="AE585" s="51"/>
      <c r="AF585" s="51"/>
      <c r="AG585" s="51"/>
    </row>
    <row r="586" spans="1:33" ht="15.75" customHeight="1">
      <c r="A586" s="51"/>
      <c r="B586" s="51"/>
      <c r="C586" s="51"/>
      <c r="D586" s="51"/>
      <c r="E586" s="51"/>
      <c r="F586" s="51"/>
      <c r="G586" s="51"/>
      <c r="H586" s="51"/>
      <c r="I586" s="51"/>
      <c r="J586" s="55"/>
      <c r="K586" s="55"/>
      <c r="L586" s="55"/>
      <c r="M586" s="55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82"/>
      <c r="Z586" s="51"/>
      <c r="AA586" s="51"/>
      <c r="AB586" s="51"/>
      <c r="AC586" s="51"/>
      <c r="AD586" s="51"/>
      <c r="AE586" s="51"/>
      <c r="AF586" s="51"/>
      <c r="AG586" s="51"/>
    </row>
    <row r="587" spans="1:33" ht="15.75" customHeight="1">
      <c r="A587" s="51"/>
      <c r="B587" s="51"/>
      <c r="C587" s="51"/>
      <c r="D587" s="51"/>
      <c r="E587" s="51"/>
      <c r="F587" s="51"/>
      <c r="G587" s="51"/>
      <c r="H587" s="51"/>
      <c r="I587" s="51"/>
      <c r="J587" s="55"/>
      <c r="K587" s="55"/>
      <c r="L587" s="55"/>
      <c r="M587" s="55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82"/>
      <c r="Z587" s="51"/>
      <c r="AA587" s="51"/>
      <c r="AB587" s="51"/>
      <c r="AC587" s="51"/>
      <c r="AD587" s="51"/>
      <c r="AE587" s="51"/>
      <c r="AF587" s="51"/>
      <c r="AG587" s="51"/>
    </row>
    <row r="588" spans="1:33" ht="15.75" customHeight="1">
      <c r="A588" s="51"/>
      <c r="B588" s="51"/>
      <c r="C588" s="51"/>
      <c r="D588" s="51"/>
      <c r="E588" s="51"/>
      <c r="F588" s="51"/>
      <c r="G588" s="51"/>
      <c r="H588" s="51"/>
      <c r="I588" s="51"/>
      <c r="J588" s="55"/>
      <c r="K588" s="55"/>
      <c r="L588" s="55"/>
      <c r="M588" s="55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82"/>
      <c r="Z588" s="51"/>
      <c r="AA588" s="51"/>
      <c r="AB588" s="51"/>
      <c r="AC588" s="51"/>
      <c r="AD588" s="51"/>
      <c r="AE588" s="51"/>
      <c r="AF588" s="51"/>
      <c r="AG588" s="51"/>
    </row>
    <row r="589" spans="1:33" ht="15.75" customHeight="1">
      <c r="A589" s="51"/>
      <c r="B589" s="51"/>
      <c r="C589" s="51"/>
      <c r="D589" s="51"/>
      <c r="E589" s="51"/>
      <c r="F589" s="51"/>
      <c r="G589" s="51"/>
      <c r="H589" s="51"/>
      <c r="I589" s="51"/>
      <c r="J589" s="55"/>
      <c r="K589" s="55"/>
      <c r="L589" s="55"/>
      <c r="M589" s="55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82"/>
      <c r="Z589" s="51"/>
      <c r="AA589" s="51"/>
      <c r="AB589" s="51"/>
      <c r="AC589" s="51"/>
      <c r="AD589" s="51"/>
      <c r="AE589" s="51"/>
      <c r="AF589" s="51"/>
      <c r="AG589" s="51"/>
    </row>
    <row r="590" spans="1:33" ht="15.75" customHeight="1">
      <c r="A590" s="51"/>
      <c r="B590" s="51"/>
      <c r="C590" s="51"/>
      <c r="D590" s="51"/>
      <c r="E590" s="51"/>
      <c r="F590" s="51"/>
      <c r="G590" s="51"/>
      <c r="H590" s="51"/>
      <c r="I590" s="51"/>
      <c r="J590" s="55"/>
      <c r="K590" s="55"/>
      <c r="L590" s="55"/>
      <c r="M590" s="55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82"/>
      <c r="Z590" s="51"/>
      <c r="AA590" s="51"/>
      <c r="AB590" s="51"/>
      <c r="AC590" s="51"/>
      <c r="AD590" s="51"/>
      <c r="AE590" s="51"/>
      <c r="AF590" s="51"/>
      <c r="AG590" s="51"/>
    </row>
    <row r="591" spans="1:33" ht="15.75" customHeight="1">
      <c r="A591" s="51"/>
      <c r="B591" s="51"/>
      <c r="C591" s="51"/>
      <c r="D591" s="51"/>
      <c r="E591" s="51"/>
      <c r="F591" s="51"/>
      <c r="G591" s="51"/>
      <c r="H591" s="51"/>
      <c r="I591" s="51"/>
      <c r="J591" s="55"/>
      <c r="K591" s="55"/>
      <c r="L591" s="55"/>
      <c r="M591" s="55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82"/>
      <c r="Z591" s="51"/>
      <c r="AA591" s="51"/>
      <c r="AB591" s="51"/>
      <c r="AC591" s="51"/>
      <c r="AD591" s="51"/>
      <c r="AE591" s="51"/>
      <c r="AF591" s="51"/>
      <c r="AG591" s="51"/>
    </row>
    <row r="592" spans="1:33" ht="15.75" customHeight="1">
      <c r="A592" s="51"/>
      <c r="B592" s="51"/>
      <c r="C592" s="51"/>
      <c r="D592" s="51"/>
      <c r="E592" s="51"/>
      <c r="F592" s="51"/>
      <c r="G592" s="51"/>
      <c r="H592" s="51"/>
      <c r="I592" s="51"/>
      <c r="J592" s="55"/>
      <c r="K592" s="55"/>
      <c r="L592" s="55"/>
      <c r="M592" s="55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82"/>
      <c r="Z592" s="51"/>
      <c r="AA592" s="51"/>
      <c r="AB592" s="51"/>
      <c r="AC592" s="51"/>
      <c r="AD592" s="51"/>
      <c r="AE592" s="51"/>
      <c r="AF592" s="51"/>
      <c r="AG592" s="51"/>
    </row>
    <row r="593" spans="1:33" ht="15.75" customHeight="1">
      <c r="A593" s="51"/>
      <c r="B593" s="51"/>
      <c r="C593" s="51"/>
      <c r="D593" s="51"/>
      <c r="E593" s="51"/>
      <c r="F593" s="51"/>
      <c r="G593" s="51"/>
      <c r="H593" s="51"/>
      <c r="I593" s="51"/>
      <c r="J593" s="55"/>
      <c r="K593" s="55"/>
      <c r="L593" s="55"/>
      <c r="M593" s="55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82"/>
      <c r="Z593" s="51"/>
      <c r="AA593" s="51"/>
      <c r="AB593" s="51"/>
      <c r="AC593" s="51"/>
      <c r="AD593" s="51"/>
      <c r="AE593" s="51"/>
      <c r="AF593" s="51"/>
      <c r="AG593" s="51"/>
    </row>
    <row r="594" spans="1:33" ht="15.75" customHeight="1">
      <c r="A594" s="51"/>
      <c r="B594" s="51"/>
      <c r="C594" s="51"/>
      <c r="D594" s="51"/>
      <c r="E594" s="51"/>
      <c r="F594" s="51"/>
      <c r="G594" s="51"/>
      <c r="H594" s="51"/>
      <c r="I594" s="51"/>
      <c r="J594" s="55"/>
      <c r="K594" s="55"/>
      <c r="L594" s="55"/>
      <c r="M594" s="55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82"/>
      <c r="Z594" s="51"/>
      <c r="AA594" s="51"/>
      <c r="AB594" s="51"/>
      <c r="AC594" s="51"/>
      <c r="AD594" s="51"/>
      <c r="AE594" s="51"/>
      <c r="AF594" s="51"/>
      <c r="AG594" s="51"/>
    </row>
    <row r="595" spans="1:33" ht="15.75" customHeight="1">
      <c r="A595" s="51"/>
      <c r="B595" s="51"/>
      <c r="C595" s="51"/>
      <c r="D595" s="51"/>
      <c r="E595" s="51"/>
      <c r="F595" s="51"/>
      <c r="G595" s="51"/>
      <c r="H595" s="51"/>
      <c r="I595" s="51"/>
      <c r="J595" s="55"/>
      <c r="K595" s="55"/>
      <c r="L595" s="55"/>
      <c r="M595" s="55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82"/>
      <c r="Z595" s="51"/>
      <c r="AA595" s="51"/>
      <c r="AB595" s="51"/>
      <c r="AC595" s="51"/>
      <c r="AD595" s="51"/>
      <c r="AE595" s="51"/>
      <c r="AF595" s="51"/>
      <c r="AG595" s="51"/>
    </row>
    <row r="596" spans="1:33" ht="15.75" customHeight="1">
      <c r="A596" s="51"/>
      <c r="B596" s="51"/>
      <c r="C596" s="51"/>
      <c r="D596" s="51"/>
      <c r="E596" s="51"/>
      <c r="F596" s="51"/>
      <c r="G596" s="51"/>
      <c r="H596" s="51"/>
      <c r="I596" s="51"/>
      <c r="J596" s="55"/>
      <c r="K596" s="55"/>
      <c r="L596" s="55"/>
      <c r="M596" s="55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82"/>
      <c r="Z596" s="51"/>
      <c r="AA596" s="51"/>
      <c r="AB596" s="51"/>
      <c r="AC596" s="51"/>
      <c r="AD596" s="51"/>
      <c r="AE596" s="51"/>
      <c r="AF596" s="51"/>
      <c r="AG596" s="51"/>
    </row>
    <row r="597" spans="1:33" ht="15.75" customHeight="1">
      <c r="A597" s="51"/>
      <c r="B597" s="51"/>
      <c r="C597" s="51"/>
      <c r="D597" s="51"/>
      <c r="E597" s="51"/>
      <c r="F597" s="51"/>
      <c r="G597" s="51"/>
      <c r="H597" s="51"/>
      <c r="I597" s="51"/>
      <c r="J597" s="55"/>
      <c r="K597" s="55"/>
      <c r="L597" s="55"/>
      <c r="M597" s="55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82"/>
      <c r="Z597" s="51"/>
      <c r="AA597" s="51"/>
      <c r="AB597" s="51"/>
      <c r="AC597" s="51"/>
      <c r="AD597" s="51"/>
      <c r="AE597" s="51"/>
      <c r="AF597" s="51"/>
      <c r="AG597" s="51"/>
    </row>
    <row r="598" spans="1:33" ht="15.75" customHeight="1">
      <c r="A598" s="51"/>
      <c r="B598" s="51"/>
      <c r="C598" s="51"/>
      <c r="D598" s="51"/>
      <c r="E598" s="51"/>
      <c r="F598" s="51"/>
      <c r="G598" s="51"/>
      <c r="H598" s="51"/>
      <c r="I598" s="51"/>
      <c r="J598" s="55"/>
      <c r="K598" s="55"/>
      <c r="L598" s="55"/>
      <c r="M598" s="55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82"/>
      <c r="Z598" s="51"/>
      <c r="AA598" s="51"/>
      <c r="AB598" s="51"/>
      <c r="AC598" s="51"/>
      <c r="AD598" s="51"/>
      <c r="AE598" s="51"/>
      <c r="AF598" s="51"/>
      <c r="AG598" s="51"/>
    </row>
    <row r="599" spans="1:33" ht="15.75" customHeight="1">
      <c r="A599" s="51"/>
      <c r="B599" s="51"/>
      <c r="C599" s="51"/>
      <c r="D599" s="51"/>
      <c r="E599" s="51"/>
      <c r="F599" s="51"/>
      <c r="G599" s="51"/>
      <c r="H599" s="51"/>
      <c r="I599" s="51"/>
      <c r="J599" s="55"/>
      <c r="K599" s="55"/>
      <c r="L599" s="55"/>
      <c r="M599" s="55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82"/>
      <c r="Z599" s="51"/>
      <c r="AA599" s="51"/>
      <c r="AB599" s="51"/>
      <c r="AC599" s="51"/>
      <c r="AD599" s="51"/>
      <c r="AE599" s="51"/>
      <c r="AF599" s="51"/>
      <c r="AG599" s="51"/>
    </row>
    <row r="600" spans="1:33" ht="15.75" customHeight="1">
      <c r="A600" s="51"/>
      <c r="B600" s="51"/>
      <c r="C600" s="51"/>
      <c r="D600" s="51"/>
      <c r="E600" s="51"/>
      <c r="F600" s="51"/>
      <c r="G600" s="51"/>
      <c r="H600" s="51"/>
      <c r="I600" s="51"/>
      <c r="J600" s="55"/>
      <c r="K600" s="55"/>
      <c r="L600" s="55"/>
      <c r="M600" s="55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82"/>
      <c r="Z600" s="51"/>
      <c r="AA600" s="51"/>
      <c r="AB600" s="51"/>
      <c r="AC600" s="51"/>
      <c r="AD600" s="51"/>
      <c r="AE600" s="51"/>
      <c r="AF600" s="51"/>
      <c r="AG600" s="51"/>
    </row>
    <row r="601" spans="1:33" ht="15.75" customHeight="1">
      <c r="A601" s="51"/>
      <c r="B601" s="51"/>
      <c r="C601" s="51"/>
      <c r="D601" s="51"/>
      <c r="E601" s="51"/>
      <c r="F601" s="51"/>
      <c r="G601" s="51"/>
      <c r="H601" s="51"/>
      <c r="I601" s="51"/>
      <c r="J601" s="55"/>
      <c r="K601" s="55"/>
      <c r="L601" s="55"/>
      <c r="M601" s="55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82"/>
      <c r="Z601" s="51"/>
      <c r="AA601" s="51"/>
      <c r="AB601" s="51"/>
      <c r="AC601" s="51"/>
      <c r="AD601" s="51"/>
      <c r="AE601" s="51"/>
      <c r="AF601" s="51"/>
      <c r="AG601" s="51"/>
    </row>
    <row r="602" spans="1:33" ht="15.75" customHeight="1">
      <c r="A602" s="51"/>
      <c r="B602" s="51"/>
      <c r="C602" s="51"/>
      <c r="D602" s="51"/>
      <c r="E602" s="51"/>
      <c r="F602" s="51"/>
      <c r="G602" s="51"/>
      <c r="H602" s="51"/>
      <c r="I602" s="51"/>
      <c r="J602" s="55"/>
      <c r="K602" s="55"/>
      <c r="L602" s="55"/>
      <c r="M602" s="55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82"/>
      <c r="Z602" s="51"/>
      <c r="AA602" s="51"/>
      <c r="AB602" s="51"/>
      <c r="AC602" s="51"/>
      <c r="AD602" s="51"/>
      <c r="AE602" s="51"/>
      <c r="AF602" s="51"/>
      <c r="AG602" s="51"/>
    </row>
    <row r="603" spans="1:33" ht="15.75" customHeight="1">
      <c r="A603" s="51"/>
      <c r="B603" s="51"/>
      <c r="C603" s="51"/>
      <c r="D603" s="51"/>
      <c r="E603" s="51"/>
      <c r="F603" s="51"/>
      <c r="G603" s="51"/>
      <c r="H603" s="51"/>
      <c r="I603" s="51"/>
      <c r="J603" s="55"/>
      <c r="K603" s="55"/>
      <c r="L603" s="55"/>
      <c r="M603" s="55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82"/>
      <c r="Z603" s="51"/>
      <c r="AA603" s="51"/>
      <c r="AB603" s="51"/>
      <c r="AC603" s="51"/>
      <c r="AD603" s="51"/>
      <c r="AE603" s="51"/>
      <c r="AF603" s="51"/>
      <c r="AG603" s="51"/>
    </row>
    <row r="604" spans="1:33" ht="15.75" customHeight="1">
      <c r="A604" s="51"/>
      <c r="B604" s="51"/>
      <c r="C604" s="51"/>
      <c r="D604" s="51"/>
      <c r="E604" s="51"/>
      <c r="F604" s="51"/>
      <c r="G604" s="51"/>
      <c r="H604" s="51"/>
      <c r="I604" s="51"/>
      <c r="J604" s="55"/>
      <c r="K604" s="55"/>
      <c r="L604" s="55"/>
      <c r="M604" s="55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82"/>
      <c r="Z604" s="51"/>
      <c r="AA604" s="51"/>
      <c r="AB604" s="51"/>
      <c r="AC604" s="51"/>
      <c r="AD604" s="51"/>
      <c r="AE604" s="51"/>
      <c r="AF604" s="51"/>
      <c r="AG604" s="51"/>
    </row>
    <row r="605" spans="1:33" ht="15.75" customHeight="1">
      <c r="A605" s="51"/>
      <c r="B605" s="51"/>
      <c r="C605" s="51"/>
      <c r="D605" s="51"/>
      <c r="E605" s="51"/>
      <c r="F605" s="51"/>
      <c r="G605" s="51"/>
      <c r="H605" s="51"/>
      <c r="I605" s="51"/>
      <c r="J605" s="55"/>
      <c r="K605" s="55"/>
      <c r="L605" s="55"/>
      <c r="M605" s="55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82"/>
      <c r="Z605" s="51"/>
      <c r="AA605" s="51"/>
      <c r="AB605" s="51"/>
      <c r="AC605" s="51"/>
      <c r="AD605" s="51"/>
      <c r="AE605" s="51"/>
      <c r="AF605" s="51"/>
      <c r="AG605" s="51"/>
    </row>
    <row r="606" spans="1:33" ht="15.75" customHeight="1">
      <c r="A606" s="51"/>
      <c r="B606" s="51"/>
      <c r="C606" s="51"/>
      <c r="D606" s="51"/>
      <c r="E606" s="51"/>
      <c r="F606" s="51"/>
      <c r="G606" s="51"/>
      <c r="H606" s="51"/>
      <c r="I606" s="51"/>
      <c r="J606" s="55"/>
      <c r="K606" s="55"/>
      <c r="L606" s="55"/>
      <c r="M606" s="55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82"/>
      <c r="Z606" s="51"/>
      <c r="AA606" s="51"/>
      <c r="AB606" s="51"/>
      <c r="AC606" s="51"/>
      <c r="AD606" s="51"/>
      <c r="AE606" s="51"/>
      <c r="AF606" s="51"/>
      <c r="AG606" s="51"/>
    </row>
    <row r="607" spans="1:33" ht="15.75" customHeight="1">
      <c r="A607" s="51"/>
      <c r="B607" s="51"/>
      <c r="C607" s="51"/>
      <c r="D607" s="51"/>
      <c r="E607" s="51"/>
      <c r="F607" s="51"/>
      <c r="G607" s="51"/>
      <c r="H607" s="51"/>
      <c r="I607" s="51"/>
      <c r="J607" s="55"/>
      <c r="K607" s="55"/>
      <c r="L607" s="55"/>
      <c r="M607" s="55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82"/>
      <c r="Z607" s="51"/>
      <c r="AA607" s="51"/>
      <c r="AB607" s="51"/>
      <c r="AC607" s="51"/>
      <c r="AD607" s="51"/>
      <c r="AE607" s="51"/>
      <c r="AF607" s="51"/>
      <c r="AG607" s="51"/>
    </row>
    <row r="608" spans="1:33" ht="15.75" customHeight="1">
      <c r="A608" s="51"/>
      <c r="B608" s="51"/>
      <c r="C608" s="51"/>
      <c r="D608" s="51"/>
      <c r="E608" s="51"/>
      <c r="F608" s="51"/>
      <c r="G608" s="51"/>
      <c r="H608" s="51"/>
      <c r="I608" s="51"/>
      <c r="J608" s="55"/>
      <c r="K608" s="55"/>
      <c r="L608" s="55"/>
      <c r="M608" s="55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82"/>
      <c r="Z608" s="51"/>
      <c r="AA608" s="51"/>
      <c r="AB608" s="51"/>
      <c r="AC608" s="51"/>
      <c r="AD608" s="51"/>
      <c r="AE608" s="51"/>
      <c r="AF608" s="51"/>
      <c r="AG608" s="51"/>
    </row>
    <row r="609" spans="1:33" ht="15.75" customHeight="1">
      <c r="A609" s="51"/>
      <c r="B609" s="51"/>
      <c r="C609" s="51"/>
      <c r="D609" s="51"/>
      <c r="E609" s="51"/>
      <c r="F609" s="51"/>
      <c r="G609" s="51"/>
      <c r="H609" s="51"/>
      <c r="I609" s="51"/>
      <c r="J609" s="55"/>
      <c r="K609" s="55"/>
      <c r="L609" s="55"/>
      <c r="M609" s="55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82"/>
      <c r="Z609" s="51"/>
      <c r="AA609" s="51"/>
      <c r="AB609" s="51"/>
      <c r="AC609" s="51"/>
      <c r="AD609" s="51"/>
      <c r="AE609" s="51"/>
      <c r="AF609" s="51"/>
      <c r="AG609" s="51"/>
    </row>
    <row r="610" spans="1:33" ht="15.75" customHeight="1">
      <c r="A610" s="51"/>
      <c r="B610" s="51"/>
      <c r="C610" s="51"/>
      <c r="D610" s="51"/>
      <c r="E610" s="51"/>
      <c r="F610" s="51"/>
      <c r="G610" s="51"/>
      <c r="H610" s="51"/>
      <c r="I610" s="51"/>
      <c r="J610" s="55"/>
      <c r="K610" s="55"/>
      <c r="L610" s="55"/>
      <c r="M610" s="55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82"/>
      <c r="Z610" s="51"/>
      <c r="AA610" s="51"/>
      <c r="AB610" s="51"/>
      <c r="AC610" s="51"/>
      <c r="AD610" s="51"/>
      <c r="AE610" s="51"/>
      <c r="AF610" s="51"/>
      <c r="AG610" s="51"/>
    </row>
    <row r="611" spans="1:33" ht="15.75" customHeight="1">
      <c r="A611" s="51"/>
      <c r="B611" s="51"/>
      <c r="C611" s="51"/>
      <c r="D611" s="51"/>
      <c r="E611" s="51"/>
      <c r="F611" s="51"/>
      <c r="G611" s="51"/>
      <c r="H611" s="51"/>
      <c r="I611" s="51"/>
      <c r="J611" s="55"/>
      <c r="K611" s="55"/>
      <c r="L611" s="55"/>
      <c r="M611" s="55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82"/>
      <c r="Z611" s="51"/>
      <c r="AA611" s="51"/>
      <c r="AB611" s="51"/>
      <c r="AC611" s="51"/>
      <c r="AD611" s="51"/>
      <c r="AE611" s="51"/>
      <c r="AF611" s="51"/>
      <c r="AG611" s="51"/>
    </row>
    <row r="612" spans="1:33" ht="15.75" customHeight="1">
      <c r="A612" s="51"/>
      <c r="B612" s="51"/>
      <c r="C612" s="51"/>
      <c r="D612" s="51"/>
      <c r="E612" s="51"/>
      <c r="F612" s="51"/>
      <c r="G612" s="51"/>
      <c r="H612" s="51"/>
      <c r="I612" s="51"/>
      <c r="J612" s="55"/>
      <c r="K612" s="55"/>
      <c r="L612" s="55"/>
      <c r="M612" s="55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82"/>
      <c r="Z612" s="51"/>
      <c r="AA612" s="51"/>
      <c r="AB612" s="51"/>
      <c r="AC612" s="51"/>
      <c r="AD612" s="51"/>
      <c r="AE612" s="51"/>
      <c r="AF612" s="51"/>
      <c r="AG612" s="51"/>
    </row>
    <row r="613" spans="1:33" ht="15.75" customHeight="1">
      <c r="A613" s="51"/>
      <c r="B613" s="51"/>
      <c r="C613" s="51"/>
      <c r="D613" s="51"/>
      <c r="E613" s="51"/>
      <c r="F613" s="51"/>
      <c r="G613" s="51"/>
      <c r="H613" s="51"/>
      <c r="I613" s="51"/>
      <c r="J613" s="55"/>
      <c r="K613" s="55"/>
      <c r="L613" s="55"/>
      <c r="M613" s="55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82"/>
      <c r="Z613" s="51"/>
      <c r="AA613" s="51"/>
      <c r="AB613" s="51"/>
      <c r="AC613" s="51"/>
      <c r="AD613" s="51"/>
      <c r="AE613" s="51"/>
      <c r="AF613" s="51"/>
      <c r="AG613" s="51"/>
    </row>
    <row r="614" spans="1:33" ht="15.75" customHeight="1">
      <c r="A614" s="51"/>
      <c r="B614" s="51"/>
      <c r="C614" s="51"/>
      <c r="D614" s="51"/>
      <c r="E614" s="51"/>
      <c r="F614" s="51"/>
      <c r="G614" s="51"/>
      <c r="H614" s="51"/>
      <c r="I614" s="51"/>
      <c r="J614" s="55"/>
      <c r="K614" s="55"/>
      <c r="L614" s="55"/>
      <c r="M614" s="55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82"/>
      <c r="Z614" s="51"/>
      <c r="AA614" s="51"/>
      <c r="AB614" s="51"/>
      <c r="AC614" s="51"/>
      <c r="AD614" s="51"/>
      <c r="AE614" s="51"/>
      <c r="AF614" s="51"/>
      <c r="AG614" s="51"/>
    </row>
    <row r="615" spans="1:33" ht="15.75" customHeight="1">
      <c r="A615" s="51"/>
      <c r="B615" s="51"/>
      <c r="C615" s="51"/>
      <c r="D615" s="51"/>
      <c r="E615" s="51"/>
      <c r="F615" s="51"/>
      <c r="G615" s="51"/>
      <c r="H615" s="51"/>
      <c r="I615" s="51"/>
      <c r="J615" s="55"/>
      <c r="K615" s="55"/>
      <c r="L615" s="55"/>
      <c r="M615" s="55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82"/>
      <c r="Z615" s="51"/>
      <c r="AA615" s="51"/>
      <c r="AB615" s="51"/>
      <c r="AC615" s="51"/>
      <c r="AD615" s="51"/>
      <c r="AE615" s="51"/>
      <c r="AF615" s="51"/>
      <c r="AG615" s="51"/>
    </row>
    <row r="616" spans="1:33" ht="15.75" customHeight="1">
      <c r="A616" s="51"/>
      <c r="B616" s="51"/>
      <c r="C616" s="51"/>
      <c r="D616" s="51"/>
      <c r="E616" s="51"/>
      <c r="F616" s="51"/>
      <c r="G616" s="51"/>
      <c r="H616" s="51"/>
      <c r="I616" s="51"/>
      <c r="J616" s="55"/>
      <c r="K616" s="55"/>
      <c r="L616" s="55"/>
      <c r="M616" s="55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82"/>
      <c r="Z616" s="51"/>
      <c r="AA616" s="51"/>
      <c r="AB616" s="51"/>
      <c r="AC616" s="51"/>
      <c r="AD616" s="51"/>
      <c r="AE616" s="51"/>
      <c r="AF616" s="51"/>
      <c r="AG616" s="51"/>
    </row>
    <row r="617" spans="1:33" ht="15.75" customHeight="1">
      <c r="A617" s="51"/>
      <c r="B617" s="51"/>
      <c r="C617" s="51"/>
      <c r="D617" s="51"/>
      <c r="E617" s="51"/>
      <c r="F617" s="51"/>
      <c r="G617" s="51"/>
      <c r="H617" s="51"/>
      <c r="I617" s="51"/>
      <c r="J617" s="55"/>
      <c r="K617" s="55"/>
      <c r="L617" s="55"/>
      <c r="M617" s="55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82"/>
      <c r="Z617" s="51"/>
      <c r="AA617" s="51"/>
      <c r="AB617" s="51"/>
      <c r="AC617" s="51"/>
      <c r="AD617" s="51"/>
      <c r="AE617" s="51"/>
      <c r="AF617" s="51"/>
      <c r="AG617" s="51"/>
    </row>
    <row r="618" spans="1:33" ht="15.75" customHeight="1">
      <c r="A618" s="51"/>
      <c r="B618" s="51"/>
      <c r="C618" s="51"/>
      <c r="D618" s="51"/>
      <c r="E618" s="51"/>
      <c r="F618" s="51"/>
      <c r="G618" s="51"/>
      <c r="H618" s="51"/>
      <c r="I618" s="51"/>
      <c r="J618" s="55"/>
      <c r="K618" s="55"/>
      <c r="L618" s="55"/>
      <c r="M618" s="55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82"/>
      <c r="Z618" s="51"/>
      <c r="AA618" s="51"/>
      <c r="AB618" s="51"/>
      <c r="AC618" s="51"/>
      <c r="AD618" s="51"/>
      <c r="AE618" s="51"/>
      <c r="AF618" s="51"/>
      <c r="AG618" s="51"/>
    </row>
    <row r="619" spans="1:33" ht="15.75" customHeight="1">
      <c r="A619" s="51"/>
      <c r="B619" s="51"/>
      <c r="C619" s="51"/>
      <c r="D619" s="51"/>
      <c r="E619" s="51"/>
      <c r="F619" s="51"/>
      <c r="G619" s="51"/>
      <c r="H619" s="51"/>
      <c r="I619" s="51"/>
      <c r="J619" s="55"/>
      <c r="K619" s="55"/>
      <c r="L619" s="55"/>
      <c r="M619" s="55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82"/>
      <c r="Z619" s="51"/>
      <c r="AA619" s="51"/>
      <c r="AB619" s="51"/>
      <c r="AC619" s="51"/>
      <c r="AD619" s="51"/>
      <c r="AE619" s="51"/>
      <c r="AF619" s="51"/>
      <c r="AG619" s="51"/>
    </row>
    <row r="620" spans="1:33" ht="15.75" customHeight="1">
      <c r="A620" s="51"/>
      <c r="B620" s="51"/>
      <c r="C620" s="51"/>
      <c r="D620" s="51"/>
      <c r="E620" s="51"/>
      <c r="F620" s="51"/>
      <c r="G620" s="51"/>
      <c r="H620" s="51"/>
      <c r="I620" s="51"/>
      <c r="J620" s="55"/>
      <c r="K620" s="55"/>
      <c r="L620" s="55"/>
      <c r="M620" s="55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82"/>
      <c r="Z620" s="51"/>
      <c r="AA620" s="51"/>
      <c r="AB620" s="51"/>
      <c r="AC620" s="51"/>
      <c r="AD620" s="51"/>
      <c r="AE620" s="51"/>
      <c r="AF620" s="51"/>
      <c r="AG620" s="51"/>
    </row>
    <row r="621" spans="1:33" ht="15.75" customHeight="1">
      <c r="A621" s="51"/>
      <c r="B621" s="51"/>
      <c r="C621" s="51"/>
      <c r="D621" s="51"/>
      <c r="E621" s="51"/>
      <c r="F621" s="51"/>
      <c r="G621" s="51"/>
      <c r="H621" s="51"/>
      <c r="I621" s="51"/>
      <c r="J621" s="55"/>
      <c r="K621" s="55"/>
      <c r="L621" s="55"/>
      <c r="M621" s="55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82"/>
      <c r="Z621" s="51"/>
      <c r="AA621" s="51"/>
      <c r="AB621" s="51"/>
      <c r="AC621" s="51"/>
      <c r="AD621" s="51"/>
      <c r="AE621" s="51"/>
      <c r="AF621" s="51"/>
      <c r="AG621" s="51"/>
    </row>
    <row r="622" spans="1:33" ht="15.75" customHeight="1">
      <c r="A622" s="51"/>
      <c r="B622" s="51"/>
      <c r="C622" s="51"/>
      <c r="D622" s="51"/>
      <c r="E622" s="51"/>
      <c r="F622" s="51"/>
      <c r="G622" s="51"/>
      <c r="H622" s="51"/>
      <c r="I622" s="51"/>
      <c r="J622" s="55"/>
      <c r="K622" s="55"/>
      <c r="L622" s="55"/>
      <c r="M622" s="55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82"/>
      <c r="Z622" s="51"/>
      <c r="AA622" s="51"/>
      <c r="AB622" s="51"/>
      <c r="AC622" s="51"/>
      <c r="AD622" s="51"/>
      <c r="AE622" s="51"/>
      <c r="AF622" s="51"/>
      <c r="AG622" s="51"/>
    </row>
    <row r="623" spans="1:33" ht="15.75" customHeight="1">
      <c r="A623" s="51"/>
      <c r="B623" s="51"/>
      <c r="C623" s="51"/>
      <c r="D623" s="51"/>
      <c r="E623" s="51"/>
      <c r="F623" s="51"/>
      <c r="G623" s="51"/>
      <c r="H623" s="51"/>
      <c r="I623" s="51"/>
      <c r="J623" s="55"/>
      <c r="K623" s="55"/>
      <c r="L623" s="55"/>
      <c r="M623" s="55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82"/>
      <c r="Z623" s="51"/>
      <c r="AA623" s="51"/>
      <c r="AB623" s="51"/>
      <c r="AC623" s="51"/>
      <c r="AD623" s="51"/>
      <c r="AE623" s="51"/>
      <c r="AF623" s="51"/>
      <c r="AG623" s="51"/>
    </row>
    <row r="624" spans="1:33" ht="15.75" customHeight="1">
      <c r="A624" s="51"/>
      <c r="B624" s="51"/>
      <c r="C624" s="51"/>
      <c r="D624" s="51"/>
      <c r="E624" s="51"/>
      <c r="F624" s="51"/>
      <c r="G624" s="51"/>
      <c r="H624" s="51"/>
      <c r="I624" s="51"/>
      <c r="J624" s="55"/>
      <c r="K624" s="55"/>
      <c r="L624" s="55"/>
      <c r="M624" s="55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82"/>
      <c r="Z624" s="51"/>
      <c r="AA624" s="51"/>
      <c r="AB624" s="51"/>
      <c r="AC624" s="51"/>
      <c r="AD624" s="51"/>
      <c r="AE624" s="51"/>
      <c r="AF624" s="51"/>
      <c r="AG624" s="51"/>
    </row>
    <row r="625" spans="1:33" ht="15.75" customHeight="1">
      <c r="A625" s="51"/>
      <c r="B625" s="51"/>
      <c r="C625" s="51"/>
      <c r="D625" s="51"/>
      <c r="E625" s="51"/>
      <c r="F625" s="51"/>
      <c r="G625" s="51"/>
      <c r="H625" s="51"/>
      <c r="I625" s="51"/>
      <c r="J625" s="55"/>
      <c r="K625" s="55"/>
      <c r="L625" s="55"/>
      <c r="M625" s="55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82"/>
      <c r="Z625" s="51"/>
      <c r="AA625" s="51"/>
      <c r="AB625" s="51"/>
      <c r="AC625" s="51"/>
      <c r="AD625" s="51"/>
      <c r="AE625" s="51"/>
      <c r="AF625" s="51"/>
      <c r="AG625" s="51"/>
    </row>
    <row r="626" spans="1:33" ht="15.75" customHeight="1">
      <c r="A626" s="51"/>
      <c r="B626" s="51"/>
      <c r="C626" s="51"/>
      <c r="D626" s="51"/>
      <c r="E626" s="51"/>
      <c r="F626" s="51"/>
      <c r="G626" s="51"/>
      <c r="H626" s="51"/>
      <c r="I626" s="51"/>
      <c r="J626" s="55"/>
      <c r="K626" s="55"/>
      <c r="L626" s="55"/>
      <c r="M626" s="55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82"/>
      <c r="Z626" s="51"/>
      <c r="AA626" s="51"/>
      <c r="AB626" s="51"/>
      <c r="AC626" s="51"/>
      <c r="AD626" s="51"/>
      <c r="AE626" s="51"/>
      <c r="AF626" s="51"/>
      <c r="AG626" s="51"/>
    </row>
    <row r="627" spans="1:33" ht="15.75" customHeight="1">
      <c r="A627" s="51"/>
      <c r="B627" s="51"/>
      <c r="C627" s="51"/>
      <c r="D627" s="51"/>
      <c r="E627" s="51"/>
      <c r="F627" s="51"/>
      <c r="G627" s="51"/>
      <c r="H627" s="51"/>
      <c r="I627" s="51"/>
      <c r="J627" s="55"/>
      <c r="K627" s="55"/>
      <c r="L627" s="55"/>
      <c r="M627" s="55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82"/>
      <c r="Z627" s="51"/>
      <c r="AA627" s="51"/>
      <c r="AB627" s="51"/>
      <c r="AC627" s="51"/>
      <c r="AD627" s="51"/>
      <c r="AE627" s="51"/>
      <c r="AF627" s="51"/>
      <c r="AG627" s="51"/>
    </row>
    <row r="628" spans="1:33" ht="15.75" customHeight="1">
      <c r="A628" s="51"/>
      <c r="B628" s="51"/>
      <c r="C628" s="51"/>
      <c r="D628" s="51"/>
      <c r="E628" s="51"/>
      <c r="F628" s="51"/>
      <c r="G628" s="51"/>
      <c r="H628" s="51"/>
      <c r="I628" s="51"/>
      <c r="J628" s="55"/>
      <c r="K628" s="55"/>
      <c r="L628" s="55"/>
      <c r="M628" s="55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82"/>
      <c r="Z628" s="51"/>
      <c r="AA628" s="51"/>
      <c r="AB628" s="51"/>
      <c r="AC628" s="51"/>
      <c r="AD628" s="51"/>
      <c r="AE628" s="51"/>
      <c r="AF628" s="51"/>
      <c r="AG628" s="51"/>
    </row>
    <row r="629" spans="1:33" ht="15.75" customHeight="1">
      <c r="A629" s="51"/>
      <c r="B629" s="51"/>
      <c r="C629" s="51"/>
      <c r="D629" s="51"/>
      <c r="E629" s="51"/>
      <c r="F629" s="51"/>
      <c r="G629" s="51"/>
      <c r="H629" s="51"/>
      <c r="I629" s="51"/>
      <c r="J629" s="55"/>
      <c r="K629" s="55"/>
      <c r="L629" s="55"/>
      <c r="M629" s="55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82"/>
      <c r="Z629" s="51"/>
      <c r="AA629" s="51"/>
      <c r="AB629" s="51"/>
      <c r="AC629" s="51"/>
      <c r="AD629" s="51"/>
      <c r="AE629" s="51"/>
      <c r="AF629" s="51"/>
      <c r="AG629" s="51"/>
    </row>
    <row r="630" spans="1:33" ht="15.75" customHeight="1">
      <c r="A630" s="51"/>
      <c r="B630" s="51"/>
      <c r="C630" s="51"/>
      <c r="D630" s="51"/>
      <c r="E630" s="51"/>
      <c r="F630" s="51"/>
      <c r="G630" s="51"/>
      <c r="H630" s="51"/>
      <c r="I630" s="51"/>
      <c r="J630" s="55"/>
      <c r="K630" s="55"/>
      <c r="L630" s="55"/>
      <c r="M630" s="55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82"/>
      <c r="Z630" s="51"/>
      <c r="AA630" s="51"/>
      <c r="AB630" s="51"/>
      <c r="AC630" s="51"/>
      <c r="AD630" s="51"/>
      <c r="AE630" s="51"/>
      <c r="AF630" s="51"/>
      <c r="AG630" s="51"/>
    </row>
    <row r="631" spans="1:33" ht="15.75" customHeight="1">
      <c r="A631" s="51"/>
      <c r="B631" s="51"/>
      <c r="C631" s="51"/>
      <c r="D631" s="51"/>
      <c r="E631" s="51"/>
      <c r="F631" s="51"/>
      <c r="G631" s="51"/>
      <c r="H631" s="51"/>
      <c r="I631" s="51"/>
      <c r="J631" s="55"/>
      <c r="K631" s="55"/>
      <c r="L631" s="55"/>
      <c r="M631" s="55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82"/>
      <c r="Z631" s="51"/>
      <c r="AA631" s="51"/>
      <c r="AB631" s="51"/>
      <c r="AC631" s="51"/>
      <c r="AD631" s="51"/>
      <c r="AE631" s="51"/>
      <c r="AF631" s="51"/>
      <c r="AG631" s="51"/>
    </row>
    <row r="632" spans="1:33" ht="15.75" customHeight="1">
      <c r="A632" s="51"/>
      <c r="B632" s="51"/>
      <c r="C632" s="51"/>
      <c r="D632" s="51"/>
      <c r="E632" s="51"/>
      <c r="F632" s="51"/>
      <c r="G632" s="51"/>
      <c r="H632" s="51"/>
      <c r="I632" s="51"/>
      <c r="J632" s="55"/>
      <c r="K632" s="55"/>
      <c r="L632" s="55"/>
      <c r="M632" s="55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82"/>
      <c r="Z632" s="51"/>
      <c r="AA632" s="51"/>
      <c r="AB632" s="51"/>
      <c r="AC632" s="51"/>
      <c r="AD632" s="51"/>
      <c r="AE632" s="51"/>
      <c r="AF632" s="51"/>
      <c r="AG632" s="51"/>
    </row>
    <row r="633" spans="1:33" ht="15.75" customHeight="1">
      <c r="A633" s="51"/>
      <c r="B633" s="51"/>
      <c r="C633" s="51"/>
      <c r="D633" s="51"/>
      <c r="E633" s="51"/>
      <c r="F633" s="51"/>
      <c r="G633" s="51"/>
      <c r="H633" s="51"/>
      <c r="I633" s="51"/>
      <c r="J633" s="55"/>
      <c r="K633" s="55"/>
      <c r="L633" s="55"/>
      <c r="M633" s="55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82"/>
      <c r="Z633" s="51"/>
      <c r="AA633" s="51"/>
      <c r="AB633" s="51"/>
      <c r="AC633" s="51"/>
      <c r="AD633" s="51"/>
      <c r="AE633" s="51"/>
      <c r="AF633" s="51"/>
      <c r="AG633" s="51"/>
    </row>
    <row r="634" spans="1:33" ht="15.75" customHeight="1">
      <c r="A634" s="51"/>
      <c r="B634" s="51"/>
      <c r="C634" s="51"/>
      <c r="D634" s="51"/>
      <c r="E634" s="51"/>
      <c r="F634" s="51"/>
      <c r="G634" s="51"/>
      <c r="H634" s="51"/>
      <c r="I634" s="51"/>
      <c r="J634" s="55"/>
      <c r="K634" s="55"/>
      <c r="L634" s="55"/>
      <c r="M634" s="55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82"/>
      <c r="Z634" s="51"/>
      <c r="AA634" s="51"/>
      <c r="AB634" s="51"/>
      <c r="AC634" s="51"/>
      <c r="AD634" s="51"/>
      <c r="AE634" s="51"/>
      <c r="AF634" s="51"/>
      <c r="AG634" s="51"/>
    </row>
    <row r="635" spans="1:33" ht="15.75" customHeight="1">
      <c r="A635" s="51"/>
      <c r="B635" s="51"/>
      <c r="C635" s="51"/>
      <c r="D635" s="51"/>
      <c r="E635" s="51"/>
      <c r="F635" s="51"/>
      <c r="G635" s="51"/>
      <c r="H635" s="51"/>
      <c r="I635" s="51"/>
      <c r="J635" s="55"/>
      <c r="K635" s="55"/>
      <c r="L635" s="55"/>
      <c r="M635" s="55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82"/>
      <c r="Z635" s="51"/>
      <c r="AA635" s="51"/>
      <c r="AB635" s="51"/>
      <c r="AC635" s="51"/>
      <c r="AD635" s="51"/>
      <c r="AE635" s="51"/>
      <c r="AF635" s="51"/>
      <c r="AG635" s="51"/>
    </row>
    <row r="636" spans="1:33" ht="15.75" customHeight="1">
      <c r="A636" s="51"/>
      <c r="B636" s="51"/>
      <c r="C636" s="51"/>
      <c r="D636" s="51"/>
      <c r="E636" s="51"/>
      <c r="F636" s="51"/>
      <c r="G636" s="51"/>
      <c r="H636" s="51"/>
      <c r="I636" s="51"/>
      <c r="J636" s="55"/>
      <c r="K636" s="55"/>
      <c r="L636" s="55"/>
      <c r="M636" s="55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82"/>
      <c r="Z636" s="51"/>
      <c r="AA636" s="51"/>
      <c r="AB636" s="51"/>
      <c r="AC636" s="51"/>
      <c r="AD636" s="51"/>
      <c r="AE636" s="51"/>
      <c r="AF636" s="51"/>
      <c r="AG636" s="51"/>
    </row>
    <row r="637" spans="1:33" ht="15.75" customHeight="1">
      <c r="A637" s="51"/>
      <c r="B637" s="51"/>
      <c r="C637" s="51"/>
      <c r="D637" s="51"/>
      <c r="E637" s="51"/>
      <c r="F637" s="51"/>
      <c r="G637" s="51"/>
      <c r="H637" s="51"/>
      <c r="I637" s="51"/>
      <c r="J637" s="55"/>
      <c r="K637" s="55"/>
      <c r="L637" s="55"/>
      <c r="M637" s="55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82"/>
      <c r="Z637" s="51"/>
      <c r="AA637" s="51"/>
      <c r="AB637" s="51"/>
      <c r="AC637" s="51"/>
      <c r="AD637" s="51"/>
      <c r="AE637" s="51"/>
      <c r="AF637" s="51"/>
      <c r="AG637" s="51"/>
    </row>
    <row r="638" spans="1:33" ht="15.75" customHeight="1">
      <c r="A638" s="51"/>
      <c r="B638" s="51"/>
      <c r="C638" s="51"/>
      <c r="D638" s="51"/>
      <c r="E638" s="51"/>
      <c r="F638" s="51"/>
      <c r="G638" s="51"/>
      <c r="H638" s="51"/>
      <c r="I638" s="51"/>
      <c r="J638" s="55"/>
      <c r="K638" s="55"/>
      <c r="L638" s="55"/>
      <c r="M638" s="55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82"/>
      <c r="Z638" s="51"/>
      <c r="AA638" s="51"/>
      <c r="AB638" s="51"/>
      <c r="AC638" s="51"/>
      <c r="AD638" s="51"/>
      <c r="AE638" s="51"/>
      <c r="AF638" s="51"/>
      <c r="AG638" s="51"/>
    </row>
    <row r="639" spans="1:33" ht="15.75" customHeight="1">
      <c r="A639" s="51"/>
      <c r="B639" s="51"/>
      <c r="C639" s="51"/>
      <c r="D639" s="51"/>
      <c r="E639" s="51"/>
      <c r="F639" s="51"/>
      <c r="G639" s="51"/>
      <c r="H639" s="51"/>
      <c r="I639" s="51"/>
      <c r="J639" s="55"/>
      <c r="K639" s="55"/>
      <c r="L639" s="55"/>
      <c r="M639" s="55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82"/>
      <c r="Z639" s="51"/>
      <c r="AA639" s="51"/>
      <c r="AB639" s="51"/>
      <c r="AC639" s="51"/>
      <c r="AD639" s="51"/>
      <c r="AE639" s="51"/>
      <c r="AF639" s="51"/>
      <c r="AG639" s="51"/>
    </row>
    <row r="640" spans="1:33" ht="15.75" customHeight="1">
      <c r="A640" s="51"/>
      <c r="B640" s="51"/>
      <c r="C640" s="51"/>
      <c r="D640" s="51"/>
      <c r="E640" s="51"/>
      <c r="F640" s="51"/>
      <c r="G640" s="51"/>
      <c r="H640" s="51"/>
      <c r="I640" s="51"/>
      <c r="J640" s="55"/>
      <c r="K640" s="55"/>
      <c r="L640" s="55"/>
      <c r="M640" s="55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82"/>
      <c r="Z640" s="51"/>
      <c r="AA640" s="51"/>
      <c r="AB640" s="51"/>
      <c r="AC640" s="51"/>
      <c r="AD640" s="51"/>
      <c r="AE640" s="51"/>
      <c r="AF640" s="51"/>
      <c r="AG640" s="51"/>
    </row>
    <row r="641" spans="1:33" ht="15.75" customHeight="1">
      <c r="A641" s="51"/>
      <c r="B641" s="51"/>
      <c r="C641" s="51"/>
      <c r="D641" s="51"/>
      <c r="E641" s="51"/>
      <c r="F641" s="51"/>
      <c r="G641" s="51"/>
      <c r="H641" s="51"/>
      <c r="I641" s="51"/>
      <c r="J641" s="55"/>
      <c r="K641" s="55"/>
      <c r="L641" s="55"/>
      <c r="M641" s="55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82"/>
      <c r="Z641" s="51"/>
      <c r="AA641" s="51"/>
      <c r="AB641" s="51"/>
      <c r="AC641" s="51"/>
      <c r="AD641" s="51"/>
      <c r="AE641" s="51"/>
      <c r="AF641" s="51"/>
      <c r="AG641" s="51"/>
    </row>
    <row r="642" spans="1:33" ht="15.75" customHeight="1">
      <c r="A642" s="51"/>
      <c r="B642" s="51"/>
      <c r="C642" s="51"/>
      <c r="D642" s="51"/>
      <c r="E642" s="51"/>
      <c r="F642" s="51"/>
      <c r="G642" s="51"/>
      <c r="H642" s="51"/>
      <c r="I642" s="51"/>
      <c r="J642" s="55"/>
      <c r="K642" s="55"/>
      <c r="L642" s="55"/>
      <c r="M642" s="55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82"/>
      <c r="Z642" s="51"/>
      <c r="AA642" s="51"/>
      <c r="AB642" s="51"/>
      <c r="AC642" s="51"/>
      <c r="AD642" s="51"/>
      <c r="AE642" s="51"/>
      <c r="AF642" s="51"/>
      <c r="AG642" s="51"/>
    </row>
    <row r="643" spans="1:33" ht="15.75" customHeight="1">
      <c r="A643" s="51"/>
      <c r="B643" s="51"/>
      <c r="C643" s="51"/>
      <c r="D643" s="51"/>
      <c r="E643" s="51"/>
      <c r="F643" s="51"/>
      <c r="G643" s="51"/>
      <c r="H643" s="51"/>
      <c r="I643" s="51"/>
      <c r="J643" s="55"/>
      <c r="K643" s="55"/>
      <c r="L643" s="55"/>
      <c r="M643" s="55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82"/>
      <c r="Z643" s="51"/>
      <c r="AA643" s="51"/>
      <c r="AB643" s="51"/>
      <c r="AC643" s="51"/>
      <c r="AD643" s="51"/>
      <c r="AE643" s="51"/>
      <c r="AF643" s="51"/>
      <c r="AG643" s="51"/>
    </row>
    <row r="644" spans="1:33" ht="15.75" customHeight="1">
      <c r="A644" s="51"/>
      <c r="B644" s="51"/>
      <c r="C644" s="51"/>
      <c r="D644" s="51"/>
      <c r="E644" s="51"/>
      <c r="F644" s="51"/>
      <c r="G644" s="51"/>
      <c r="H644" s="51"/>
      <c r="I644" s="51"/>
      <c r="J644" s="55"/>
      <c r="K644" s="55"/>
      <c r="L644" s="55"/>
      <c r="M644" s="55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82"/>
      <c r="Z644" s="51"/>
      <c r="AA644" s="51"/>
      <c r="AB644" s="51"/>
      <c r="AC644" s="51"/>
      <c r="AD644" s="51"/>
      <c r="AE644" s="51"/>
      <c r="AF644" s="51"/>
      <c r="AG644" s="51"/>
    </row>
    <row r="645" spans="1:33" ht="15.75" customHeight="1">
      <c r="A645" s="51"/>
      <c r="B645" s="51"/>
      <c r="C645" s="51"/>
      <c r="D645" s="51"/>
      <c r="E645" s="51"/>
      <c r="F645" s="51"/>
      <c r="G645" s="51"/>
      <c r="H645" s="51"/>
      <c r="I645" s="51"/>
      <c r="J645" s="55"/>
      <c r="K645" s="55"/>
      <c r="L645" s="55"/>
      <c r="M645" s="55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82"/>
      <c r="Z645" s="51"/>
      <c r="AA645" s="51"/>
      <c r="AB645" s="51"/>
      <c r="AC645" s="51"/>
      <c r="AD645" s="51"/>
      <c r="AE645" s="51"/>
      <c r="AF645" s="51"/>
      <c r="AG645" s="51"/>
    </row>
    <row r="646" spans="1:33" ht="15.75" customHeight="1">
      <c r="A646" s="51"/>
      <c r="B646" s="51"/>
      <c r="C646" s="51"/>
      <c r="D646" s="51"/>
      <c r="E646" s="51"/>
      <c r="F646" s="51"/>
      <c r="G646" s="51"/>
      <c r="H646" s="51"/>
      <c r="I646" s="51"/>
      <c r="J646" s="55"/>
      <c r="K646" s="55"/>
      <c r="L646" s="55"/>
      <c r="M646" s="55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82"/>
      <c r="Z646" s="51"/>
      <c r="AA646" s="51"/>
      <c r="AB646" s="51"/>
      <c r="AC646" s="51"/>
      <c r="AD646" s="51"/>
      <c r="AE646" s="51"/>
      <c r="AF646" s="51"/>
      <c r="AG646" s="51"/>
    </row>
    <row r="647" spans="1:33" ht="15.75" customHeight="1">
      <c r="A647" s="51"/>
      <c r="B647" s="51"/>
      <c r="C647" s="51"/>
      <c r="D647" s="51"/>
      <c r="E647" s="51"/>
      <c r="F647" s="51"/>
      <c r="G647" s="51"/>
      <c r="H647" s="51"/>
      <c r="I647" s="51"/>
      <c r="J647" s="55"/>
      <c r="K647" s="55"/>
      <c r="L647" s="55"/>
      <c r="M647" s="55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82"/>
      <c r="Z647" s="51"/>
      <c r="AA647" s="51"/>
      <c r="AB647" s="51"/>
      <c r="AC647" s="51"/>
      <c r="AD647" s="51"/>
      <c r="AE647" s="51"/>
      <c r="AF647" s="51"/>
      <c r="AG647" s="51"/>
    </row>
    <row r="648" spans="1:33" ht="15.75" customHeight="1">
      <c r="A648" s="51"/>
      <c r="B648" s="51"/>
      <c r="C648" s="51"/>
      <c r="D648" s="51"/>
      <c r="E648" s="51"/>
      <c r="F648" s="51"/>
      <c r="G648" s="51"/>
      <c r="H648" s="51"/>
      <c r="I648" s="51"/>
      <c r="J648" s="55"/>
      <c r="K648" s="55"/>
      <c r="L648" s="55"/>
      <c r="M648" s="55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82"/>
      <c r="Z648" s="51"/>
      <c r="AA648" s="51"/>
      <c r="AB648" s="51"/>
      <c r="AC648" s="51"/>
      <c r="AD648" s="51"/>
      <c r="AE648" s="51"/>
      <c r="AF648" s="51"/>
      <c r="AG648" s="51"/>
    </row>
    <row r="649" spans="1:33" ht="15.75" customHeight="1">
      <c r="A649" s="51"/>
      <c r="B649" s="51"/>
      <c r="C649" s="51"/>
      <c r="D649" s="51"/>
      <c r="E649" s="51"/>
      <c r="F649" s="51"/>
      <c r="G649" s="51"/>
      <c r="H649" s="51"/>
      <c r="I649" s="51"/>
      <c r="J649" s="55"/>
      <c r="K649" s="55"/>
      <c r="L649" s="55"/>
      <c r="M649" s="55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82"/>
      <c r="Z649" s="51"/>
      <c r="AA649" s="51"/>
      <c r="AB649" s="51"/>
      <c r="AC649" s="51"/>
      <c r="AD649" s="51"/>
      <c r="AE649" s="51"/>
      <c r="AF649" s="51"/>
      <c r="AG649" s="51"/>
    </row>
    <row r="650" spans="1:33" ht="15.75" customHeight="1">
      <c r="A650" s="51"/>
      <c r="B650" s="51"/>
      <c r="C650" s="51"/>
      <c r="D650" s="51"/>
      <c r="E650" s="51"/>
      <c r="F650" s="51"/>
      <c r="G650" s="51"/>
      <c r="H650" s="51"/>
      <c r="I650" s="51"/>
      <c r="J650" s="55"/>
      <c r="K650" s="55"/>
      <c r="L650" s="55"/>
      <c r="M650" s="55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82"/>
      <c r="Z650" s="51"/>
      <c r="AA650" s="51"/>
      <c r="AB650" s="51"/>
      <c r="AC650" s="51"/>
      <c r="AD650" s="51"/>
      <c r="AE650" s="51"/>
      <c r="AF650" s="51"/>
      <c r="AG650" s="51"/>
    </row>
    <row r="651" spans="1:33" ht="15.75" customHeight="1">
      <c r="A651" s="51"/>
      <c r="B651" s="51"/>
      <c r="C651" s="51"/>
      <c r="D651" s="51"/>
      <c r="E651" s="51"/>
      <c r="F651" s="51"/>
      <c r="G651" s="51"/>
      <c r="H651" s="51"/>
      <c r="I651" s="51"/>
      <c r="J651" s="55"/>
      <c r="K651" s="55"/>
      <c r="L651" s="55"/>
      <c r="M651" s="55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82"/>
      <c r="Z651" s="51"/>
      <c r="AA651" s="51"/>
      <c r="AB651" s="51"/>
      <c r="AC651" s="51"/>
      <c r="AD651" s="51"/>
      <c r="AE651" s="51"/>
      <c r="AF651" s="51"/>
      <c r="AG651" s="51"/>
    </row>
    <row r="652" spans="1:33" ht="15.75" customHeight="1">
      <c r="A652" s="51"/>
      <c r="B652" s="51"/>
      <c r="C652" s="51"/>
      <c r="D652" s="51"/>
      <c r="E652" s="51"/>
      <c r="F652" s="51"/>
      <c r="G652" s="51"/>
      <c r="H652" s="51"/>
      <c r="I652" s="51"/>
      <c r="J652" s="55"/>
      <c r="K652" s="55"/>
      <c r="L652" s="55"/>
      <c r="M652" s="55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82"/>
      <c r="Z652" s="51"/>
      <c r="AA652" s="51"/>
      <c r="AB652" s="51"/>
      <c r="AC652" s="51"/>
      <c r="AD652" s="51"/>
      <c r="AE652" s="51"/>
      <c r="AF652" s="51"/>
      <c r="AG652" s="51"/>
    </row>
    <row r="653" spans="1:33" ht="15.75" customHeight="1">
      <c r="A653" s="51"/>
      <c r="B653" s="51"/>
      <c r="C653" s="51"/>
      <c r="D653" s="51"/>
      <c r="E653" s="51"/>
      <c r="F653" s="51"/>
      <c r="G653" s="51"/>
      <c r="H653" s="51"/>
      <c r="I653" s="51"/>
      <c r="J653" s="55"/>
      <c r="K653" s="55"/>
      <c r="L653" s="55"/>
      <c r="M653" s="55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82"/>
      <c r="Z653" s="51"/>
      <c r="AA653" s="51"/>
      <c r="AB653" s="51"/>
      <c r="AC653" s="51"/>
      <c r="AD653" s="51"/>
      <c r="AE653" s="51"/>
      <c r="AF653" s="51"/>
      <c r="AG653" s="51"/>
    </row>
    <row r="654" spans="1:33" ht="15.75" customHeight="1">
      <c r="A654" s="51"/>
      <c r="B654" s="51"/>
      <c r="C654" s="51"/>
      <c r="D654" s="51"/>
      <c r="E654" s="51"/>
      <c r="F654" s="51"/>
      <c r="G654" s="51"/>
      <c r="H654" s="51"/>
      <c r="I654" s="51"/>
      <c r="J654" s="55"/>
      <c r="K654" s="55"/>
      <c r="L654" s="55"/>
      <c r="M654" s="55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82"/>
      <c r="Z654" s="51"/>
      <c r="AA654" s="51"/>
      <c r="AB654" s="51"/>
      <c r="AC654" s="51"/>
      <c r="AD654" s="51"/>
      <c r="AE654" s="51"/>
      <c r="AF654" s="51"/>
      <c r="AG654" s="51"/>
    </row>
    <row r="655" spans="1:33" ht="15.75" customHeight="1">
      <c r="A655" s="51"/>
      <c r="B655" s="51"/>
      <c r="C655" s="51"/>
      <c r="D655" s="51"/>
      <c r="E655" s="51"/>
      <c r="F655" s="51"/>
      <c r="G655" s="51"/>
      <c r="H655" s="51"/>
      <c r="I655" s="51"/>
      <c r="J655" s="55"/>
      <c r="K655" s="55"/>
      <c r="L655" s="55"/>
      <c r="M655" s="55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82"/>
      <c r="Z655" s="51"/>
      <c r="AA655" s="51"/>
      <c r="AB655" s="51"/>
      <c r="AC655" s="51"/>
      <c r="AD655" s="51"/>
      <c r="AE655" s="51"/>
      <c r="AF655" s="51"/>
      <c r="AG655" s="51"/>
    </row>
    <row r="656" spans="1:33" ht="15.75" customHeight="1">
      <c r="A656" s="51"/>
      <c r="B656" s="51"/>
      <c r="C656" s="51"/>
      <c r="D656" s="51"/>
      <c r="E656" s="51"/>
      <c r="F656" s="51"/>
      <c r="G656" s="51"/>
      <c r="H656" s="51"/>
      <c r="I656" s="51"/>
      <c r="J656" s="55"/>
      <c r="K656" s="55"/>
      <c r="L656" s="55"/>
      <c r="M656" s="55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82"/>
      <c r="Z656" s="51"/>
      <c r="AA656" s="51"/>
      <c r="AB656" s="51"/>
      <c r="AC656" s="51"/>
      <c r="AD656" s="51"/>
      <c r="AE656" s="51"/>
      <c r="AF656" s="51"/>
      <c r="AG656" s="51"/>
    </row>
    <row r="657" spans="1:33" ht="15.75" customHeight="1">
      <c r="A657" s="51"/>
      <c r="B657" s="51"/>
      <c r="C657" s="51"/>
      <c r="D657" s="51"/>
      <c r="E657" s="51"/>
      <c r="F657" s="51"/>
      <c r="G657" s="51"/>
      <c r="H657" s="51"/>
      <c r="I657" s="51"/>
      <c r="J657" s="55"/>
      <c r="K657" s="55"/>
      <c r="L657" s="55"/>
      <c r="M657" s="55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82"/>
      <c r="Z657" s="51"/>
      <c r="AA657" s="51"/>
      <c r="AB657" s="51"/>
      <c r="AC657" s="51"/>
      <c r="AD657" s="51"/>
      <c r="AE657" s="51"/>
      <c r="AF657" s="51"/>
      <c r="AG657" s="51"/>
    </row>
    <row r="658" spans="1:33" ht="15.75" customHeight="1">
      <c r="A658" s="51"/>
      <c r="B658" s="51"/>
      <c r="C658" s="51"/>
      <c r="D658" s="51"/>
      <c r="E658" s="51"/>
      <c r="F658" s="51"/>
      <c r="G658" s="51"/>
      <c r="H658" s="51"/>
      <c r="I658" s="51"/>
      <c r="J658" s="55"/>
      <c r="K658" s="55"/>
      <c r="L658" s="55"/>
      <c r="M658" s="55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82"/>
      <c r="Z658" s="51"/>
      <c r="AA658" s="51"/>
      <c r="AB658" s="51"/>
      <c r="AC658" s="51"/>
      <c r="AD658" s="51"/>
      <c r="AE658" s="51"/>
      <c r="AF658" s="51"/>
      <c r="AG658" s="51"/>
    </row>
    <row r="659" spans="1:33" ht="15.75" customHeight="1">
      <c r="A659" s="51"/>
      <c r="B659" s="51"/>
      <c r="C659" s="51"/>
      <c r="D659" s="51"/>
      <c r="E659" s="51"/>
      <c r="F659" s="51"/>
      <c r="G659" s="51"/>
      <c r="H659" s="51"/>
      <c r="I659" s="51"/>
      <c r="J659" s="55"/>
      <c r="K659" s="55"/>
      <c r="L659" s="55"/>
      <c r="M659" s="55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82"/>
      <c r="Z659" s="51"/>
      <c r="AA659" s="51"/>
      <c r="AB659" s="51"/>
      <c r="AC659" s="51"/>
      <c r="AD659" s="51"/>
      <c r="AE659" s="51"/>
      <c r="AF659" s="51"/>
      <c r="AG659" s="51"/>
    </row>
    <row r="660" spans="1:33" ht="15.75" customHeight="1">
      <c r="A660" s="51"/>
      <c r="B660" s="51"/>
      <c r="C660" s="51"/>
      <c r="D660" s="51"/>
      <c r="E660" s="51"/>
      <c r="F660" s="51"/>
      <c r="G660" s="51"/>
      <c r="H660" s="51"/>
      <c r="I660" s="51"/>
      <c r="J660" s="55"/>
      <c r="K660" s="55"/>
      <c r="L660" s="55"/>
      <c r="M660" s="55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82"/>
      <c r="Z660" s="51"/>
      <c r="AA660" s="51"/>
      <c r="AB660" s="51"/>
      <c r="AC660" s="51"/>
      <c r="AD660" s="51"/>
      <c r="AE660" s="51"/>
      <c r="AF660" s="51"/>
      <c r="AG660" s="51"/>
    </row>
    <row r="661" spans="1:33" ht="15.75" customHeight="1">
      <c r="A661" s="51"/>
      <c r="B661" s="51"/>
      <c r="C661" s="51"/>
      <c r="D661" s="51"/>
      <c r="E661" s="51"/>
      <c r="F661" s="51"/>
      <c r="G661" s="51"/>
      <c r="H661" s="51"/>
      <c r="I661" s="51"/>
      <c r="J661" s="55"/>
      <c r="K661" s="55"/>
      <c r="L661" s="55"/>
      <c r="M661" s="55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82"/>
      <c r="Z661" s="51"/>
      <c r="AA661" s="51"/>
      <c r="AB661" s="51"/>
      <c r="AC661" s="51"/>
      <c r="AD661" s="51"/>
      <c r="AE661" s="51"/>
      <c r="AF661" s="51"/>
      <c r="AG661" s="51"/>
    </row>
    <row r="662" spans="1:33" ht="15.75" customHeight="1">
      <c r="A662" s="51"/>
      <c r="B662" s="51"/>
      <c r="C662" s="51"/>
      <c r="D662" s="51"/>
      <c r="E662" s="51"/>
      <c r="F662" s="51"/>
      <c r="G662" s="51"/>
      <c r="H662" s="51"/>
      <c r="I662" s="51"/>
      <c r="J662" s="55"/>
      <c r="K662" s="55"/>
      <c r="L662" s="55"/>
      <c r="M662" s="55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82"/>
      <c r="Z662" s="51"/>
      <c r="AA662" s="51"/>
      <c r="AB662" s="51"/>
      <c r="AC662" s="51"/>
      <c r="AD662" s="51"/>
      <c r="AE662" s="51"/>
      <c r="AF662" s="51"/>
      <c r="AG662" s="51"/>
    </row>
    <row r="663" spans="1:33" ht="15.75" customHeight="1">
      <c r="A663" s="51"/>
      <c r="B663" s="51"/>
      <c r="C663" s="51"/>
      <c r="D663" s="51"/>
      <c r="E663" s="51"/>
      <c r="F663" s="51"/>
      <c r="G663" s="51"/>
      <c r="H663" s="51"/>
      <c r="I663" s="51"/>
      <c r="J663" s="55"/>
      <c r="K663" s="55"/>
      <c r="L663" s="55"/>
      <c r="M663" s="55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82"/>
      <c r="Z663" s="51"/>
      <c r="AA663" s="51"/>
      <c r="AB663" s="51"/>
      <c r="AC663" s="51"/>
      <c r="AD663" s="51"/>
      <c r="AE663" s="51"/>
      <c r="AF663" s="51"/>
      <c r="AG663" s="51"/>
    </row>
    <row r="664" spans="1:33" ht="15.75" customHeight="1">
      <c r="A664" s="51"/>
      <c r="B664" s="51"/>
      <c r="C664" s="51"/>
      <c r="D664" s="51"/>
      <c r="E664" s="51"/>
      <c r="F664" s="51"/>
      <c r="G664" s="51"/>
      <c r="H664" s="51"/>
      <c r="I664" s="51"/>
      <c r="J664" s="55"/>
      <c r="K664" s="55"/>
      <c r="L664" s="55"/>
      <c r="M664" s="55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82"/>
      <c r="Z664" s="51"/>
      <c r="AA664" s="51"/>
      <c r="AB664" s="51"/>
      <c r="AC664" s="51"/>
      <c r="AD664" s="51"/>
      <c r="AE664" s="51"/>
      <c r="AF664" s="51"/>
      <c r="AG664" s="51"/>
    </row>
    <row r="665" spans="1:33" ht="15.75" customHeight="1">
      <c r="A665" s="51"/>
      <c r="B665" s="51"/>
      <c r="C665" s="51"/>
      <c r="D665" s="51"/>
      <c r="E665" s="51"/>
      <c r="F665" s="51"/>
      <c r="G665" s="51"/>
      <c r="H665" s="51"/>
      <c r="I665" s="51"/>
      <c r="J665" s="55"/>
      <c r="K665" s="55"/>
      <c r="L665" s="55"/>
      <c r="M665" s="55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82"/>
      <c r="Z665" s="51"/>
      <c r="AA665" s="51"/>
      <c r="AB665" s="51"/>
      <c r="AC665" s="51"/>
      <c r="AD665" s="51"/>
      <c r="AE665" s="51"/>
      <c r="AF665" s="51"/>
      <c r="AG665" s="51"/>
    </row>
    <row r="666" spans="1:33" ht="15.75" customHeight="1">
      <c r="A666" s="51"/>
      <c r="B666" s="51"/>
      <c r="C666" s="51"/>
      <c r="D666" s="51"/>
      <c r="E666" s="51"/>
      <c r="F666" s="51"/>
      <c r="G666" s="51"/>
      <c r="H666" s="51"/>
      <c r="I666" s="51"/>
      <c r="J666" s="55"/>
      <c r="K666" s="55"/>
      <c r="L666" s="55"/>
      <c r="M666" s="55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82"/>
      <c r="Z666" s="51"/>
      <c r="AA666" s="51"/>
      <c r="AB666" s="51"/>
      <c r="AC666" s="51"/>
      <c r="AD666" s="51"/>
      <c r="AE666" s="51"/>
      <c r="AF666" s="51"/>
      <c r="AG666" s="51"/>
    </row>
    <row r="667" spans="1:33" ht="15.75" customHeight="1">
      <c r="A667" s="51"/>
      <c r="B667" s="51"/>
      <c r="C667" s="51"/>
      <c r="D667" s="51"/>
      <c r="E667" s="51"/>
      <c r="F667" s="51"/>
      <c r="G667" s="51"/>
      <c r="H667" s="51"/>
      <c r="I667" s="51"/>
      <c r="J667" s="55"/>
      <c r="K667" s="55"/>
      <c r="L667" s="55"/>
      <c r="M667" s="55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82"/>
      <c r="Z667" s="51"/>
      <c r="AA667" s="51"/>
      <c r="AB667" s="51"/>
      <c r="AC667" s="51"/>
      <c r="AD667" s="51"/>
      <c r="AE667" s="51"/>
      <c r="AF667" s="51"/>
      <c r="AG667" s="51"/>
    </row>
    <row r="668" spans="1:33" ht="15.75" customHeight="1">
      <c r="A668" s="51"/>
      <c r="B668" s="51"/>
      <c r="C668" s="51"/>
      <c r="D668" s="51"/>
      <c r="E668" s="51"/>
      <c r="F668" s="51"/>
      <c r="G668" s="51"/>
      <c r="H668" s="51"/>
      <c r="I668" s="51"/>
      <c r="J668" s="55"/>
      <c r="K668" s="55"/>
      <c r="L668" s="55"/>
      <c r="M668" s="55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82"/>
      <c r="Z668" s="51"/>
      <c r="AA668" s="51"/>
      <c r="AB668" s="51"/>
      <c r="AC668" s="51"/>
      <c r="AD668" s="51"/>
      <c r="AE668" s="51"/>
      <c r="AF668" s="51"/>
      <c r="AG668" s="51"/>
    </row>
    <row r="669" spans="1:33" ht="15.75" customHeight="1">
      <c r="A669" s="51"/>
      <c r="B669" s="51"/>
      <c r="C669" s="51"/>
      <c r="D669" s="51"/>
      <c r="E669" s="51"/>
      <c r="F669" s="51"/>
      <c r="G669" s="51"/>
      <c r="H669" s="51"/>
      <c r="I669" s="51"/>
      <c r="J669" s="55"/>
      <c r="K669" s="55"/>
      <c r="L669" s="55"/>
      <c r="M669" s="55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82"/>
      <c r="Z669" s="51"/>
      <c r="AA669" s="51"/>
      <c r="AB669" s="51"/>
      <c r="AC669" s="51"/>
      <c r="AD669" s="51"/>
      <c r="AE669" s="51"/>
      <c r="AF669" s="51"/>
      <c r="AG669" s="51"/>
    </row>
    <row r="670" spans="1:33" ht="15.75" customHeight="1">
      <c r="A670" s="51"/>
      <c r="B670" s="51"/>
      <c r="C670" s="51"/>
      <c r="D670" s="51"/>
      <c r="E670" s="51"/>
      <c r="F670" s="51"/>
      <c r="G670" s="51"/>
      <c r="H670" s="51"/>
      <c r="I670" s="51"/>
      <c r="J670" s="55"/>
      <c r="K670" s="55"/>
      <c r="L670" s="55"/>
      <c r="M670" s="55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82"/>
      <c r="Z670" s="51"/>
      <c r="AA670" s="51"/>
      <c r="AB670" s="51"/>
      <c r="AC670" s="51"/>
      <c r="AD670" s="51"/>
      <c r="AE670" s="51"/>
      <c r="AF670" s="51"/>
      <c r="AG670" s="51"/>
    </row>
    <row r="671" spans="1:33" ht="15.75" customHeight="1">
      <c r="A671" s="51"/>
      <c r="B671" s="51"/>
      <c r="C671" s="51"/>
      <c r="D671" s="51"/>
      <c r="E671" s="51"/>
      <c r="F671" s="51"/>
      <c r="G671" s="51"/>
      <c r="H671" s="51"/>
      <c r="I671" s="51"/>
      <c r="J671" s="55"/>
      <c r="K671" s="55"/>
      <c r="L671" s="55"/>
      <c r="M671" s="55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82"/>
      <c r="Z671" s="51"/>
      <c r="AA671" s="51"/>
      <c r="AB671" s="51"/>
      <c r="AC671" s="51"/>
      <c r="AD671" s="51"/>
      <c r="AE671" s="51"/>
      <c r="AF671" s="51"/>
      <c r="AG671" s="51"/>
    </row>
    <row r="672" spans="1:33" ht="15.75" customHeight="1">
      <c r="A672" s="51"/>
      <c r="B672" s="51"/>
      <c r="C672" s="51"/>
      <c r="D672" s="51"/>
      <c r="E672" s="51"/>
      <c r="F672" s="51"/>
      <c r="G672" s="51"/>
      <c r="H672" s="51"/>
      <c r="I672" s="51"/>
      <c r="J672" s="55"/>
      <c r="K672" s="55"/>
      <c r="L672" s="55"/>
      <c r="M672" s="55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82"/>
      <c r="Z672" s="51"/>
      <c r="AA672" s="51"/>
      <c r="AB672" s="51"/>
      <c r="AC672" s="51"/>
      <c r="AD672" s="51"/>
      <c r="AE672" s="51"/>
      <c r="AF672" s="51"/>
      <c r="AG672" s="51"/>
    </row>
    <row r="673" spans="1:33" ht="15.75" customHeight="1">
      <c r="A673" s="51"/>
      <c r="B673" s="51"/>
      <c r="C673" s="51"/>
      <c r="D673" s="51"/>
      <c r="E673" s="51"/>
      <c r="F673" s="51"/>
      <c r="G673" s="51"/>
      <c r="H673" s="51"/>
      <c r="I673" s="51"/>
      <c r="J673" s="55"/>
      <c r="K673" s="55"/>
      <c r="L673" s="55"/>
      <c r="M673" s="55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82"/>
      <c r="Z673" s="51"/>
      <c r="AA673" s="51"/>
      <c r="AB673" s="51"/>
      <c r="AC673" s="51"/>
      <c r="AD673" s="51"/>
      <c r="AE673" s="51"/>
      <c r="AF673" s="51"/>
      <c r="AG673" s="51"/>
    </row>
    <row r="674" spans="1:33" ht="15.75" customHeight="1">
      <c r="A674" s="51"/>
      <c r="B674" s="51"/>
      <c r="C674" s="51"/>
      <c r="D674" s="51"/>
      <c r="E674" s="51"/>
      <c r="F674" s="51"/>
      <c r="G674" s="51"/>
      <c r="H674" s="51"/>
      <c r="I674" s="51"/>
      <c r="J674" s="55"/>
      <c r="K674" s="55"/>
      <c r="L674" s="55"/>
      <c r="M674" s="55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82"/>
      <c r="Z674" s="51"/>
      <c r="AA674" s="51"/>
      <c r="AB674" s="51"/>
      <c r="AC674" s="51"/>
      <c r="AD674" s="51"/>
      <c r="AE674" s="51"/>
      <c r="AF674" s="51"/>
      <c r="AG674" s="51"/>
    </row>
    <row r="675" spans="1:33" ht="15.75" customHeight="1">
      <c r="A675" s="51"/>
      <c r="B675" s="51"/>
      <c r="C675" s="51"/>
      <c r="D675" s="51"/>
      <c r="E675" s="51"/>
      <c r="F675" s="51"/>
      <c r="G675" s="51"/>
      <c r="H675" s="51"/>
      <c r="I675" s="51"/>
      <c r="J675" s="55"/>
      <c r="K675" s="55"/>
      <c r="L675" s="55"/>
      <c r="M675" s="55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82"/>
      <c r="Z675" s="51"/>
      <c r="AA675" s="51"/>
      <c r="AB675" s="51"/>
      <c r="AC675" s="51"/>
      <c r="AD675" s="51"/>
      <c r="AE675" s="51"/>
      <c r="AF675" s="51"/>
      <c r="AG675" s="51"/>
    </row>
    <row r="676" spans="1:33" ht="15.75" customHeight="1">
      <c r="A676" s="51"/>
      <c r="B676" s="51"/>
      <c r="C676" s="51"/>
      <c r="D676" s="51"/>
      <c r="E676" s="51"/>
      <c r="F676" s="51"/>
      <c r="G676" s="51"/>
      <c r="H676" s="51"/>
      <c r="I676" s="51"/>
      <c r="J676" s="55"/>
      <c r="K676" s="55"/>
      <c r="L676" s="55"/>
      <c r="M676" s="55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82"/>
      <c r="Z676" s="51"/>
      <c r="AA676" s="51"/>
      <c r="AB676" s="51"/>
      <c r="AC676" s="51"/>
      <c r="AD676" s="51"/>
      <c r="AE676" s="51"/>
      <c r="AF676" s="51"/>
      <c r="AG676" s="51"/>
    </row>
    <row r="677" spans="1:33" ht="15.75" customHeight="1">
      <c r="A677" s="51"/>
      <c r="B677" s="51"/>
      <c r="C677" s="51"/>
      <c r="D677" s="51"/>
      <c r="E677" s="51"/>
      <c r="F677" s="51"/>
      <c r="G677" s="51"/>
      <c r="H677" s="51"/>
      <c r="I677" s="51"/>
      <c r="J677" s="55"/>
      <c r="K677" s="55"/>
      <c r="L677" s="55"/>
      <c r="M677" s="55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82"/>
      <c r="Z677" s="51"/>
      <c r="AA677" s="51"/>
      <c r="AB677" s="51"/>
      <c r="AC677" s="51"/>
      <c r="AD677" s="51"/>
      <c r="AE677" s="51"/>
      <c r="AF677" s="51"/>
      <c r="AG677" s="51"/>
    </row>
    <row r="678" spans="1:33" ht="15.75" customHeight="1">
      <c r="A678" s="51"/>
      <c r="B678" s="51"/>
      <c r="C678" s="51"/>
      <c r="D678" s="51"/>
      <c r="E678" s="51"/>
      <c r="F678" s="51"/>
      <c r="G678" s="51"/>
      <c r="H678" s="51"/>
      <c r="I678" s="51"/>
      <c r="J678" s="55"/>
      <c r="K678" s="55"/>
      <c r="L678" s="55"/>
      <c r="M678" s="55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82"/>
      <c r="Z678" s="51"/>
      <c r="AA678" s="51"/>
      <c r="AB678" s="51"/>
      <c r="AC678" s="51"/>
      <c r="AD678" s="51"/>
      <c r="AE678" s="51"/>
      <c r="AF678" s="51"/>
      <c r="AG678" s="51"/>
    </row>
    <row r="679" spans="1:33" ht="15.75" customHeight="1">
      <c r="A679" s="51"/>
      <c r="B679" s="51"/>
      <c r="C679" s="51"/>
      <c r="D679" s="51"/>
      <c r="E679" s="51"/>
      <c r="F679" s="51"/>
      <c r="G679" s="51"/>
      <c r="H679" s="51"/>
      <c r="I679" s="51"/>
      <c r="J679" s="55"/>
      <c r="K679" s="55"/>
      <c r="L679" s="55"/>
      <c r="M679" s="55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82"/>
      <c r="Z679" s="51"/>
      <c r="AA679" s="51"/>
      <c r="AB679" s="51"/>
      <c r="AC679" s="51"/>
      <c r="AD679" s="51"/>
      <c r="AE679" s="51"/>
      <c r="AF679" s="51"/>
      <c r="AG679" s="51"/>
    </row>
    <row r="680" spans="1:33" ht="15.75" customHeight="1">
      <c r="A680" s="51"/>
      <c r="B680" s="51"/>
      <c r="C680" s="51"/>
      <c r="D680" s="51"/>
      <c r="E680" s="51"/>
      <c r="F680" s="51"/>
      <c r="G680" s="51"/>
      <c r="H680" s="51"/>
      <c r="I680" s="51"/>
      <c r="J680" s="55"/>
      <c r="K680" s="55"/>
      <c r="L680" s="55"/>
      <c r="M680" s="55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82"/>
      <c r="Z680" s="51"/>
      <c r="AA680" s="51"/>
      <c r="AB680" s="51"/>
      <c r="AC680" s="51"/>
      <c r="AD680" s="51"/>
      <c r="AE680" s="51"/>
      <c r="AF680" s="51"/>
      <c r="AG680" s="51"/>
    </row>
    <row r="681" spans="1:33" ht="15.75" customHeight="1">
      <c r="A681" s="51"/>
      <c r="B681" s="51"/>
      <c r="C681" s="51"/>
      <c r="D681" s="51"/>
      <c r="E681" s="51"/>
      <c r="F681" s="51"/>
      <c r="G681" s="51"/>
      <c r="H681" s="51"/>
      <c r="I681" s="51"/>
      <c r="J681" s="55"/>
      <c r="K681" s="55"/>
      <c r="L681" s="55"/>
      <c r="M681" s="55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82"/>
      <c r="Z681" s="51"/>
      <c r="AA681" s="51"/>
      <c r="AB681" s="51"/>
      <c r="AC681" s="51"/>
      <c r="AD681" s="51"/>
      <c r="AE681" s="51"/>
      <c r="AF681" s="51"/>
      <c r="AG681" s="51"/>
    </row>
    <row r="682" spans="1:33" ht="15.75" customHeight="1">
      <c r="A682" s="51"/>
      <c r="B682" s="51"/>
      <c r="C682" s="51"/>
      <c r="D682" s="51"/>
      <c r="E682" s="51"/>
      <c r="F682" s="51"/>
      <c r="G682" s="51"/>
      <c r="H682" s="51"/>
      <c r="I682" s="51"/>
      <c r="J682" s="55"/>
      <c r="K682" s="55"/>
      <c r="L682" s="55"/>
      <c r="M682" s="55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82"/>
      <c r="Z682" s="51"/>
      <c r="AA682" s="51"/>
      <c r="AB682" s="51"/>
      <c r="AC682" s="51"/>
      <c r="AD682" s="51"/>
      <c r="AE682" s="51"/>
      <c r="AF682" s="51"/>
      <c r="AG682" s="51"/>
    </row>
    <row r="683" spans="1:33" ht="15.75" customHeight="1">
      <c r="A683" s="51"/>
      <c r="B683" s="51"/>
      <c r="C683" s="51"/>
      <c r="D683" s="51"/>
      <c r="E683" s="51"/>
      <c r="F683" s="51"/>
      <c r="G683" s="51"/>
      <c r="H683" s="51"/>
      <c r="I683" s="51"/>
      <c r="J683" s="55"/>
      <c r="K683" s="55"/>
      <c r="L683" s="55"/>
      <c r="M683" s="55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82"/>
      <c r="Z683" s="51"/>
      <c r="AA683" s="51"/>
      <c r="AB683" s="51"/>
      <c r="AC683" s="51"/>
      <c r="AD683" s="51"/>
      <c r="AE683" s="51"/>
      <c r="AF683" s="51"/>
      <c r="AG683" s="51"/>
    </row>
    <row r="684" spans="1:33" ht="15.75" customHeight="1">
      <c r="A684" s="51"/>
      <c r="B684" s="51"/>
      <c r="C684" s="51"/>
      <c r="D684" s="51"/>
      <c r="E684" s="51"/>
      <c r="F684" s="51"/>
      <c r="G684" s="51"/>
      <c r="H684" s="51"/>
      <c r="I684" s="51"/>
      <c r="J684" s="55"/>
      <c r="K684" s="55"/>
      <c r="L684" s="55"/>
      <c r="M684" s="55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82"/>
      <c r="Z684" s="51"/>
      <c r="AA684" s="51"/>
      <c r="AB684" s="51"/>
      <c r="AC684" s="51"/>
      <c r="AD684" s="51"/>
      <c r="AE684" s="51"/>
      <c r="AF684" s="51"/>
      <c r="AG684" s="51"/>
    </row>
    <row r="685" spans="1:33" ht="15.75" customHeight="1">
      <c r="A685" s="51"/>
      <c r="B685" s="51"/>
      <c r="C685" s="51"/>
      <c r="D685" s="51"/>
      <c r="E685" s="51"/>
      <c r="F685" s="51"/>
      <c r="G685" s="51"/>
      <c r="H685" s="51"/>
      <c r="I685" s="51"/>
      <c r="J685" s="55"/>
      <c r="K685" s="55"/>
      <c r="L685" s="55"/>
      <c r="M685" s="55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82"/>
      <c r="Z685" s="51"/>
      <c r="AA685" s="51"/>
      <c r="AB685" s="51"/>
      <c r="AC685" s="51"/>
      <c r="AD685" s="51"/>
      <c r="AE685" s="51"/>
      <c r="AF685" s="51"/>
      <c r="AG685" s="51"/>
    </row>
    <row r="686" spans="1:33" ht="15.75" customHeight="1">
      <c r="A686" s="51"/>
      <c r="B686" s="51"/>
      <c r="C686" s="51"/>
      <c r="D686" s="51"/>
      <c r="E686" s="51"/>
      <c r="F686" s="51"/>
      <c r="G686" s="51"/>
      <c r="H686" s="51"/>
      <c r="I686" s="51"/>
      <c r="J686" s="55"/>
      <c r="K686" s="55"/>
      <c r="L686" s="55"/>
      <c r="M686" s="55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82"/>
      <c r="Z686" s="51"/>
      <c r="AA686" s="51"/>
      <c r="AB686" s="51"/>
      <c r="AC686" s="51"/>
      <c r="AD686" s="51"/>
      <c r="AE686" s="51"/>
      <c r="AF686" s="51"/>
      <c r="AG686" s="51"/>
    </row>
    <row r="687" spans="1:33" ht="15.75" customHeight="1">
      <c r="A687" s="51"/>
      <c r="B687" s="51"/>
      <c r="C687" s="51"/>
      <c r="D687" s="51"/>
      <c r="E687" s="51"/>
      <c r="F687" s="51"/>
      <c r="G687" s="51"/>
      <c r="H687" s="51"/>
      <c r="I687" s="51"/>
      <c r="J687" s="55"/>
      <c r="K687" s="55"/>
      <c r="L687" s="55"/>
      <c r="M687" s="55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82"/>
      <c r="Z687" s="51"/>
      <c r="AA687" s="51"/>
      <c r="AB687" s="51"/>
      <c r="AC687" s="51"/>
      <c r="AD687" s="51"/>
      <c r="AE687" s="51"/>
      <c r="AF687" s="51"/>
      <c r="AG687" s="51"/>
    </row>
    <row r="688" spans="1:33" ht="15.75" customHeight="1">
      <c r="A688" s="51"/>
      <c r="B688" s="51"/>
      <c r="C688" s="51"/>
      <c r="D688" s="51"/>
      <c r="E688" s="51"/>
      <c r="F688" s="51"/>
      <c r="G688" s="51"/>
      <c r="H688" s="51"/>
      <c r="I688" s="51"/>
      <c r="J688" s="55"/>
      <c r="K688" s="55"/>
      <c r="L688" s="55"/>
      <c r="M688" s="55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82"/>
      <c r="Z688" s="51"/>
      <c r="AA688" s="51"/>
      <c r="AB688" s="51"/>
      <c r="AC688" s="51"/>
      <c r="AD688" s="51"/>
      <c r="AE688" s="51"/>
      <c r="AF688" s="51"/>
      <c r="AG688" s="51"/>
    </row>
    <row r="689" spans="1:33" ht="15.75" customHeight="1">
      <c r="A689" s="51"/>
      <c r="B689" s="51"/>
      <c r="C689" s="51"/>
      <c r="D689" s="51"/>
      <c r="E689" s="51"/>
      <c r="F689" s="51"/>
      <c r="G689" s="51"/>
      <c r="H689" s="51"/>
      <c r="I689" s="51"/>
      <c r="J689" s="55"/>
      <c r="K689" s="55"/>
      <c r="L689" s="55"/>
      <c r="M689" s="55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82"/>
      <c r="Z689" s="51"/>
      <c r="AA689" s="51"/>
      <c r="AB689" s="51"/>
      <c r="AC689" s="51"/>
      <c r="AD689" s="51"/>
      <c r="AE689" s="51"/>
      <c r="AF689" s="51"/>
      <c r="AG689" s="51"/>
    </row>
    <row r="690" spans="1:33" ht="15.75" customHeight="1">
      <c r="A690" s="51"/>
      <c r="B690" s="51"/>
      <c r="C690" s="51"/>
      <c r="D690" s="51"/>
      <c r="E690" s="51"/>
      <c r="F690" s="51"/>
      <c r="G690" s="51"/>
      <c r="H690" s="51"/>
      <c r="I690" s="51"/>
      <c r="J690" s="55"/>
      <c r="K690" s="55"/>
      <c r="L690" s="55"/>
      <c r="M690" s="55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82"/>
      <c r="Z690" s="51"/>
      <c r="AA690" s="51"/>
      <c r="AB690" s="51"/>
      <c r="AC690" s="51"/>
      <c r="AD690" s="51"/>
      <c r="AE690" s="51"/>
      <c r="AF690" s="51"/>
      <c r="AG690" s="51"/>
    </row>
    <row r="691" spans="1:33" ht="15.75" customHeight="1">
      <c r="A691" s="51"/>
      <c r="B691" s="51"/>
      <c r="C691" s="51"/>
      <c r="D691" s="51"/>
      <c r="E691" s="51"/>
      <c r="F691" s="51"/>
      <c r="G691" s="51"/>
      <c r="H691" s="51"/>
      <c r="I691" s="51"/>
      <c r="J691" s="55"/>
      <c r="K691" s="55"/>
      <c r="L691" s="55"/>
      <c r="M691" s="55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82"/>
      <c r="Z691" s="51"/>
      <c r="AA691" s="51"/>
      <c r="AB691" s="51"/>
      <c r="AC691" s="51"/>
      <c r="AD691" s="51"/>
      <c r="AE691" s="51"/>
      <c r="AF691" s="51"/>
      <c r="AG691" s="51"/>
    </row>
    <row r="692" spans="1:33" ht="15.75" customHeight="1">
      <c r="A692" s="51"/>
      <c r="B692" s="51"/>
      <c r="C692" s="51"/>
      <c r="D692" s="51"/>
      <c r="E692" s="51"/>
      <c r="F692" s="51"/>
      <c r="G692" s="51"/>
      <c r="H692" s="51"/>
      <c r="I692" s="51"/>
      <c r="J692" s="55"/>
      <c r="K692" s="55"/>
      <c r="L692" s="55"/>
      <c r="M692" s="55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82"/>
      <c r="Z692" s="51"/>
      <c r="AA692" s="51"/>
      <c r="AB692" s="51"/>
      <c r="AC692" s="51"/>
      <c r="AD692" s="51"/>
      <c r="AE692" s="51"/>
      <c r="AF692" s="51"/>
      <c r="AG692" s="51"/>
    </row>
    <row r="693" spans="1:33" ht="15.75" customHeight="1">
      <c r="A693" s="51"/>
      <c r="B693" s="51"/>
      <c r="C693" s="51"/>
      <c r="D693" s="51"/>
      <c r="E693" s="51"/>
      <c r="F693" s="51"/>
      <c r="G693" s="51"/>
      <c r="H693" s="51"/>
      <c r="I693" s="51"/>
      <c r="J693" s="55"/>
      <c r="K693" s="55"/>
      <c r="L693" s="55"/>
      <c r="M693" s="55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82"/>
      <c r="Z693" s="51"/>
      <c r="AA693" s="51"/>
      <c r="AB693" s="51"/>
      <c r="AC693" s="51"/>
      <c r="AD693" s="51"/>
      <c r="AE693" s="51"/>
      <c r="AF693" s="51"/>
      <c r="AG693" s="51"/>
    </row>
    <row r="694" spans="1:33" ht="15.75" customHeight="1">
      <c r="A694" s="51"/>
      <c r="B694" s="51"/>
      <c r="C694" s="51"/>
      <c r="D694" s="51"/>
      <c r="E694" s="51"/>
      <c r="F694" s="51"/>
      <c r="G694" s="51"/>
      <c r="H694" s="51"/>
      <c r="I694" s="51"/>
      <c r="J694" s="55"/>
      <c r="K694" s="55"/>
      <c r="L694" s="55"/>
      <c r="M694" s="55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82"/>
      <c r="Z694" s="51"/>
      <c r="AA694" s="51"/>
      <c r="AB694" s="51"/>
      <c r="AC694" s="51"/>
      <c r="AD694" s="51"/>
      <c r="AE694" s="51"/>
      <c r="AF694" s="51"/>
      <c r="AG694" s="51"/>
    </row>
    <row r="695" spans="1:33" ht="15.75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5"/>
      <c r="K695" s="55"/>
      <c r="L695" s="55"/>
      <c r="M695" s="55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82"/>
      <c r="Z695" s="51"/>
      <c r="AA695" s="51"/>
      <c r="AB695" s="51"/>
      <c r="AC695" s="51"/>
      <c r="AD695" s="51"/>
      <c r="AE695" s="51"/>
      <c r="AF695" s="51"/>
      <c r="AG695" s="51"/>
    </row>
    <row r="696" spans="1:33" ht="15.75" customHeight="1">
      <c r="A696" s="51"/>
      <c r="B696" s="51"/>
      <c r="C696" s="51"/>
      <c r="D696" s="51"/>
      <c r="E696" s="51"/>
      <c r="F696" s="51"/>
      <c r="G696" s="51"/>
      <c r="H696" s="51"/>
      <c r="I696" s="51"/>
      <c r="J696" s="55"/>
      <c r="K696" s="55"/>
      <c r="L696" s="55"/>
      <c r="M696" s="55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82"/>
      <c r="Z696" s="51"/>
      <c r="AA696" s="51"/>
      <c r="AB696" s="51"/>
      <c r="AC696" s="51"/>
      <c r="AD696" s="51"/>
      <c r="AE696" s="51"/>
      <c r="AF696" s="51"/>
      <c r="AG696" s="51"/>
    </row>
    <row r="697" spans="1:33" ht="15.75" customHeight="1">
      <c r="A697" s="51"/>
      <c r="B697" s="51"/>
      <c r="C697" s="51"/>
      <c r="D697" s="51"/>
      <c r="E697" s="51"/>
      <c r="F697" s="51"/>
      <c r="G697" s="51"/>
      <c r="H697" s="51"/>
      <c r="I697" s="51"/>
      <c r="J697" s="55"/>
      <c r="K697" s="55"/>
      <c r="L697" s="55"/>
      <c r="M697" s="55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82"/>
      <c r="Z697" s="51"/>
      <c r="AA697" s="51"/>
      <c r="AB697" s="51"/>
      <c r="AC697" s="51"/>
      <c r="AD697" s="51"/>
      <c r="AE697" s="51"/>
      <c r="AF697" s="51"/>
      <c r="AG697" s="51"/>
    </row>
    <row r="698" spans="1:33" ht="15.75" customHeight="1">
      <c r="A698" s="51"/>
      <c r="B698" s="51"/>
      <c r="C698" s="51"/>
      <c r="D698" s="51"/>
      <c r="E698" s="51"/>
      <c r="F698" s="51"/>
      <c r="G698" s="51"/>
      <c r="H698" s="51"/>
      <c r="I698" s="51"/>
      <c r="J698" s="55"/>
      <c r="K698" s="55"/>
      <c r="L698" s="55"/>
      <c r="M698" s="55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82"/>
      <c r="Z698" s="51"/>
      <c r="AA698" s="51"/>
      <c r="AB698" s="51"/>
      <c r="AC698" s="51"/>
      <c r="AD698" s="51"/>
      <c r="AE698" s="51"/>
      <c r="AF698" s="51"/>
      <c r="AG698" s="51"/>
    </row>
    <row r="699" spans="1:33" ht="15.75" customHeight="1">
      <c r="A699" s="51"/>
      <c r="B699" s="51"/>
      <c r="C699" s="51"/>
      <c r="D699" s="51"/>
      <c r="E699" s="51"/>
      <c r="F699" s="51"/>
      <c r="G699" s="51"/>
      <c r="H699" s="51"/>
      <c r="I699" s="51"/>
      <c r="J699" s="55"/>
      <c r="K699" s="55"/>
      <c r="L699" s="55"/>
      <c r="M699" s="55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82"/>
      <c r="Z699" s="51"/>
      <c r="AA699" s="51"/>
      <c r="AB699" s="51"/>
      <c r="AC699" s="51"/>
      <c r="AD699" s="51"/>
      <c r="AE699" s="51"/>
      <c r="AF699" s="51"/>
      <c r="AG699" s="51"/>
    </row>
    <row r="700" spans="1:33" ht="15.75" customHeight="1">
      <c r="A700" s="51"/>
      <c r="B700" s="51"/>
      <c r="C700" s="51"/>
      <c r="D700" s="51"/>
      <c r="E700" s="51"/>
      <c r="F700" s="51"/>
      <c r="G700" s="51"/>
      <c r="H700" s="51"/>
      <c r="I700" s="51"/>
      <c r="J700" s="55"/>
      <c r="K700" s="55"/>
      <c r="L700" s="55"/>
      <c r="M700" s="55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82"/>
      <c r="Z700" s="51"/>
      <c r="AA700" s="51"/>
      <c r="AB700" s="51"/>
      <c r="AC700" s="51"/>
      <c r="AD700" s="51"/>
      <c r="AE700" s="51"/>
      <c r="AF700" s="51"/>
      <c r="AG700" s="51"/>
    </row>
    <row r="701" spans="1:33" ht="15.75" customHeight="1">
      <c r="A701" s="51"/>
      <c r="B701" s="51"/>
      <c r="C701" s="51"/>
      <c r="D701" s="51"/>
      <c r="E701" s="51"/>
      <c r="F701" s="51"/>
      <c r="G701" s="51"/>
      <c r="H701" s="51"/>
      <c r="I701" s="51"/>
      <c r="J701" s="55"/>
      <c r="K701" s="55"/>
      <c r="L701" s="55"/>
      <c r="M701" s="55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82"/>
      <c r="Z701" s="51"/>
      <c r="AA701" s="51"/>
      <c r="AB701" s="51"/>
      <c r="AC701" s="51"/>
      <c r="AD701" s="51"/>
      <c r="AE701" s="51"/>
      <c r="AF701" s="51"/>
      <c r="AG701" s="51"/>
    </row>
    <row r="702" spans="1:33" ht="15.75" customHeight="1">
      <c r="A702" s="51"/>
      <c r="B702" s="51"/>
      <c r="C702" s="51"/>
      <c r="D702" s="51"/>
      <c r="E702" s="51"/>
      <c r="F702" s="51"/>
      <c r="G702" s="51"/>
      <c r="H702" s="51"/>
      <c r="I702" s="51"/>
      <c r="J702" s="55"/>
      <c r="K702" s="55"/>
      <c r="L702" s="55"/>
      <c r="M702" s="55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82"/>
      <c r="Z702" s="51"/>
      <c r="AA702" s="51"/>
      <c r="AB702" s="51"/>
      <c r="AC702" s="51"/>
      <c r="AD702" s="51"/>
      <c r="AE702" s="51"/>
      <c r="AF702" s="51"/>
      <c r="AG702" s="51"/>
    </row>
    <row r="703" spans="1:33" ht="15.75" customHeight="1">
      <c r="A703" s="51"/>
      <c r="B703" s="51"/>
      <c r="C703" s="51"/>
      <c r="D703" s="51"/>
      <c r="E703" s="51"/>
      <c r="F703" s="51"/>
      <c r="G703" s="51"/>
      <c r="H703" s="51"/>
      <c r="I703" s="51"/>
      <c r="J703" s="55"/>
      <c r="K703" s="55"/>
      <c r="L703" s="55"/>
      <c r="M703" s="55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82"/>
      <c r="Z703" s="51"/>
      <c r="AA703" s="51"/>
      <c r="AB703" s="51"/>
      <c r="AC703" s="51"/>
      <c r="AD703" s="51"/>
      <c r="AE703" s="51"/>
      <c r="AF703" s="51"/>
      <c r="AG703" s="51"/>
    </row>
    <row r="704" spans="1:33" ht="15.75" customHeight="1">
      <c r="A704" s="51"/>
      <c r="B704" s="51"/>
      <c r="C704" s="51"/>
      <c r="D704" s="51"/>
      <c r="E704" s="51"/>
      <c r="F704" s="51"/>
      <c r="G704" s="51"/>
      <c r="H704" s="51"/>
      <c r="I704" s="51"/>
      <c r="J704" s="55"/>
      <c r="K704" s="55"/>
      <c r="L704" s="55"/>
      <c r="M704" s="55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82"/>
      <c r="Z704" s="51"/>
      <c r="AA704" s="51"/>
      <c r="AB704" s="51"/>
      <c r="AC704" s="51"/>
      <c r="AD704" s="51"/>
      <c r="AE704" s="51"/>
      <c r="AF704" s="51"/>
      <c r="AG704" s="51"/>
    </row>
    <row r="705" spans="1:33" ht="15.75" customHeight="1">
      <c r="A705" s="51"/>
      <c r="B705" s="51"/>
      <c r="C705" s="51"/>
      <c r="D705" s="51"/>
      <c r="E705" s="51"/>
      <c r="F705" s="51"/>
      <c r="G705" s="51"/>
      <c r="H705" s="51"/>
      <c r="I705" s="51"/>
      <c r="J705" s="55"/>
      <c r="K705" s="55"/>
      <c r="L705" s="55"/>
      <c r="M705" s="55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82"/>
      <c r="Z705" s="51"/>
      <c r="AA705" s="51"/>
      <c r="AB705" s="51"/>
      <c r="AC705" s="51"/>
      <c r="AD705" s="51"/>
      <c r="AE705" s="51"/>
      <c r="AF705" s="51"/>
      <c r="AG705" s="51"/>
    </row>
    <row r="706" spans="1:33" ht="15.75" customHeight="1">
      <c r="A706" s="51"/>
      <c r="B706" s="51"/>
      <c r="C706" s="51"/>
      <c r="D706" s="51"/>
      <c r="E706" s="51"/>
      <c r="F706" s="51"/>
      <c r="G706" s="51"/>
      <c r="H706" s="51"/>
      <c r="I706" s="51"/>
      <c r="J706" s="55"/>
      <c r="K706" s="55"/>
      <c r="L706" s="55"/>
      <c r="M706" s="55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82"/>
      <c r="Z706" s="51"/>
      <c r="AA706" s="51"/>
      <c r="AB706" s="51"/>
      <c r="AC706" s="51"/>
      <c r="AD706" s="51"/>
      <c r="AE706" s="51"/>
      <c r="AF706" s="51"/>
      <c r="AG706" s="51"/>
    </row>
    <row r="707" spans="1:33" ht="15.75" customHeight="1">
      <c r="A707" s="51"/>
      <c r="B707" s="51"/>
      <c r="C707" s="51"/>
      <c r="D707" s="51"/>
      <c r="E707" s="51"/>
      <c r="F707" s="51"/>
      <c r="G707" s="51"/>
      <c r="H707" s="51"/>
      <c r="I707" s="51"/>
      <c r="J707" s="55"/>
      <c r="K707" s="55"/>
      <c r="L707" s="55"/>
      <c r="M707" s="55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82"/>
      <c r="Z707" s="51"/>
      <c r="AA707" s="51"/>
      <c r="AB707" s="51"/>
      <c r="AC707" s="51"/>
      <c r="AD707" s="51"/>
      <c r="AE707" s="51"/>
      <c r="AF707" s="51"/>
      <c r="AG707" s="51"/>
    </row>
    <row r="708" spans="1:33" ht="15.75" customHeight="1">
      <c r="A708" s="51"/>
      <c r="B708" s="51"/>
      <c r="C708" s="51"/>
      <c r="D708" s="51"/>
      <c r="E708" s="51"/>
      <c r="F708" s="51"/>
      <c r="G708" s="51"/>
      <c r="H708" s="51"/>
      <c r="I708" s="51"/>
      <c r="J708" s="55"/>
      <c r="K708" s="55"/>
      <c r="L708" s="55"/>
      <c r="M708" s="55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82"/>
      <c r="Z708" s="51"/>
      <c r="AA708" s="51"/>
      <c r="AB708" s="51"/>
      <c r="AC708" s="51"/>
      <c r="AD708" s="51"/>
      <c r="AE708" s="51"/>
      <c r="AF708" s="51"/>
      <c r="AG708" s="51"/>
    </row>
    <row r="709" spans="1:33" ht="15.75" customHeight="1">
      <c r="A709" s="51"/>
      <c r="B709" s="51"/>
      <c r="C709" s="51"/>
      <c r="D709" s="51"/>
      <c r="E709" s="51"/>
      <c r="F709" s="51"/>
      <c r="G709" s="51"/>
      <c r="H709" s="51"/>
      <c r="I709" s="51"/>
      <c r="J709" s="55"/>
      <c r="K709" s="55"/>
      <c r="L709" s="55"/>
      <c r="M709" s="55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82"/>
      <c r="Z709" s="51"/>
      <c r="AA709" s="51"/>
      <c r="AB709" s="51"/>
      <c r="AC709" s="51"/>
      <c r="AD709" s="51"/>
      <c r="AE709" s="51"/>
      <c r="AF709" s="51"/>
      <c r="AG709" s="51"/>
    </row>
    <row r="710" spans="1:33" ht="15.75" customHeight="1">
      <c r="A710" s="51"/>
      <c r="B710" s="51"/>
      <c r="C710" s="51"/>
      <c r="D710" s="51"/>
      <c r="E710" s="51"/>
      <c r="F710" s="51"/>
      <c r="G710" s="51"/>
      <c r="H710" s="51"/>
      <c r="I710" s="51"/>
      <c r="J710" s="55"/>
      <c r="K710" s="55"/>
      <c r="L710" s="55"/>
      <c r="M710" s="55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82"/>
      <c r="Z710" s="51"/>
      <c r="AA710" s="51"/>
      <c r="AB710" s="51"/>
      <c r="AC710" s="51"/>
      <c r="AD710" s="51"/>
      <c r="AE710" s="51"/>
      <c r="AF710" s="51"/>
      <c r="AG710" s="51"/>
    </row>
    <row r="711" spans="1:33" ht="15.75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5"/>
      <c r="K711" s="55"/>
      <c r="L711" s="55"/>
      <c r="M711" s="55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82"/>
      <c r="Z711" s="51"/>
      <c r="AA711" s="51"/>
      <c r="AB711" s="51"/>
      <c r="AC711" s="51"/>
      <c r="AD711" s="51"/>
      <c r="AE711" s="51"/>
      <c r="AF711" s="51"/>
      <c r="AG711" s="51"/>
    </row>
    <row r="712" spans="1:33" ht="15.75" customHeight="1">
      <c r="A712" s="51"/>
      <c r="B712" s="51"/>
      <c r="C712" s="51"/>
      <c r="D712" s="51"/>
      <c r="E712" s="51"/>
      <c r="F712" s="51"/>
      <c r="G712" s="51"/>
      <c r="H712" s="51"/>
      <c r="I712" s="51"/>
      <c r="J712" s="55"/>
      <c r="K712" s="55"/>
      <c r="L712" s="55"/>
      <c r="M712" s="55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82"/>
      <c r="Z712" s="51"/>
      <c r="AA712" s="51"/>
      <c r="AB712" s="51"/>
      <c r="AC712" s="51"/>
      <c r="AD712" s="51"/>
      <c r="AE712" s="51"/>
      <c r="AF712" s="51"/>
      <c r="AG712" s="51"/>
    </row>
    <row r="713" spans="1:33" ht="15.75" customHeight="1">
      <c r="A713" s="51"/>
      <c r="B713" s="51"/>
      <c r="C713" s="51"/>
      <c r="D713" s="51"/>
      <c r="E713" s="51"/>
      <c r="F713" s="51"/>
      <c r="G713" s="51"/>
      <c r="H713" s="51"/>
      <c r="I713" s="51"/>
      <c r="J713" s="55"/>
      <c r="K713" s="55"/>
      <c r="L713" s="55"/>
      <c r="M713" s="55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82"/>
      <c r="Z713" s="51"/>
      <c r="AA713" s="51"/>
      <c r="AB713" s="51"/>
      <c r="AC713" s="51"/>
      <c r="AD713" s="51"/>
      <c r="AE713" s="51"/>
      <c r="AF713" s="51"/>
      <c r="AG713" s="51"/>
    </row>
    <row r="714" spans="1:33" ht="15.75" customHeight="1">
      <c r="A714" s="51"/>
      <c r="B714" s="51"/>
      <c r="C714" s="51"/>
      <c r="D714" s="51"/>
      <c r="E714" s="51"/>
      <c r="F714" s="51"/>
      <c r="G714" s="51"/>
      <c r="H714" s="51"/>
      <c r="I714" s="51"/>
      <c r="J714" s="55"/>
      <c r="K714" s="55"/>
      <c r="L714" s="55"/>
      <c r="M714" s="55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82"/>
      <c r="Z714" s="51"/>
      <c r="AA714" s="51"/>
      <c r="AB714" s="51"/>
      <c r="AC714" s="51"/>
      <c r="AD714" s="51"/>
      <c r="AE714" s="51"/>
      <c r="AF714" s="51"/>
      <c r="AG714" s="51"/>
    </row>
    <row r="715" spans="1:33" ht="15.75" customHeight="1">
      <c r="A715" s="51"/>
      <c r="B715" s="51"/>
      <c r="C715" s="51"/>
      <c r="D715" s="51"/>
      <c r="E715" s="51"/>
      <c r="F715" s="51"/>
      <c r="G715" s="51"/>
      <c r="H715" s="51"/>
      <c r="I715" s="51"/>
      <c r="J715" s="55"/>
      <c r="K715" s="55"/>
      <c r="L715" s="55"/>
      <c r="M715" s="55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82"/>
      <c r="Z715" s="51"/>
      <c r="AA715" s="51"/>
      <c r="AB715" s="51"/>
      <c r="AC715" s="51"/>
      <c r="AD715" s="51"/>
      <c r="AE715" s="51"/>
      <c r="AF715" s="51"/>
      <c r="AG715" s="51"/>
    </row>
    <row r="716" spans="1:33" ht="15.75" customHeight="1">
      <c r="A716" s="51"/>
      <c r="B716" s="51"/>
      <c r="C716" s="51"/>
      <c r="D716" s="51"/>
      <c r="E716" s="51"/>
      <c r="F716" s="51"/>
      <c r="G716" s="51"/>
      <c r="H716" s="51"/>
      <c r="I716" s="51"/>
      <c r="J716" s="55"/>
      <c r="K716" s="55"/>
      <c r="L716" s="55"/>
      <c r="M716" s="55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82"/>
      <c r="Z716" s="51"/>
      <c r="AA716" s="51"/>
      <c r="AB716" s="51"/>
      <c r="AC716" s="51"/>
      <c r="AD716" s="51"/>
      <c r="AE716" s="51"/>
      <c r="AF716" s="51"/>
      <c r="AG716" s="51"/>
    </row>
    <row r="717" spans="1:33" ht="15.75" customHeight="1">
      <c r="A717" s="51"/>
      <c r="B717" s="51"/>
      <c r="C717" s="51"/>
      <c r="D717" s="51"/>
      <c r="E717" s="51"/>
      <c r="F717" s="51"/>
      <c r="G717" s="51"/>
      <c r="H717" s="51"/>
      <c r="I717" s="51"/>
      <c r="J717" s="55"/>
      <c r="K717" s="55"/>
      <c r="L717" s="55"/>
      <c r="M717" s="55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82"/>
      <c r="Z717" s="51"/>
      <c r="AA717" s="51"/>
      <c r="AB717" s="51"/>
      <c r="AC717" s="51"/>
      <c r="AD717" s="51"/>
      <c r="AE717" s="51"/>
      <c r="AF717" s="51"/>
      <c r="AG717" s="51"/>
    </row>
    <row r="718" spans="1:33" ht="15.75" customHeight="1">
      <c r="A718" s="51"/>
      <c r="B718" s="51"/>
      <c r="C718" s="51"/>
      <c r="D718" s="51"/>
      <c r="E718" s="51"/>
      <c r="F718" s="51"/>
      <c r="G718" s="51"/>
      <c r="H718" s="51"/>
      <c r="I718" s="51"/>
      <c r="J718" s="55"/>
      <c r="K718" s="55"/>
      <c r="L718" s="55"/>
      <c r="M718" s="55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82"/>
      <c r="Z718" s="51"/>
      <c r="AA718" s="51"/>
      <c r="AB718" s="51"/>
      <c r="AC718" s="51"/>
      <c r="AD718" s="51"/>
      <c r="AE718" s="51"/>
      <c r="AF718" s="51"/>
      <c r="AG718" s="51"/>
    </row>
    <row r="719" spans="1:33" ht="15.75" customHeight="1">
      <c r="A719" s="51"/>
      <c r="B719" s="51"/>
      <c r="C719" s="51"/>
      <c r="D719" s="51"/>
      <c r="E719" s="51"/>
      <c r="F719" s="51"/>
      <c r="G719" s="51"/>
      <c r="H719" s="51"/>
      <c r="I719" s="51"/>
      <c r="J719" s="55"/>
      <c r="K719" s="55"/>
      <c r="L719" s="55"/>
      <c r="M719" s="55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82"/>
      <c r="Z719" s="51"/>
      <c r="AA719" s="51"/>
      <c r="AB719" s="51"/>
      <c r="AC719" s="51"/>
      <c r="AD719" s="51"/>
      <c r="AE719" s="51"/>
      <c r="AF719" s="51"/>
      <c r="AG719" s="51"/>
    </row>
    <row r="720" spans="1:33" ht="15.75" customHeight="1">
      <c r="A720" s="51"/>
      <c r="B720" s="51"/>
      <c r="C720" s="51"/>
      <c r="D720" s="51"/>
      <c r="E720" s="51"/>
      <c r="F720" s="51"/>
      <c r="G720" s="51"/>
      <c r="H720" s="51"/>
      <c r="I720" s="51"/>
      <c r="J720" s="55"/>
      <c r="K720" s="55"/>
      <c r="L720" s="55"/>
      <c r="M720" s="55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82"/>
      <c r="Z720" s="51"/>
      <c r="AA720" s="51"/>
      <c r="AB720" s="51"/>
      <c r="AC720" s="51"/>
      <c r="AD720" s="51"/>
      <c r="AE720" s="51"/>
      <c r="AF720" s="51"/>
      <c r="AG720" s="51"/>
    </row>
    <row r="721" spans="1:33" ht="15.75" customHeight="1">
      <c r="A721" s="51"/>
      <c r="B721" s="51"/>
      <c r="C721" s="51"/>
      <c r="D721" s="51"/>
      <c r="E721" s="51"/>
      <c r="F721" s="51"/>
      <c r="G721" s="51"/>
      <c r="H721" s="51"/>
      <c r="I721" s="51"/>
      <c r="J721" s="55"/>
      <c r="K721" s="55"/>
      <c r="L721" s="55"/>
      <c r="M721" s="55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82"/>
      <c r="Z721" s="51"/>
      <c r="AA721" s="51"/>
      <c r="AB721" s="51"/>
      <c r="AC721" s="51"/>
      <c r="AD721" s="51"/>
      <c r="AE721" s="51"/>
      <c r="AF721" s="51"/>
      <c r="AG721" s="51"/>
    </row>
    <row r="722" spans="1:33" ht="15.75" customHeight="1">
      <c r="A722" s="51"/>
      <c r="B722" s="51"/>
      <c r="C722" s="51"/>
      <c r="D722" s="51"/>
      <c r="E722" s="51"/>
      <c r="F722" s="51"/>
      <c r="G722" s="51"/>
      <c r="H722" s="51"/>
      <c r="I722" s="51"/>
      <c r="J722" s="55"/>
      <c r="K722" s="55"/>
      <c r="L722" s="55"/>
      <c r="M722" s="55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82"/>
      <c r="Z722" s="51"/>
      <c r="AA722" s="51"/>
      <c r="AB722" s="51"/>
      <c r="AC722" s="51"/>
      <c r="AD722" s="51"/>
      <c r="AE722" s="51"/>
      <c r="AF722" s="51"/>
      <c r="AG722" s="51"/>
    </row>
    <row r="723" spans="1:33" ht="15.75" customHeight="1">
      <c r="A723" s="51"/>
      <c r="B723" s="51"/>
      <c r="C723" s="51"/>
      <c r="D723" s="51"/>
      <c r="E723" s="51"/>
      <c r="F723" s="51"/>
      <c r="G723" s="51"/>
      <c r="H723" s="51"/>
      <c r="I723" s="51"/>
      <c r="J723" s="55"/>
      <c r="K723" s="55"/>
      <c r="L723" s="55"/>
      <c r="M723" s="55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82"/>
      <c r="Z723" s="51"/>
      <c r="AA723" s="51"/>
      <c r="AB723" s="51"/>
      <c r="AC723" s="51"/>
      <c r="AD723" s="51"/>
      <c r="AE723" s="51"/>
      <c r="AF723" s="51"/>
      <c r="AG723" s="51"/>
    </row>
    <row r="724" spans="1:33" ht="15.75" customHeight="1">
      <c r="A724" s="51"/>
      <c r="B724" s="51"/>
      <c r="C724" s="51"/>
      <c r="D724" s="51"/>
      <c r="E724" s="51"/>
      <c r="F724" s="51"/>
      <c r="G724" s="51"/>
      <c r="H724" s="51"/>
      <c r="I724" s="51"/>
      <c r="J724" s="55"/>
      <c r="K724" s="55"/>
      <c r="L724" s="55"/>
      <c r="M724" s="55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82"/>
      <c r="Z724" s="51"/>
      <c r="AA724" s="51"/>
      <c r="AB724" s="51"/>
      <c r="AC724" s="51"/>
      <c r="AD724" s="51"/>
      <c r="AE724" s="51"/>
      <c r="AF724" s="51"/>
      <c r="AG724" s="51"/>
    </row>
    <row r="725" spans="1:33" ht="15.75" customHeight="1">
      <c r="A725" s="51"/>
      <c r="B725" s="51"/>
      <c r="C725" s="51"/>
      <c r="D725" s="51"/>
      <c r="E725" s="51"/>
      <c r="F725" s="51"/>
      <c r="G725" s="51"/>
      <c r="H725" s="51"/>
      <c r="I725" s="51"/>
      <c r="J725" s="55"/>
      <c r="K725" s="55"/>
      <c r="L725" s="55"/>
      <c r="M725" s="55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82"/>
      <c r="Z725" s="51"/>
      <c r="AA725" s="51"/>
      <c r="AB725" s="51"/>
      <c r="AC725" s="51"/>
      <c r="AD725" s="51"/>
      <c r="AE725" s="51"/>
      <c r="AF725" s="51"/>
      <c r="AG725" s="51"/>
    </row>
    <row r="726" spans="1:33" ht="15.75" customHeight="1">
      <c r="A726" s="51"/>
      <c r="B726" s="51"/>
      <c r="C726" s="51"/>
      <c r="D726" s="51"/>
      <c r="E726" s="51"/>
      <c r="F726" s="51"/>
      <c r="G726" s="51"/>
      <c r="H726" s="51"/>
      <c r="I726" s="51"/>
      <c r="J726" s="55"/>
      <c r="K726" s="55"/>
      <c r="L726" s="55"/>
      <c r="M726" s="55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82"/>
      <c r="Z726" s="51"/>
      <c r="AA726" s="51"/>
      <c r="AB726" s="51"/>
      <c r="AC726" s="51"/>
      <c r="AD726" s="51"/>
      <c r="AE726" s="51"/>
      <c r="AF726" s="51"/>
      <c r="AG726" s="51"/>
    </row>
    <row r="727" spans="1:33" ht="15.75" customHeight="1">
      <c r="A727" s="51"/>
      <c r="B727" s="51"/>
      <c r="C727" s="51"/>
      <c r="D727" s="51"/>
      <c r="E727" s="51"/>
      <c r="F727" s="51"/>
      <c r="G727" s="51"/>
      <c r="H727" s="51"/>
      <c r="I727" s="51"/>
      <c r="J727" s="55"/>
      <c r="K727" s="55"/>
      <c r="L727" s="55"/>
      <c r="M727" s="55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82"/>
      <c r="Z727" s="51"/>
      <c r="AA727" s="51"/>
      <c r="AB727" s="51"/>
      <c r="AC727" s="51"/>
      <c r="AD727" s="51"/>
      <c r="AE727" s="51"/>
      <c r="AF727" s="51"/>
      <c r="AG727" s="51"/>
    </row>
    <row r="728" spans="1:33" ht="15.75" customHeight="1">
      <c r="A728" s="51"/>
      <c r="B728" s="51"/>
      <c r="C728" s="51"/>
      <c r="D728" s="51"/>
      <c r="E728" s="51"/>
      <c r="F728" s="51"/>
      <c r="G728" s="51"/>
      <c r="H728" s="51"/>
      <c r="I728" s="51"/>
      <c r="J728" s="55"/>
      <c r="K728" s="55"/>
      <c r="L728" s="55"/>
      <c r="M728" s="55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82"/>
      <c r="Z728" s="51"/>
      <c r="AA728" s="51"/>
      <c r="AB728" s="51"/>
      <c r="AC728" s="51"/>
      <c r="AD728" s="51"/>
      <c r="AE728" s="51"/>
      <c r="AF728" s="51"/>
      <c r="AG728" s="51"/>
    </row>
    <row r="729" spans="1:33" ht="15.75" customHeight="1">
      <c r="A729" s="51"/>
      <c r="B729" s="51"/>
      <c r="C729" s="51"/>
      <c r="D729" s="51"/>
      <c r="E729" s="51"/>
      <c r="F729" s="51"/>
      <c r="G729" s="51"/>
      <c r="H729" s="51"/>
      <c r="I729" s="51"/>
      <c r="J729" s="55"/>
      <c r="K729" s="55"/>
      <c r="L729" s="55"/>
      <c r="M729" s="55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82"/>
      <c r="Z729" s="51"/>
      <c r="AA729" s="51"/>
      <c r="AB729" s="51"/>
      <c r="AC729" s="51"/>
      <c r="AD729" s="51"/>
      <c r="AE729" s="51"/>
      <c r="AF729" s="51"/>
      <c r="AG729" s="51"/>
    </row>
    <row r="730" spans="1:33" ht="15.75" customHeight="1">
      <c r="A730" s="51"/>
      <c r="B730" s="51"/>
      <c r="C730" s="51"/>
      <c r="D730" s="51"/>
      <c r="E730" s="51"/>
      <c r="F730" s="51"/>
      <c r="G730" s="51"/>
      <c r="H730" s="51"/>
      <c r="I730" s="51"/>
      <c r="J730" s="55"/>
      <c r="K730" s="55"/>
      <c r="L730" s="55"/>
      <c r="M730" s="55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82"/>
      <c r="Z730" s="51"/>
      <c r="AA730" s="51"/>
      <c r="AB730" s="51"/>
      <c r="AC730" s="51"/>
      <c r="AD730" s="51"/>
      <c r="AE730" s="51"/>
      <c r="AF730" s="51"/>
      <c r="AG730" s="51"/>
    </row>
    <row r="731" spans="1:33" ht="15.75" customHeight="1">
      <c r="A731" s="51"/>
      <c r="B731" s="51"/>
      <c r="C731" s="51"/>
      <c r="D731" s="51"/>
      <c r="E731" s="51"/>
      <c r="F731" s="51"/>
      <c r="G731" s="51"/>
      <c r="H731" s="51"/>
      <c r="I731" s="51"/>
      <c r="J731" s="55"/>
      <c r="K731" s="55"/>
      <c r="L731" s="55"/>
      <c r="M731" s="55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82"/>
      <c r="Z731" s="51"/>
      <c r="AA731" s="51"/>
      <c r="AB731" s="51"/>
      <c r="AC731" s="51"/>
      <c r="AD731" s="51"/>
      <c r="AE731" s="51"/>
      <c r="AF731" s="51"/>
      <c r="AG731" s="51"/>
    </row>
    <row r="732" spans="1:33" ht="15.75" customHeight="1">
      <c r="A732" s="51"/>
      <c r="B732" s="51"/>
      <c r="C732" s="51"/>
      <c r="D732" s="51"/>
      <c r="E732" s="51"/>
      <c r="F732" s="51"/>
      <c r="G732" s="51"/>
      <c r="H732" s="51"/>
      <c r="I732" s="51"/>
      <c r="J732" s="55"/>
      <c r="K732" s="55"/>
      <c r="L732" s="55"/>
      <c r="M732" s="55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82"/>
      <c r="Z732" s="51"/>
      <c r="AA732" s="51"/>
      <c r="AB732" s="51"/>
      <c r="AC732" s="51"/>
      <c r="AD732" s="51"/>
      <c r="AE732" s="51"/>
      <c r="AF732" s="51"/>
      <c r="AG732" s="51"/>
    </row>
    <row r="733" spans="1:33" ht="15.75" customHeight="1">
      <c r="A733" s="51"/>
      <c r="B733" s="51"/>
      <c r="C733" s="51"/>
      <c r="D733" s="51"/>
      <c r="E733" s="51"/>
      <c r="F733" s="51"/>
      <c r="G733" s="51"/>
      <c r="H733" s="51"/>
      <c r="I733" s="51"/>
      <c r="J733" s="55"/>
      <c r="K733" s="55"/>
      <c r="L733" s="55"/>
      <c r="M733" s="55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82"/>
      <c r="Z733" s="51"/>
      <c r="AA733" s="51"/>
      <c r="AB733" s="51"/>
      <c r="AC733" s="51"/>
      <c r="AD733" s="51"/>
      <c r="AE733" s="51"/>
      <c r="AF733" s="51"/>
      <c r="AG733" s="51"/>
    </row>
    <row r="734" spans="1:33" ht="15.75" customHeight="1">
      <c r="A734" s="51"/>
      <c r="B734" s="51"/>
      <c r="C734" s="51"/>
      <c r="D734" s="51"/>
      <c r="E734" s="51"/>
      <c r="F734" s="51"/>
      <c r="G734" s="51"/>
      <c r="H734" s="51"/>
      <c r="I734" s="51"/>
      <c r="J734" s="55"/>
      <c r="K734" s="55"/>
      <c r="L734" s="55"/>
      <c r="M734" s="55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82"/>
      <c r="Z734" s="51"/>
      <c r="AA734" s="51"/>
      <c r="AB734" s="51"/>
      <c r="AC734" s="51"/>
      <c r="AD734" s="51"/>
      <c r="AE734" s="51"/>
      <c r="AF734" s="51"/>
      <c r="AG734" s="51"/>
    </row>
    <row r="735" spans="1:33" ht="15.75" customHeight="1">
      <c r="A735" s="51"/>
      <c r="B735" s="51"/>
      <c r="C735" s="51"/>
      <c r="D735" s="51"/>
      <c r="E735" s="51"/>
      <c r="F735" s="51"/>
      <c r="G735" s="51"/>
      <c r="H735" s="51"/>
      <c r="I735" s="51"/>
      <c r="J735" s="55"/>
      <c r="K735" s="55"/>
      <c r="L735" s="55"/>
      <c r="M735" s="55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82"/>
      <c r="Z735" s="51"/>
      <c r="AA735" s="51"/>
      <c r="AB735" s="51"/>
      <c r="AC735" s="51"/>
      <c r="AD735" s="51"/>
      <c r="AE735" s="51"/>
      <c r="AF735" s="51"/>
      <c r="AG735" s="51"/>
    </row>
    <row r="736" spans="1:33" ht="15.75" customHeight="1">
      <c r="A736" s="51"/>
      <c r="B736" s="51"/>
      <c r="C736" s="51"/>
      <c r="D736" s="51"/>
      <c r="E736" s="51"/>
      <c r="F736" s="51"/>
      <c r="G736" s="51"/>
      <c r="H736" s="51"/>
      <c r="I736" s="51"/>
      <c r="J736" s="55"/>
      <c r="K736" s="55"/>
      <c r="L736" s="55"/>
      <c r="M736" s="55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82"/>
      <c r="Z736" s="51"/>
      <c r="AA736" s="51"/>
      <c r="AB736" s="51"/>
      <c r="AC736" s="51"/>
      <c r="AD736" s="51"/>
      <c r="AE736" s="51"/>
      <c r="AF736" s="51"/>
      <c r="AG736" s="51"/>
    </row>
    <row r="737" spans="1:33" ht="15.75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5"/>
      <c r="K737" s="55"/>
      <c r="L737" s="55"/>
      <c r="M737" s="55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82"/>
      <c r="Z737" s="51"/>
      <c r="AA737" s="51"/>
      <c r="AB737" s="51"/>
      <c r="AC737" s="51"/>
      <c r="AD737" s="51"/>
      <c r="AE737" s="51"/>
      <c r="AF737" s="51"/>
      <c r="AG737" s="51"/>
    </row>
    <row r="738" spans="1:33" ht="15.75" customHeight="1">
      <c r="A738" s="51"/>
      <c r="B738" s="51"/>
      <c r="C738" s="51"/>
      <c r="D738" s="51"/>
      <c r="E738" s="51"/>
      <c r="F738" s="51"/>
      <c r="G738" s="51"/>
      <c r="H738" s="51"/>
      <c r="I738" s="51"/>
      <c r="J738" s="55"/>
      <c r="K738" s="55"/>
      <c r="L738" s="55"/>
      <c r="M738" s="55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82"/>
      <c r="Z738" s="51"/>
      <c r="AA738" s="51"/>
      <c r="AB738" s="51"/>
      <c r="AC738" s="51"/>
      <c r="AD738" s="51"/>
      <c r="AE738" s="51"/>
      <c r="AF738" s="51"/>
      <c r="AG738" s="51"/>
    </row>
    <row r="739" spans="1:33" ht="15.75" customHeight="1">
      <c r="A739" s="51"/>
      <c r="B739" s="51"/>
      <c r="C739" s="51"/>
      <c r="D739" s="51"/>
      <c r="E739" s="51"/>
      <c r="F739" s="51"/>
      <c r="G739" s="51"/>
      <c r="H739" s="51"/>
      <c r="I739" s="51"/>
      <c r="J739" s="55"/>
      <c r="K739" s="55"/>
      <c r="L739" s="55"/>
      <c r="M739" s="55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82"/>
      <c r="Z739" s="51"/>
      <c r="AA739" s="51"/>
      <c r="AB739" s="51"/>
      <c r="AC739" s="51"/>
      <c r="AD739" s="51"/>
      <c r="AE739" s="51"/>
      <c r="AF739" s="51"/>
      <c r="AG739" s="51"/>
    </row>
    <row r="740" spans="1:33" ht="15.75" customHeight="1">
      <c r="A740" s="51"/>
      <c r="B740" s="51"/>
      <c r="C740" s="51"/>
      <c r="D740" s="51"/>
      <c r="E740" s="51"/>
      <c r="F740" s="51"/>
      <c r="G740" s="51"/>
      <c r="H740" s="51"/>
      <c r="I740" s="51"/>
      <c r="J740" s="55"/>
      <c r="K740" s="55"/>
      <c r="L740" s="55"/>
      <c r="M740" s="55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82"/>
      <c r="Z740" s="51"/>
      <c r="AA740" s="51"/>
      <c r="AB740" s="51"/>
      <c r="AC740" s="51"/>
      <c r="AD740" s="51"/>
      <c r="AE740" s="51"/>
      <c r="AF740" s="51"/>
      <c r="AG740" s="51"/>
    </row>
    <row r="741" spans="1:33" ht="15.75" customHeight="1">
      <c r="A741" s="51"/>
      <c r="B741" s="51"/>
      <c r="C741" s="51"/>
      <c r="D741" s="51"/>
      <c r="E741" s="51"/>
      <c r="F741" s="51"/>
      <c r="G741" s="51"/>
      <c r="H741" s="51"/>
      <c r="I741" s="51"/>
      <c r="J741" s="55"/>
      <c r="K741" s="55"/>
      <c r="L741" s="55"/>
      <c r="M741" s="55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82"/>
      <c r="Z741" s="51"/>
      <c r="AA741" s="51"/>
      <c r="AB741" s="51"/>
      <c r="AC741" s="51"/>
      <c r="AD741" s="51"/>
      <c r="AE741" s="51"/>
      <c r="AF741" s="51"/>
      <c r="AG741" s="51"/>
    </row>
    <row r="742" spans="1:33" ht="15.75" customHeight="1">
      <c r="A742" s="51"/>
      <c r="B742" s="51"/>
      <c r="C742" s="51"/>
      <c r="D742" s="51"/>
      <c r="E742" s="51"/>
      <c r="F742" s="51"/>
      <c r="G742" s="51"/>
      <c r="H742" s="51"/>
      <c r="I742" s="51"/>
      <c r="J742" s="55"/>
      <c r="K742" s="55"/>
      <c r="L742" s="55"/>
      <c r="M742" s="55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82"/>
      <c r="Z742" s="51"/>
      <c r="AA742" s="51"/>
      <c r="AB742" s="51"/>
      <c r="AC742" s="51"/>
      <c r="AD742" s="51"/>
      <c r="AE742" s="51"/>
      <c r="AF742" s="51"/>
      <c r="AG742" s="51"/>
    </row>
    <row r="743" spans="1:33" ht="15.75" customHeight="1">
      <c r="A743" s="51"/>
      <c r="B743" s="51"/>
      <c r="C743" s="51"/>
      <c r="D743" s="51"/>
      <c r="E743" s="51"/>
      <c r="F743" s="51"/>
      <c r="G743" s="51"/>
      <c r="H743" s="51"/>
      <c r="I743" s="51"/>
      <c r="J743" s="55"/>
      <c r="K743" s="55"/>
      <c r="L743" s="55"/>
      <c r="M743" s="55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82"/>
      <c r="Z743" s="51"/>
      <c r="AA743" s="51"/>
      <c r="AB743" s="51"/>
      <c r="AC743" s="51"/>
      <c r="AD743" s="51"/>
      <c r="AE743" s="51"/>
      <c r="AF743" s="51"/>
      <c r="AG743" s="51"/>
    </row>
    <row r="744" spans="1:33" ht="15.75" customHeight="1">
      <c r="A744" s="51"/>
      <c r="B744" s="51"/>
      <c r="C744" s="51"/>
      <c r="D744" s="51"/>
      <c r="E744" s="51"/>
      <c r="F744" s="51"/>
      <c r="G744" s="51"/>
      <c r="H744" s="51"/>
      <c r="I744" s="51"/>
      <c r="J744" s="55"/>
      <c r="K744" s="55"/>
      <c r="L744" s="55"/>
      <c r="M744" s="55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82"/>
      <c r="Z744" s="51"/>
      <c r="AA744" s="51"/>
      <c r="AB744" s="51"/>
      <c r="AC744" s="51"/>
      <c r="AD744" s="51"/>
      <c r="AE744" s="51"/>
      <c r="AF744" s="51"/>
      <c r="AG744" s="51"/>
    </row>
    <row r="745" spans="1:33" ht="15.75" customHeight="1">
      <c r="A745" s="51"/>
      <c r="B745" s="51"/>
      <c r="C745" s="51"/>
      <c r="D745" s="51"/>
      <c r="E745" s="51"/>
      <c r="F745" s="51"/>
      <c r="G745" s="51"/>
      <c r="H745" s="51"/>
      <c r="I745" s="51"/>
      <c r="J745" s="55"/>
      <c r="K745" s="55"/>
      <c r="L745" s="55"/>
      <c r="M745" s="55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82"/>
      <c r="Z745" s="51"/>
      <c r="AA745" s="51"/>
      <c r="AB745" s="51"/>
      <c r="AC745" s="51"/>
      <c r="AD745" s="51"/>
      <c r="AE745" s="51"/>
      <c r="AF745" s="51"/>
      <c r="AG745" s="51"/>
    </row>
    <row r="746" spans="1:33" ht="15.75" customHeight="1">
      <c r="A746" s="51"/>
      <c r="B746" s="51"/>
      <c r="C746" s="51"/>
      <c r="D746" s="51"/>
      <c r="E746" s="51"/>
      <c r="F746" s="51"/>
      <c r="G746" s="51"/>
      <c r="H746" s="51"/>
      <c r="I746" s="51"/>
      <c r="J746" s="55"/>
      <c r="K746" s="55"/>
      <c r="L746" s="55"/>
      <c r="M746" s="55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82"/>
      <c r="Z746" s="51"/>
      <c r="AA746" s="51"/>
      <c r="AB746" s="51"/>
      <c r="AC746" s="51"/>
      <c r="AD746" s="51"/>
      <c r="AE746" s="51"/>
      <c r="AF746" s="51"/>
      <c r="AG746" s="51"/>
    </row>
    <row r="747" spans="1:33" ht="15.75" customHeight="1">
      <c r="A747" s="51"/>
      <c r="B747" s="51"/>
      <c r="C747" s="51"/>
      <c r="D747" s="51"/>
      <c r="E747" s="51"/>
      <c r="F747" s="51"/>
      <c r="G747" s="51"/>
      <c r="H747" s="51"/>
      <c r="I747" s="51"/>
      <c r="J747" s="55"/>
      <c r="K747" s="55"/>
      <c r="L747" s="55"/>
      <c r="M747" s="55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82"/>
      <c r="Z747" s="51"/>
      <c r="AA747" s="51"/>
      <c r="AB747" s="51"/>
      <c r="AC747" s="51"/>
      <c r="AD747" s="51"/>
      <c r="AE747" s="51"/>
      <c r="AF747" s="51"/>
      <c r="AG747" s="51"/>
    </row>
    <row r="748" spans="1:33" ht="15.75" customHeight="1">
      <c r="A748" s="51"/>
      <c r="B748" s="51"/>
      <c r="C748" s="51"/>
      <c r="D748" s="51"/>
      <c r="E748" s="51"/>
      <c r="F748" s="51"/>
      <c r="G748" s="51"/>
      <c r="H748" s="51"/>
      <c r="I748" s="51"/>
      <c r="J748" s="55"/>
      <c r="K748" s="55"/>
      <c r="L748" s="55"/>
      <c r="M748" s="55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82"/>
      <c r="Z748" s="51"/>
      <c r="AA748" s="51"/>
      <c r="AB748" s="51"/>
      <c r="AC748" s="51"/>
      <c r="AD748" s="51"/>
      <c r="AE748" s="51"/>
      <c r="AF748" s="51"/>
      <c r="AG748" s="51"/>
    </row>
    <row r="749" spans="1:33" ht="15.75" customHeight="1">
      <c r="A749" s="51"/>
      <c r="B749" s="51"/>
      <c r="C749" s="51"/>
      <c r="D749" s="51"/>
      <c r="E749" s="51"/>
      <c r="F749" s="51"/>
      <c r="G749" s="51"/>
      <c r="H749" s="51"/>
      <c r="I749" s="51"/>
      <c r="J749" s="55"/>
      <c r="K749" s="55"/>
      <c r="L749" s="55"/>
      <c r="M749" s="55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82"/>
      <c r="Z749" s="51"/>
      <c r="AA749" s="51"/>
      <c r="AB749" s="51"/>
      <c r="AC749" s="51"/>
      <c r="AD749" s="51"/>
      <c r="AE749" s="51"/>
      <c r="AF749" s="51"/>
      <c r="AG749" s="51"/>
    </row>
    <row r="750" spans="1:33" ht="15.75" customHeight="1">
      <c r="A750" s="51"/>
      <c r="B750" s="51"/>
      <c r="C750" s="51"/>
      <c r="D750" s="51"/>
      <c r="E750" s="51"/>
      <c r="F750" s="51"/>
      <c r="G750" s="51"/>
      <c r="H750" s="51"/>
      <c r="I750" s="51"/>
      <c r="J750" s="55"/>
      <c r="K750" s="55"/>
      <c r="L750" s="55"/>
      <c r="M750" s="55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82"/>
      <c r="Z750" s="51"/>
      <c r="AA750" s="51"/>
      <c r="AB750" s="51"/>
      <c r="AC750" s="51"/>
      <c r="AD750" s="51"/>
      <c r="AE750" s="51"/>
      <c r="AF750" s="51"/>
      <c r="AG750" s="51"/>
    </row>
    <row r="751" spans="1:33" ht="15.75" customHeight="1">
      <c r="A751" s="51"/>
      <c r="B751" s="51"/>
      <c r="C751" s="51"/>
      <c r="D751" s="51"/>
      <c r="E751" s="51"/>
      <c r="F751" s="51"/>
      <c r="G751" s="51"/>
      <c r="H751" s="51"/>
      <c r="I751" s="51"/>
      <c r="J751" s="55"/>
      <c r="K751" s="55"/>
      <c r="L751" s="55"/>
      <c r="M751" s="55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82"/>
      <c r="Z751" s="51"/>
      <c r="AA751" s="51"/>
      <c r="AB751" s="51"/>
      <c r="AC751" s="51"/>
      <c r="AD751" s="51"/>
      <c r="AE751" s="51"/>
      <c r="AF751" s="51"/>
      <c r="AG751" s="51"/>
    </row>
    <row r="752" spans="1:33" ht="15.75" customHeight="1">
      <c r="A752" s="51"/>
      <c r="B752" s="51"/>
      <c r="C752" s="51"/>
      <c r="D752" s="51"/>
      <c r="E752" s="51"/>
      <c r="F752" s="51"/>
      <c r="G752" s="51"/>
      <c r="H752" s="51"/>
      <c r="I752" s="51"/>
      <c r="J752" s="55"/>
      <c r="K752" s="55"/>
      <c r="L752" s="55"/>
      <c r="M752" s="55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82"/>
      <c r="Z752" s="51"/>
      <c r="AA752" s="51"/>
      <c r="AB752" s="51"/>
      <c r="AC752" s="51"/>
      <c r="AD752" s="51"/>
      <c r="AE752" s="51"/>
      <c r="AF752" s="51"/>
      <c r="AG752" s="51"/>
    </row>
    <row r="753" spans="1:33" ht="15.75" customHeight="1">
      <c r="A753" s="51"/>
      <c r="B753" s="51"/>
      <c r="C753" s="51"/>
      <c r="D753" s="51"/>
      <c r="E753" s="51"/>
      <c r="F753" s="51"/>
      <c r="G753" s="51"/>
      <c r="H753" s="51"/>
      <c r="I753" s="51"/>
      <c r="J753" s="55"/>
      <c r="K753" s="55"/>
      <c r="L753" s="55"/>
      <c r="M753" s="55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82"/>
      <c r="Z753" s="51"/>
      <c r="AA753" s="51"/>
      <c r="AB753" s="51"/>
      <c r="AC753" s="51"/>
      <c r="AD753" s="51"/>
      <c r="AE753" s="51"/>
      <c r="AF753" s="51"/>
      <c r="AG753" s="51"/>
    </row>
    <row r="754" spans="1:33" ht="15.75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5"/>
      <c r="K754" s="55"/>
      <c r="L754" s="55"/>
      <c r="M754" s="55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82"/>
      <c r="Z754" s="51"/>
      <c r="AA754" s="51"/>
      <c r="AB754" s="51"/>
      <c r="AC754" s="51"/>
      <c r="AD754" s="51"/>
      <c r="AE754" s="51"/>
      <c r="AF754" s="51"/>
      <c r="AG754" s="51"/>
    </row>
    <row r="755" spans="1:33" ht="15.75" customHeight="1">
      <c r="A755" s="51"/>
      <c r="B755" s="51"/>
      <c r="C755" s="51"/>
      <c r="D755" s="51"/>
      <c r="E755" s="51"/>
      <c r="F755" s="51"/>
      <c r="G755" s="51"/>
      <c r="H755" s="51"/>
      <c r="I755" s="51"/>
      <c r="J755" s="55"/>
      <c r="K755" s="55"/>
      <c r="L755" s="55"/>
      <c r="M755" s="55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82"/>
      <c r="Z755" s="51"/>
      <c r="AA755" s="51"/>
      <c r="AB755" s="51"/>
      <c r="AC755" s="51"/>
      <c r="AD755" s="51"/>
      <c r="AE755" s="51"/>
      <c r="AF755" s="51"/>
      <c r="AG755" s="51"/>
    </row>
    <row r="756" spans="1:33" ht="15.75" customHeight="1">
      <c r="A756" s="51"/>
      <c r="B756" s="51"/>
      <c r="C756" s="51"/>
      <c r="D756" s="51"/>
      <c r="E756" s="51"/>
      <c r="F756" s="51"/>
      <c r="G756" s="51"/>
      <c r="H756" s="51"/>
      <c r="I756" s="51"/>
      <c r="J756" s="55"/>
      <c r="K756" s="55"/>
      <c r="L756" s="55"/>
      <c r="M756" s="55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82"/>
      <c r="Z756" s="51"/>
      <c r="AA756" s="51"/>
      <c r="AB756" s="51"/>
      <c r="AC756" s="51"/>
      <c r="AD756" s="51"/>
      <c r="AE756" s="51"/>
      <c r="AF756" s="51"/>
      <c r="AG756" s="51"/>
    </row>
    <row r="757" spans="1:33" ht="15.75" customHeight="1">
      <c r="A757" s="51"/>
      <c r="B757" s="51"/>
      <c r="C757" s="51"/>
      <c r="D757" s="51"/>
      <c r="E757" s="51"/>
      <c r="F757" s="51"/>
      <c r="G757" s="51"/>
      <c r="H757" s="51"/>
      <c r="I757" s="51"/>
      <c r="J757" s="55"/>
      <c r="K757" s="55"/>
      <c r="L757" s="55"/>
      <c r="M757" s="55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82"/>
      <c r="Z757" s="51"/>
      <c r="AA757" s="51"/>
      <c r="AB757" s="51"/>
      <c r="AC757" s="51"/>
      <c r="AD757" s="51"/>
      <c r="AE757" s="51"/>
      <c r="AF757" s="51"/>
      <c r="AG757" s="51"/>
    </row>
    <row r="758" spans="1:33" ht="15.75" customHeight="1">
      <c r="A758" s="51"/>
      <c r="B758" s="51"/>
      <c r="C758" s="51"/>
      <c r="D758" s="51"/>
      <c r="E758" s="51"/>
      <c r="F758" s="51"/>
      <c r="G758" s="51"/>
      <c r="H758" s="51"/>
      <c r="I758" s="51"/>
      <c r="J758" s="55"/>
      <c r="K758" s="55"/>
      <c r="L758" s="55"/>
      <c r="M758" s="55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82"/>
      <c r="Z758" s="51"/>
      <c r="AA758" s="51"/>
      <c r="AB758" s="51"/>
      <c r="AC758" s="51"/>
      <c r="AD758" s="51"/>
      <c r="AE758" s="51"/>
      <c r="AF758" s="51"/>
      <c r="AG758" s="51"/>
    </row>
    <row r="759" spans="1:33" ht="15.75" customHeight="1">
      <c r="A759" s="51"/>
      <c r="B759" s="51"/>
      <c r="C759" s="51"/>
      <c r="D759" s="51"/>
      <c r="E759" s="51"/>
      <c r="F759" s="51"/>
      <c r="G759" s="51"/>
      <c r="H759" s="51"/>
      <c r="I759" s="51"/>
      <c r="J759" s="55"/>
      <c r="K759" s="55"/>
      <c r="L759" s="55"/>
      <c r="M759" s="55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82"/>
      <c r="Z759" s="51"/>
      <c r="AA759" s="51"/>
      <c r="AB759" s="51"/>
      <c r="AC759" s="51"/>
      <c r="AD759" s="51"/>
      <c r="AE759" s="51"/>
      <c r="AF759" s="51"/>
      <c r="AG759" s="51"/>
    </row>
    <row r="760" spans="1:33" ht="15.75" customHeight="1">
      <c r="A760" s="51"/>
      <c r="B760" s="51"/>
      <c r="C760" s="51"/>
      <c r="D760" s="51"/>
      <c r="E760" s="51"/>
      <c r="F760" s="51"/>
      <c r="G760" s="51"/>
      <c r="H760" s="51"/>
      <c r="I760" s="51"/>
      <c r="J760" s="55"/>
      <c r="K760" s="55"/>
      <c r="L760" s="55"/>
      <c r="M760" s="55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82"/>
      <c r="Z760" s="51"/>
      <c r="AA760" s="51"/>
      <c r="AB760" s="51"/>
      <c r="AC760" s="51"/>
      <c r="AD760" s="51"/>
      <c r="AE760" s="51"/>
      <c r="AF760" s="51"/>
      <c r="AG760" s="51"/>
    </row>
    <row r="761" spans="1:33" ht="15.75" customHeight="1">
      <c r="A761" s="51"/>
      <c r="B761" s="51"/>
      <c r="C761" s="51"/>
      <c r="D761" s="51"/>
      <c r="E761" s="51"/>
      <c r="F761" s="51"/>
      <c r="G761" s="51"/>
      <c r="H761" s="51"/>
      <c r="I761" s="51"/>
      <c r="J761" s="55"/>
      <c r="K761" s="55"/>
      <c r="L761" s="55"/>
      <c r="M761" s="55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82"/>
      <c r="Z761" s="51"/>
      <c r="AA761" s="51"/>
      <c r="AB761" s="51"/>
      <c r="AC761" s="51"/>
      <c r="AD761" s="51"/>
      <c r="AE761" s="51"/>
      <c r="AF761" s="51"/>
      <c r="AG761" s="51"/>
    </row>
    <row r="762" spans="1:33" ht="15.75" customHeight="1">
      <c r="A762" s="51"/>
      <c r="B762" s="51"/>
      <c r="C762" s="51"/>
      <c r="D762" s="51"/>
      <c r="E762" s="51"/>
      <c r="F762" s="51"/>
      <c r="G762" s="51"/>
      <c r="H762" s="51"/>
      <c r="I762" s="51"/>
      <c r="J762" s="55"/>
      <c r="K762" s="55"/>
      <c r="L762" s="55"/>
      <c r="M762" s="55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82"/>
      <c r="Z762" s="51"/>
      <c r="AA762" s="51"/>
      <c r="AB762" s="51"/>
      <c r="AC762" s="51"/>
      <c r="AD762" s="51"/>
      <c r="AE762" s="51"/>
      <c r="AF762" s="51"/>
      <c r="AG762" s="51"/>
    </row>
    <row r="763" spans="1:33" ht="15.75" customHeight="1">
      <c r="A763" s="51"/>
      <c r="B763" s="51"/>
      <c r="C763" s="51"/>
      <c r="D763" s="51"/>
      <c r="E763" s="51"/>
      <c r="F763" s="51"/>
      <c r="G763" s="51"/>
      <c r="H763" s="51"/>
      <c r="I763" s="51"/>
      <c r="J763" s="55"/>
      <c r="K763" s="55"/>
      <c r="L763" s="55"/>
      <c r="M763" s="55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82"/>
      <c r="Z763" s="51"/>
      <c r="AA763" s="51"/>
      <c r="AB763" s="51"/>
      <c r="AC763" s="51"/>
      <c r="AD763" s="51"/>
      <c r="AE763" s="51"/>
      <c r="AF763" s="51"/>
      <c r="AG763" s="51"/>
    </row>
    <row r="764" spans="1:33" ht="15.75" customHeight="1">
      <c r="A764" s="51"/>
      <c r="B764" s="51"/>
      <c r="C764" s="51"/>
      <c r="D764" s="51"/>
      <c r="E764" s="51"/>
      <c r="F764" s="51"/>
      <c r="G764" s="51"/>
      <c r="H764" s="51"/>
      <c r="I764" s="51"/>
      <c r="J764" s="55"/>
      <c r="K764" s="55"/>
      <c r="L764" s="55"/>
      <c r="M764" s="55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82"/>
      <c r="Z764" s="51"/>
      <c r="AA764" s="51"/>
      <c r="AB764" s="51"/>
      <c r="AC764" s="51"/>
      <c r="AD764" s="51"/>
      <c r="AE764" s="51"/>
      <c r="AF764" s="51"/>
      <c r="AG764" s="51"/>
    </row>
    <row r="765" spans="1:33" ht="15.75" customHeight="1">
      <c r="A765" s="51"/>
      <c r="B765" s="51"/>
      <c r="C765" s="51"/>
      <c r="D765" s="51"/>
      <c r="E765" s="51"/>
      <c r="F765" s="51"/>
      <c r="G765" s="51"/>
      <c r="H765" s="51"/>
      <c r="I765" s="51"/>
      <c r="J765" s="55"/>
      <c r="K765" s="55"/>
      <c r="L765" s="55"/>
      <c r="M765" s="55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82"/>
      <c r="Z765" s="51"/>
      <c r="AA765" s="51"/>
      <c r="AB765" s="51"/>
      <c r="AC765" s="51"/>
      <c r="AD765" s="51"/>
      <c r="AE765" s="51"/>
      <c r="AF765" s="51"/>
      <c r="AG765" s="51"/>
    </row>
    <row r="766" spans="1:33" ht="15.75" customHeight="1">
      <c r="A766" s="51"/>
      <c r="B766" s="51"/>
      <c r="C766" s="51"/>
      <c r="D766" s="51"/>
      <c r="E766" s="51"/>
      <c r="F766" s="51"/>
      <c r="G766" s="51"/>
      <c r="H766" s="51"/>
      <c r="I766" s="51"/>
      <c r="J766" s="55"/>
      <c r="K766" s="55"/>
      <c r="L766" s="55"/>
      <c r="M766" s="55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82"/>
      <c r="Z766" s="51"/>
      <c r="AA766" s="51"/>
      <c r="AB766" s="51"/>
      <c r="AC766" s="51"/>
      <c r="AD766" s="51"/>
      <c r="AE766" s="51"/>
      <c r="AF766" s="51"/>
      <c r="AG766" s="51"/>
    </row>
    <row r="767" spans="1:33" ht="15.75" customHeight="1">
      <c r="A767" s="51"/>
      <c r="B767" s="51"/>
      <c r="C767" s="51"/>
      <c r="D767" s="51"/>
      <c r="E767" s="51"/>
      <c r="F767" s="51"/>
      <c r="G767" s="51"/>
      <c r="H767" s="51"/>
      <c r="I767" s="51"/>
      <c r="J767" s="55"/>
      <c r="K767" s="55"/>
      <c r="L767" s="55"/>
      <c r="M767" s="55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82"/>
      <c r="Z767" s="51"/>
      <c r="AA767" s="51"/>
      <c r="AB767" s="51"/>
      <c r="AC767" s="51"/>
      <c r="AD767" s="51"/>
      <c r="AE767" s="51"/>
      <c r="AF767" s="51"/>
      <c r="AG767" s="51"/>
    </row>
    <row r="768" spans="1:33" ht="15.75" customHeight="1">
      <c r="A768" s="51"/>
      <c r="B768" s="51"/>
      <c r="C768" s="51"/>
      <c r="D768" s="51"/>
      <c r="E768" s="51"/>
      <c r="F768" s="51"/>
      <c r="G768" s="51"/>
      <c r="H768" s="51"/>
      <c r="I768" s="51"/>
      <c r="J768" s="55"/>
      <c r="K768" s="55"/>
      <c r="L768" s="55"/>
      <c r="M768" s="55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82"/>
      <c r="Z768" s="51"/>
      <c r="AA768" s="51"/>
      <c r="AB768" s="51"/>
      <c r="AC768" s="51"/>
      <c r="AD768" s="51"/>
      <c r="AE768" s="51"/>
      <c r="AF768" s="51"/>
      <c r="AG768" s="51"/>
    </row>
    <row r="769" spans="1:33" ht="15.75" customHeight="1">
      <c r="A769" s="51"/>
      <c r="B769" s="51"/>
      <c r="C769" s="51"/>
      <c r="D769" s="51"/>
      <c r="E769" s="51"/>
      <c r="F769" s="51"/>
      <c r="G769" s="51"/>
      <c r="H769" s="51"/>
      <c r="I769" s="51"/>
      <c r="J769" s="55"/>
      <c r="K769" s="55"/>
      <c r="L769" s="55"/>
      <c r="M769" s="55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82"/>
      <c r="Z769" s="51"/>
      <c r="AA769" s="51"/>
      <c r="AB769" s="51"/>
      <c r="AC769" s="51"/>
      <c r="AD769" s="51"/>
      <c r="AE769" s="51"/>
      <c r="AF769" s="51"/>
      <c r="AG769" s="51"/>
    </row>
    <row r="770" spans="1:33" ht="15.75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5"/>
      <c r="K770" s="55"/>
      <c r="L770" s="55"/>
      <c r="M770" s="55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82"/>
      <c r="Z770" s="51"/>
      <c r="AA770" s="51"/>
      <c r="AB770" s="51"/>
      <c r="AC770" s="51"/>
      <c r="AD770" s="51"/>
      <c r="AE770" s="51"/>
      <c r="AF770" s="51"/>
      <c r="AG770" s="51"/>
    </row>
    <row r="771" spans="1:33" ht="15.75" customHeight="1">
      <c r="A771" s="51"/>
      <c r="B771" s="51"/>
      <c r="C771" s="51"/>
      <c r="D771" s="51"/>
      <c r="E771" s="51"/>
      <c r="F771" s="51"/>
      <c r="G771" s="51"/>
      <c r="H771" s="51"/>
      <c r="I771" s="51"/>
      <c r="J771" s="55"/>
      <c r="K771" s="55"/>
      <c r="L771" s="55"/>
      <c r="M771" s="55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82"/>
      <c r="Z771" s="51"/>
      <c r="AA771" s="51"/>
      <c r="AB771" s="51"/>
      <c r="AC771" s="51"/>
      <c r="AD771" s="51"/>
      <c r="AE771" s="51"/>
      <c r="AF771" s="51"/>
      <c r="AG771" s="51"/>
    </row>
    <row r="772" spans="1:33" ht="15.75" customHeight="1">
      <c r="A772" s="51"/>
      <c r="B772" s="51"/>
      <c r="C772" s="51"/>
      <c r="D772" s="51"/>
      <c r="E772" s="51"/>
      <c r="F772" s="51"/>
      <c r="G772" s="51"/>
      <c r="H772" s="51"/>
      <c r="I772" s="51"/>
      <c r="J772" s="55"/>
      <c r="K772" s="55"/>
      <c r="L772" s="55"/>
      <c r="M772" s="55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82"/>
      <c r="Z772" s="51"/>
      <c r="AA772" s="51"/>
      <c r="AB772" s="51"/>
      <c r="AC772" s="51"/>
      <c r="AD772" s="51"/>
      <c r="AE772" s="51"/>
      <c r="AF772" s="51"/>
      <c r="AG772" s="51"/>
    </row>
    <row r="773" spans="1:33" ht="15.75" customHeight="1">
      <c r="A773" s="51"/>
      <c r="B773" s="51"/>
      <c r="C773" s="51"/>
      <c r="D773" s="51"/>
      <c r="E773" s="51"/>
      <c r="F773" s="51"/>
      <c r="G773" s="51"/>
      <c r="H773" s="51"/>
      <c r="I773" s="51"/>
      <c r="J773" s="55"/>
      <c r="K773" s="55"/>
      <c r="L773" s="55"/>
      <c r="M773" s="55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82"/>
      <c r="Z773" s="51"/>
      <c r="AA773" s="51"/>
      <c r="AB773" s="51"/>
      <c r="AC773" s="51"/>
      <c r="AD773" s="51"/>
      <c r="AE773" s="51"/>
      <c r="AF773" s="51"/>
      <c r="AG773" s="51"/>
    </row>
    <row r="774" spans="1:33" ht="15.75" customHeight="1">
      <c r="A774" s="51"/>
      <c r="B774" s="51"/>
      <c r="C774" s="51"/>
      <c r="D774" s="51"/>
      <c r="E774" s="51"/>
      <c r="F774" s="51"/>
      <c r="G774" s="51"/>
      <c r="H774" s="51"/>
      <c r="I774" s="51"/>
      <c r="J774" s="55"/>
      <c r="K774" s="55"/>
      <c r="L774" s="55"/>
      <c r="M774" s="55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82"/>
      <c r="Z774" s="51"/>
      <c r="AA774" s="51"/>
      <c r="AB774" s="51"/>
      <c r="AC774" s="51"/>
      <c r="AD774" s="51"/>
      <c r="AE774" s="51"/>
      <c r="AF774" s="51"/>
      <c r="AG774" s="51"/>
    </row>
    <row r="775" spans="1:33" ht="15.75" customHeight="1">
      <c r="A775" s="51"/>
      <c r="B775" s="51"/>
      <c r="C775" s="51"/>
      <c r="D775" s="51"/>
      <c r="E775" s="51"/>
      <c r="F775" s="51"/>
      <c r="G775" s="51"/>
      <c r="H775" s="51"/>
      <c r="I775" s="51"/>
      <c r="J775" s="55"/>
      <c r="K775" s="55"/>
      <c r="L775" s="55"/>
      <c r="M775" s="55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82"/>
      <c r="Z775" s="51"/>
      <c r="AA775" s="51"/>
      <c r="AB775" s="51"/>
      <c r="AC775" s="51"/>
      <c r="AD775" s="51"/>
      <c r="AE775" s="51"/>
      <c r="AF775" s="51"/>
      <c r="AG775" s="51"/>
    </row>
    <row r="776" spans="1:33" ht="15.75" customHeight="1">
      <c r="A776" s="51"/>
      <c r="B776" s="51"/>
      <c r="C776" s="51"/>
      <c r="D776" s="51"/>
      <c r="E776" s="51"/>
      <c r="F776" s="51"/>
      <c r="G776" s="51"/>
      <c r="H776" s="51"/>
      <c r="I776" s="51"/>
      <c r="J776" s="55"/>
      <c r="K776" s="55"/>
      <c r="L776" s="55"/>
      <c r="M776" s="55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82"/>
      <c r="Z776" s="51"/>
      <c r="AA776" s="51"/>
      <c r="AB776" s="51"/>
      <c r="AC776" s="51"/>
      <c r="AD776" s="51"/>
      <c r="AE776" s="51"/>
      <c r="AF776" s="51"/>
      <c r="AG776" s="51"/>
    </row>
    <row r="777" spans="1:33" ht="15.75" customHeight="1">
      <c r="A777" s="51"/>
      <c r="B777" s="51"/>
      <c r="C777" s="51"/>
      <c r="D777" s="51"/>
      <c r="E777" s="51"/>
      <c r="F777" s="51"/>
      <c r="G777" s="51"/>
      <c r="H777" s="51"/>
      <c r="I777" s="51"/>
      <c r="J777" s="55"/>
      <c r="K777" s="55"/>
      <c r="L777" s="55"/>
      <c r="M777" s="55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82"/>
      <c r="Z777" s="51"/>
      <c r="AA777" s="51"/>
      <c r="AB777" s="51"/>
      <c r="AC777" s="51"/>
      <c r="AD777" s="51"/>
      <c r="AE777" s="51"/>
      <c r="AF777" s="51"/>
      <c r="AG777" s="51"/>
    </row>
    <row r="778" spans="1:33" ht="15.75" customHeight="1">
      <c r="A778" s="51"/>
      <c r="B778" s="51"/>
      <c r="C778" s="51"/>
      <c r="D778" s="51"/>
      <c r="E778" s="51"/>
      <c r="F778" s="51"/>
      <c r="G778" s="51"/>
      <c r="H778" s="51"/>
      <c r="I778" s="51"/>
      <c r="J778" s="55"/>
      <c r="K778" s="55"/>
      <c r="L778" s="55"/>
      <c r="M778" s="55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82"/>
      <c r="Z778" s="51"/>
      <c r="AA778" s="51"/>
      <c r="AB778" s="51"/>
      <c r="AC778" s="51"/>
      <c r="AD778" s="51"/>
      <c r="AE778" s="51"/>
      <c r="AF778" s="51"/>
      <c r="AG778" s="51"/>
    </row>
    <row r="779" spans="1:33" ht="15.75" customHeight="1">
      <c r="A779" s="51"/>
      <c r="B779" s="51"/>
      <c r="C779" s="51"/>
      <c r="D779" s="51"/>
      <c r="E779" s="51"/>
      <c r="F779" s="51"/>
      <c r="G779" s="51"/>
      <c r="H779" s="51"/>
      <c r="I779" s="51"/>
      <c r="J779" s="55"/>
      <c r="K779" s="55"/>
      <c r="L779" s="55"/>
      <c r="M779" s="55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82"/>
      <c r="Z779" s="51"/>
      <c r="AA779" s="51"/>
      <c r="AB779" s="51"/>
      <c r="AC779" s="51"/>
      <c r="AD779" s="51"/>
      <c r="AE779" s="51"/>
      <c r="AF779" s="51"/>
      <c r="AG779" s="51"/>
    </row>
    <row r="780" spans="1:33" ht="15.75" customHeight="1">
      <c r="A780" s="51"/>
      <c r="B780" s="51"/>
      <c r="C780" s="51"/>
      <c r="D780" s="51"/>
      <c r="E780" s="51"/>
      <c r="F780" s="51"/>
      <c r="G780" s="51"/>
      <c r="H780" s="51"/>
      <c r="I780" s="51"/>
      <c r="J780" s="55"/>
      <c r="K780" s="55"/>
      <c r="L780" s="55"/>
      <c r="M780" s="55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82"/>
      <c r="Z780" s="51"/>
      <c r="AA780" s="51"/>
      <c r="AB780" s="51"/>
      <c r="AC780" s="51"/>
      <c r="AD780" s="51"/>
      <c r="AE780" s="51"/>
      <c r="AF780" s="51"/>
      <c r="AG780" s="51"/>
    </row>
    <row r="781" spans="1:33" ht="15.75" customHeight="1">
      <c r="A781" s="51"/>
      <c r="B781" s="51"/>
      <c r="C781" s="51"/>
      <c r="D781" s="51"/>
      <c r="E781" s="51"/>
      <c r="F781" s="51"/>
      <c r="G781" s="51"/>
      <c r="H781" s="51"/>
      <c r="I781" s="51"/>
      <c r="J781" s="55"/>
      <c r="K781" s="55"/>
      <c r="L781" s="55"/>
      <c r="M781" s="55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82"/>
      <c r="Z781" s="51"/>
      <c r="AA781" s="51"/>
      <c r="AB781" s="51"/>
      <c r="AC781" s="51"/>
      <c r="AD781" s="51"/>
      <c r="AE781" s="51"/>
      <c r="AF781" s="51"/>
      <c r="AG781" s="51"/>
    </row>
    <row r="782" spans="1:33" ht="15.75" customHeight="1">
      <c r="A782" s="51"/>
      <c r="B782" s="51"/>
      <c r="C782" s="51"/>
      <c r="D782" s="51"/>
      <c r="E782" s="51"/>
      <c r="F782" s="51"/>
      <c r="G782" s="51"/>
      <c r="H782" s="51"/>
      <c r="I782" s="51"/>
      <c r="J782" s="55"/>
      <c r="K782" s="55"/>
      <c r="L782" s="55"/>
      <c r="M782" s="55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82"/>
      <c r="Z782" s="51"/>
      <c r="AA782" s="51"/>
      <c r="AB782" s="51"/>
      <c r="AC782" s="51"/>
      <c r="AD782" s="51"/>
      <c r="AE782" s="51"/>
      <c r="AF782" s="51"/>
      <c r="AG782" s="51"/>
    </row>
    <row r="783" spans="1:33" ht="15.75" customHeight="1">
      <c r="A783" s="51"/>
      <c r="B783" s="51"/>
      <c r="C783" s="51"/>
      <c r="D783" s="51"/>
      <c r="E783" s="51"/>
      <c r="F783" s="51"/>
      <c r="G783" s="51"/>
      <c r="H783" s="51"/>
      <c r="I783" s="51"/>
      <c r="J783" s="55"/>
      <c r="K783" s="55"/>
      <c r="L783" s="55"/>
      <c r="M783" s="55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82"/>
      <c r="Z783" s="51"/>
      <c r="AA783" s="51"/>
      <c r="AB783" s="51"/>
      <c r="AC783" s="51"/>
      <c r="AD783" s="51"/>
      <c r="AE783" s="51"/>
      <c r="AF783" s="51"/>
      <c r="AG783" s="51"/>
    </row>
    <row r="784" spans="1:33" ht="15.75" customHeight="1">
      <c r="A784" s="51"/>
      <c r="B784" s="51"/>
      <c r="C784" s="51"/>
      <c r="D784" s="51"/>
      <c r="E784" s="51"/>
      <c r="F784" s="51"/>
      <c r="G784" s="51"/>
      <c r="H784" s="51"/>
      <c r="I784" s="51"/>
      <c r="J784" s="55"/>
      <c r="K784" s="55"/>
      <c r="L784" s="55"/>
      <c r="M784" s="55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82"/>
      <c r="Z784" s="51"/>
      <c r="AA784" s="51"/>
      <c r="AB784" s="51"/>
      <c r="AC784" s="51"/>
      <c r="AD784" s="51"/>
      <c r="AE784" s="51"/>
      <c r="AF784" s="51"/>
      <c r="AG784" s="51"/>
    </row>
    <row r="785" spans="1:33" ht="15.75" customHeight="1">
      <c r="A785" s="51"/>
      <c r="B785" s="51"/>
      <c r="C785" s="51"/>
      <c r="D785" s="51"/>
      <c r="E785" s="51"/>
      <c r="F785" s="51"/>
      <c r="G785" s="51"/>
      <c r="H785" s="51"/>
      <c r="I785" s="51"/>
      <c r="J785" s="55"/>
      <c r="K785" s="55"/>
      <c r="L785" s="55"/>
      <c r="M785" s="55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82"/>
      <c r="Z785" s="51"/>
      <c r="AA785" s="51"/>
      <c r="AB785" s="51"/>
      <c r="AC785" s="51"/>
      <c r="AD785" s="51"/>
      <c r="AE785" s="51"/>
      <c r="AF785" s="51"/>
      <c r="AG785" s="51"/>
    </row>
    <row r="786" spans="1:33" ht="15.75" customHeight="1">
      <c r="A786" s="51"/>
      <c r="B786" s="51"/>
      <c r="C786" s="51"/>
      <c r="D786" s="51"/>
      <c r="E786" s="51"/>
      <c r="F786" s="51"/>
      <c r="G786" s="51"/>
      <c r="H786" s="51"/>
      <c r="I786" s="51"/>
      <c r="J786" s="55"/>
      <c r="K786" s="55"/>
      <c r="L786" s="55"/>
      <c r="M786" s="55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82"/>
      <c r="Z786" s="51"/>
      <c r="AA786" s="51"/>
      <c r="AB786" s="51"/>
      <c r="AC786" s="51"/>
      <c r="AD786" s="51"/>
      <c r="AE786" s="51"/>
      <c r="AF786" s="51"/>
      <c r="AG786" s="51"/>
    </row>
    <row r="787" spans="1:33" ht="15.75" customHeight="1">
      <c r="A787" s="51"/>
      <c r="B787" s="51"/>
      <c r="C787" s="51"/>
      <c r="D787" s="51"/>
      <c r="E787" s="51"/>
      <c r="F787" s="51"/>
      <c r="G787" s="51"/>
      <c r="H787" s="51"/>
      <c r="I787" s="51"/>
      <c r="J787" s="55"/>
      <c r="K787" s="55"/>
      <c r="L787" s="55"/>
      <c r="M787" s="55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82"/>
      <c r="Z787" s="51"/>
      <c r="AA787" s="51"/>
      <c r="AB787" s="51"/>
      <c r="AC787" s="51"/>
      <c r="AD787" s="51"/>
      <c r="AE787" s="51"/>
      <c r="AF787" s="51"/>
      <c r="AG787" s="51"/>
    </row>
    <row r="788" spans="1:33" ht="15.75" customHeight="1">
      <c r="A788" s="51"/>
      <c r="B788" s="51"/>
      <c r="C788" s="51"/>
      <c r="D788" s="51"/>
      <c r="E788" s="51"/>
      <c r="F788" s="51"/>
      <c r="G788" s="51"/>
      <c r="H788" s="51"/>
      <c r="I788" s="51"/>
      <c r="J788" s="55"/>
      <c r="K788" s="55"/>
      <c r="L788" s="55"/>
      <c r="M788" s="55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82"/>
      <c r="Z788" s="51"/>
      <c r="AA788" s="51"/>
      <c r="AB788" s="51"/>
      <c r="AC788" s="51"/>
      <c r="AD788" s="51"/>
      <c r="AE788" s="51"/>
      <c r="AF788" s="51"/>
      <c r="AG788" s="51"/>
    </row>
    <row r="789" spans="1:33" ht="15.75" customHeight="1">
      <c r="A789" s="51"/>
      <c r="B789" s="51"/>
      <c r="C789" s="51"/>
      <c r="D789" s="51"/>
      <c r="E789" s="51"/>
      <c r="F789" s="51"/>
      <c r="G789" s="51"/>
      <c r="H789" s="51"/>
      <c r="I789" s="51"/>
      <c r="J789" s="55"/>
      <c r="K789" s="55"/>
      <c r="L789" s="55"/>
      <c r="M789" s="55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82"/>
      <c r="Z789" s="51"/>
      <c r="AA789" s="51"/>
      <c r="AB789" s="51"/>
      <c r="AC789" s="51"/>
      <c r="AD789" s="51"/>
      <c r="AE789" s="51"/>
      <c r="AF789" s="51"/>
      <c r="AG789" s="51"/>
    </row>
    <row r="790" spans="1:33" ht="15.75" customHeight="1">
      <c r="A790" s="51"/>
      <c r="B790" s="51"/>
      <c r="C790" s="51"/>
      <c r="D790" s="51"/>
      <c r="E790" s="51"/>
      <c r="F790" s="51"/>
      <c r="G790" s="51"/>
      <c r="H790" s="51"/>
      <c r="I790" s="51"/>
      <c r="J790" s="55"/>
      <c r="K790" s="55"/>
      <c r="L790" s="55"/>
      <c r="M790" s="55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82"/>
      <c r="Z790" s="51"/>
      <c r="AA790" s="51"/>
      <c r="AB790" s="51"/>
      <c r="AC790" s="51"/>
      <c r="AD790" s="51"/>
      <c r="AE790" s="51"/>
      <c r="AF790" s="51"/>
      <c r="AG790" s="51"/>
    </row>
    <row r="791" spans="1:33" ht="15.75" customHeight="1">
      <c r="A791" s="51"/>
      <c r="B791" s="51"/>
      <c r="C791" s="51"/>
      <c r="D791" s="51"/>
      <c r="E791" s="51"/>
      <c r="F791" s="51"/>
      <c r="G791" s="51"/>
      <c r="H791" s="51"/>
      <c r="I791" s="51"/>
      <c r="J791" s="55"/>
      <c r="K791" s="55"/>
      <c r="L791" s="55"/>
      <c r="M791" s="55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82"/>
      <c r="Z791" s="51"/>
      <c r="AA791" s="51"/>
      <c r="AB791" s="51"/>
      <c r="AC791" s="51"/>
      <c r="AD791" s="51"/>
      <c r="AE791" s="51"/>
      <c r="AF791" s="51"/>
      <c r="AG791" s="51"/>
    </row>
    <row r="792" spans="1:33" ht="15.75" customHeight="1">
      <c r="A792" s="51"/>
      <c r="B792" s="51"/>
      <c r="C792" s="51"/>
      <c r="D792" s="51"/>
      <c r="E792" s="51"/>
      <c r="F792" s="51"/>
      <c r="G792" s="51"/>
      <c r="H792" s="51"/>
      <c r="I792" s="51"/>
      <c r="J792" s="55"/>
      <c r="K792" s="55"/>
      <c r="L792" s="55"/>
      <c r="M792" s="55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82"/>
      <c r="Z792" s="51"/>
      <c r="AA792" s="51"/>
      <c r="AB792" s="51"/>
      <c r="AC792" s="51"/>
      <c r="AD792" s="51"/>
      <c r="AE792" s="51"/>
      <c r="AF792" s="51"/>
      <c r="AG792" s="51"/>
    </row>
    <row r="793" spans="1:33" ht="15.75" customHeight="1">
      <c r="A793" s="51"/>
      <c r="B793" s="51"/>
      <c r="C793" s="51"/>
      <c r="D793" s="51"/>
      <c r="E793" s="51"/>
      <c r="F793" s="51"/>
      <c r="G793" s="51"/>
      <c r="H793" s="51"/>
      <c r="I793" s="51"/>
      <c r="J793" s="55"/>
      <c r="K793" s="55"/>
      <c r="L793" s="55"/>
      <c r="M793" s="55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82"/>
      <c r="Z793" s="51"/>
      <c r="AA793" s="51"/>
      <c r="AB793" s="51"/>
      <c r="AC793" s="51"/>
      <c r="AD793" s="51"/>
      <c r="AE793" s="51"/>
      <c r="AF793" s="51"/>
      <c r="AG793" s="51"/>
    </row>
    <row r="794" spans="1:33" ht="15.75" customHeight="1">
      <c r="A794" s="51"/>
      <c r="B794" s="51"/>
      <c r="C794" s="51"/>
      <c r="D794" s="51"/>
      <c r="E794" s="51"/>
      <c r="F794" s="51"/>
      <c r="G794" s="51"/>
      <c r="H794" s="51"/>
      <c r="I794" s="51"/>
      <c r="J794" s="55"/>
      <c r="K794" s="55"/>
      <c r="L794" s="55"/>
      <c r="M794" s="55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82"/>
      <c r="Z794" s="51"/>
      <c r="AA794" s="51"/>
      <c r="AB794" s="51"/>
      <c r="AC794" s="51"/>
      <c r="AD794" s="51"/>
      <c r="AE794" s="51"/>
      <c r="AF794" s="51"/>
      <c r="AG794" s="51"/>
    </row>
    <row r="795" spans="1:33" ht="15.75" customHeight="1">
      <c r="A795" s="51"/>
      <c r="B795" s="51"/>
      <c r="C795" s="51"/>
      <c r="D795" s="51"/>
      <c r="E795" s="51"/>
      <c r="F795" s="51"/>
      <c r="G795" s="51"/>
      <c r="H795" s="51"/>
      <c r="I795" s="51"/>
      <c r="J795" s="55"/>
      <c r="K795" s="55"/>
      <c r="L795" s="55"/>
      <c r="M795" s="55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82"/>
      <c r="Z795" s="51"/>
      <c r="AA795" s="51"/>
      <c r="AB795" s="51"/>
      <c r="AC795" s="51"/>
      <c r="AD795" s="51"/>
      <c r="AE795" s="51"/>
      <c r="AF795" s="51"/>
      <c r="AG795" s="51"/>
    </row>
    <row r="796" spans="1:33" ht="15.75" customHeight="1">
      <c r="A796" s="51"/>
      <c r="B796" s="51"/>
      <c r="C796" s="51"/>
      <c r="D796" s="51"/>
      <c r="E796" s="51"/>
      <c r="F796" s="51"/>
      <c r="G796" s="51"/>
      <c r="H796" s="51"/>
      <c r="I796" s="51"/>
      <c r="J796" s="55"/>
      <c r="K796" s="55"/>
      <c r="L796" s="55"/>
      <c r="M796" s="55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82"/>
      <c r="Z796" s="51"/>
      <c r="AA796" s="51"/>
      <c r="AB796" s="51"/>
      <c r="AC796" s="51"/>
      <c r="AD796" s="51"/>
      <c r="AE796" s="51"/>
      <c r="AF796" s="51"/>
      <c r="AG796" s="51"/>
    </row>
    <row r="797" spans="1:33" ht="15.75" customHeight="1">
      <c r="A797" s="51"/>
      <c r="B797" s="51"/>
      <c r="C797" s="51"/>
      <c r="D797" s="51"/>
      <c r="E797" s="51"/>
      <c r="F797" s="51"/>
      <c r="G797" s="51"/>
      <c r="H797" s="51"/>
      <c r="I797" s="51"/>
      <c r="J797" s="55"/>
      <c r="K797" s="55"/>
      <c r="L797" s="55"/>
      <c r="M797" s="55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82"/>
      <c r="Z797" s="51"/>
      <c r="AA797" s="51"/>
      <c r="AB797" s="51"/>
      <c r="AC797" s="51"/>
      <c r="AD797" s="51"/>
      <c r="AE797" s="51"/>
      <c r="AF797" s="51"/>
      <c r="AG797" s="51"/>
    </row>
    <row r="798" spans="1:33" ht="15.75" customHeight="1">
      <c r="A798" s="51"/>
      <c r="B798" s="51"/>
      <c r="C798" s="51"/>
      <c r="D798" s="51"/>
      <c r="E798" s="51"/>
      <c r="F798" s="51"/>
      <c r="G798" s="51"/>
      <c r="H798" s="51"/>
      <c r="I798" s="51"/>
      <c r="J798" s="55"/>
      <c r="K798" s="55"/>
      <c r="L798" s="55"/>
      <c r="M798" s="55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82"/>
      <c r="Z798" s="51"/>
      <c r="AA798" s="51"/>
      <c r="AB798" s="51"/>
      <c r="AC798" s="51"/>
      <c r="AD798" s="51"/>
      <c r="AE798" s="51"/>
      <c r="AF798" s="51"/>
      <c r="AG798" s="51"/>
    </row>
    <row r="799" spans="1:33" ht="15.75" customHeight="1">
      <c r="A799" s="51"/>
      <c r="B799" s="51"/>
      <c r="C799" s="51"/>
      <c r="D799" s="51"/>
      <c r="E799" s="51"/>
      <c r="F799" s="51"/>
      <c r="G799" s="51"/>
      <c r="H799" s="51"/>
      <c r="I799" s="51"/>
      <c r="J799" s="55"/>
      <c r="K799" s="55"/>
      <c r="L799" s="55"/>
      <c r="M799" s="55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82"/>
      <c r="Z799" s="51"/>
      <c r="AA799" s="51"/>
      <c r="AB799" s="51"/>
      <c r="AC799" s="51"/>
      <c r="AD799" s="51"/>
      <c r="AE799" s="51"/>
      <c r="AF799" s="51"/>
      <c r="AG799" s="51"/>
    </row>
    <row r="800" spans="1:33" ht="15.75" customHeight="1">
      <c r="A800" s="51"/>
      <c r="B800" s="51"/>
      <c r="C800" s="51"/>
      <c r="D800" s="51"/>
      <c r="E800" s="51"/>
      <c r="F800" s="51"/>
      <c r="G800" s="51"/>
      <c r="H800" s="51"/>
      <c r="I800" s="51"/>
      <c r="J800" s="55"/>
      <c r="K800" s="55"/>
      <c r="L800" s="55"/>
      <c r="M800" s="55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82"/>
      <c r="Z800" s="51"/>
      <c r="AA800" s="51"/>
      <c r="AB800" s="51"/>
      <c r="AC800" s="51"/>
      <c r="AD800" s="51"/>
      <c r="AE800" s="51"/>
      <c r="AF800" s="51"/>
      <c r="AG800" s="51"/>
    </row>
    <row r="801" spans="1:33" ht="15.75" customHeight="1">
      <c r="A801" s="51"/>
      <c r="B801" s="51"/>
      <c r="C801" s="51"/>
      <c r="D801" s="51"/>
      <c r="E801" s="51"/>
      <c r="F801" s="51"/>
      <c r="G801" s="51"/>
      <c r="H801" s="51"/>
      <c r="I801" s="51"/>
      <c r="J801" s="55"/>
      <c r="K801" s="55"/>
      <c r="L801" s="55"/>
      <c r="M801" s="55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82"/>
      <c r="Z801" s="51"/>
      <c r="AA801" s="51"/>
      <c r="AB801" s="51"/>
      <c r="AC801" s="51"/>
      <c r="AD801" s="51"/>
      <c r="AE801" s="51"/>
      <c r="AF801" s="51"/>
      <c r="AG801" s="51"/>
    </row>
    <row r="802" spans="1:33" ht="15.75" customHeight="1">
      <c r="A802" s="51"/>
      <c r="B802" s="51"/>
      <c r="C802" s="51"/>
      <c r="D802" s="51"/>
      <c r="E802" s="51"/>
      <c r="F802" s="51"/>
      <c r="G802" s="51"/>
      <c r="H802" s="51"/>
      <c r="I802" s="51"/>
      <c r="J802" s="55"/>
      <c r="K802" s="55"/>
      <c r="L802" s="55"/>
      <c r="M802" s="55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82"/>
      <c r="Z802" s="51"/>
      <c r="AA802" s="51"/>
      <c r="AB802" s="51"/>
      <c r="AC802" s="51"/>
      <c r="AD802" s="51"/>
      <c r="AE802" s="51"/>
      <c r="AF802" s="51"/>
      <c r="AG802" s="51"/>
    </row>
    <row r="803" spans="1:33" ht="15.75" customHeight="1">
      <c r="A803" s="51"/>
      <c r="B803" s="51"/>
      <c r="C803" s="51"/>
      <c r="D803" s="51"/>
      <c r="E803" s="51"/>
      <c r="F803" s="51"/>
      <c r="G803" s="51"/>
      <c r="H803" s="51"/>
      <c r="I803" s="51"/>
      <c r="J803" s="55"/>
      <c r="K803" s="55"/>
      <c r="L803" s="55"/>
      <c r="M803" s="55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82"/>
      <c r="Z803" s="51"/>
      <c r="AA803" s="51"/>
      <c r="AB803" s="51"/>
      <c r="AC803" s="51"/>
      <c r="AD803" s="51"/>
      <c r="AE803" s="51"/>
      <c r="AF803" s="51"/>
      <c r="AG803" s="51"/>
    </row>
    <row r="804" spans="1:33" ht="15.75" customHeight="1">
      <c r="A804" s="51"/>
      <c r="B804" s="51"/>
      <c r="C804" s="51"/>
      <c r="D804" s="51"/>
      <c r="E804" s="51"/>
      <c r="F804" s="51"/>
      <c r="G804" s="51"/>
      <c r="H804" s="51"/>
      <c r="I804" s="51"/>
      <c r="J804" s="55"/>
      <c r="K804" s="55"/>
      <c r="L804" s="55"/>
      <c r="M804" s="55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82"/>
      <c r="Z804" s="51"/>
      <c r="AA804" s="51"/>
      <c r="AB804" s="51"/>
      <c r="AC804" s="51"/>
      <c r="AD804" s="51"/>
      <c r="AE804" s="51"/>
      <c r="AF804" s="51"/>
      <c r="AG804" s="51"/>
    </row>
    <row r="805" spans="1:33" ht="15.75" customHeight="1">
      <c r="A805" s="51"/>
      <c r="B805" s="51"/>
      <c r="C805" s="51"/>
      <c r="D805" s="51"/>
      <c r="E805" s="51"/>
      <c r="F805" s="51"/>
      <c r="G805" s="51"/>
      <c r="H805" s="51"/>
      <c r="I805" s="51"/>
      <c r="J805" s="55"/>
      <c r="K805" s="55"/>
      <c r="L805" s="55"/>
      <c r="M805" s="55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82"/>
      <c r="Z805" s="51"/>
      <c r="AA805" s="51"/>
      <c r="AB805" s="51"/>
      <c r="AC805" s="51"/>
      <c r="AD805" s="51"/>
      <c r="AE805" s="51"/>
      <c r="AF805" s="51"/>
      <c r="AG805" s="51"/>
    </row>
    <row r="806" spans="1:33" ht="15.75" customHeight="1">
      <c r="A806" s="51"/>
      <c r="B806" s="51"/>
      <c r="C806" s="51"/>
      <c r="D806" s="51"/>
      <c r="E806" s="51"/>
      <c r="F806" s="51"/>
      <c r="G806" s="51"/>
      <c r="H806" s="51"/>
      <c r="I806" s="51"/>
      <c r="J806" s="55"/>
      <c r="K806" s="55"/>
      <c r="L806" s="55"/>
      <c r="M806" s="55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82"/>
      <c r="Z806" s="51"/>
      <c r="AA806" s="51"/>
      <c r="AB806" s="51"/>
      <c r="AC806" s="51"/>
      <c r="AD806" s="51"/>
      <c r="AE806" s="51"/>
      <c r="AF806" s="51"/>
      <c r="AG806" s="51"/>
    </row>
    <row r="807" spans="1:33" ht="15.75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5"/>
      <c r="K807" s="55"/>
      <c r="L807" s="55"/>
      <c r="M807" s="55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82"/>
      <c r="Z807" s="51"/>
      <c r="AA807" s="51"/>
      <c r="AB807" s="51"/>
      <c r="AC807" s="51"/>
      <c r="AD807" s="51"/>
      <c r="AE807" s="51"/>
      <c r="AF807" s="51"/>
      <c r="AG807" s="51"/>
    </row>
    <row r="808" spans="1:33" ht="15.75" customHeight="1">
      <c r="A808" s="51"/>
      <c r="B808" s="51"/>
      <c r="C808" s="51"/>
      <c r="D808" s="51"/>
      <c r="E808" s="51"/>
      <c r="F808" s="51"/>
      <c r="G808" s="51"/>
      <c r="H808" s="51"/>
      <c r="I808" s="51"/>
      <c r="J808" s="55"/>
      <c r="K808" s="55"/>
      <c r="L808" s="55"/>
      <c r="M808" s="55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82"/>
      <c r="Z808" s="51"/>
      <c r="AA808" s="51"/>
      <c r="AB808" s="51"/>
      <c r="AC808" s="51"/>
      <c r="AD808" s="51"/>
      <c r="AE808" s="51"/>
      <c r="AF808" s="51"/>
      <c r="AG808" s="51"/>
    </row>
    <row r="809" spans="1:33" ht="15.75" customHeight="1">
      <c r="A809" s="51"/>
      <c r="B809" s="51"/>
      <c r="C809" s="51"/>
      <c r="D809" s="51"/>
      <c r="E809" s="51"/>
      <c r="F809" s="51"/>
      <c r="G809" s="51"/>
      <c r="H809" s="51"/>
      <c r="I809" s="51"/>
      <c r="J809" s="55"/>
      <c r="K809" s="55"/>
      <c r="L809" s="55"/>
      <c r="M809" s="55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82"/>
      <c r="Z809" s="51"/>
      <c r="AA809" s="51"/>
      <c r="AB809" s="51"/>
      <c r="AC809" s="51"/>
      <c r="AD809" s="51"/>
      <c r="AE809" s="51"/>
      <c r="AF809" s="51"/>
      <c r="AG809" s="51"/>
    </row>
    <row r="810" spans="1:33" ht="15.75" customHeight="1">
      <c r="A810" s="51"/>
      <c r="B810" s="51"/>
      <c r="C810" s="51"/>
      <c r="D810" s="51"/>
      <c r="E810" s="51"/>
      <c r="F810" s="51"/>
      <c r="G810" s="51"/>
      <c r="H810" s="51"/>
      <c r="I810" s="51"/>
      <c r="J810" s="55"/>
      <c r="K810" s="55"/>
      <c r="L810" s="55"/>
      <c r="M810" s="55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82"/>
      <c r="Z810" s="51"/>
      <c r="AA810" s="51"/>
      <c r="AB810" s="51"/>
      <c r="AC810" s="51"/>
      <c r="AD810" s="51"/>
      <c r="AE810" s="51"/>
      <c r="AF810" s="51"/>
      <c r="AG810" s="51"/>
    </row>
    <row r="811" spans="1:33" ht="15.75" customHeight="1">
      <c r="A811" s="51"/>
      <c r="B811" s="51"/>
      <c r="C811" s="51"/>
      <c r="D811" s="51"/>
      <c r="E811" s="51"/>
      <c r="F811" s="51"/>
      <c r="G811" s="51"/>
      <c r="H811" s="51"/>
      <c r="I811" s="51"/>
      <c r="J811" s="55"/>
      <c r="K811" s="55"/>
      <c r="L811" s="55"/>
      <c r="M811" s="55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82"/>
      <c r="Z811" s="51"/>
      <c r="AA811" s="51"/>
      <c r="AB811" s="51"/>
      <c r="AC811" s="51"/>
      <c r="AD811" s="51"/>
      <c r="AE811" s="51"/>
      <c r="AF811" s="51"/>
      <c r="AG811" s="51"/>
    </row>
    <row r="812" spans="1:33" ht="15.75" customHeight="1">
      <c r="A812" s="51"/>
      <c r="B812" s="51"/>
      <c r="C812" s="51"/>
      <c r="D812" s="51"/>
      <c r="E812" s="51"/>
      <c r="F812" s="51"/>
      <c r="G812" s="51"/>
      <c r="H812" s="51"/>
      <c r="I812" s="51"/>
      <c r="J812" s="55"/>
      <c r="K812" s="55"/>
      <c r="L812" s="55"/>
      <c r="M812" s="55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82"/>
      <c r="Z812" s="51"/>
      <c r="AA812" s="51"/>
      <c r="AB812" s="51"/>
      <c r="AC812" s="51"/>
      <c r="AD812" s="51"/>
      <c r="AE812" s="51"/>
      <c r="AF812" s="51"/>
      <c r="AG812" s="51"/>
    </row>
    <row r="813" spans="1:33" ht="15.75" customHeight="1">
      <c r="A813" s="51"/>
      <c r="B813" s="51"/>
      <c r="C813" s="51"/>
      <c r="D813" s="51"/>
      <c r="E813" s="51"/>
      <c r="F813" s="51"/>
      <c r="G813" s="51"/>
      <c r="H813" s="51"/>
      <c r="I813" s="51"/>
      <c r="J813" s="55"/>
      <c r="K813" s="55"/>
      <c r="L813" s="55"/>
      <c r="M813" s="55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82"/>
      <c r="Z813" s="51"/>
      <c r="AA813" s="51"/>
      <c r="AB813" s="51"/>
      <c r="AC813" s="51"/>
      <c r="AD813" s="51"/>
      <c r="AE813" s="51"/>
      <c r="AF813" s="51"/>
      <c r="AG813" s="51"/>
    </row>
    <row r="814" spans="1:33" ht="15.75" customHeight="1">
      <c r="A814" s="51"/>
      <c r="B814" s="51"/>
      <c r="C814" s="51"/>
      <c r="D814" s="51"/>
      <c r="E814" s="51"/>
      <c r="F814" s="51"/>
      <c r="G814" s="51"/>
      <c r="H814" s="51"/>
      <c r="I814" s="51"/>
      <c r="J814" s="55"/>
      <c r="K814" s="55"/>
      <c r="L814" s="55"/>
      <c r="M814" s="55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82"/>
      <c r="Z814" s="51"/>
      <c r="AA814" s="51"/>
      <c r="AB814" s="51"/>
      <c r="AC814" s="51"/>
      <c r="AD814" s="51"/>
      <c r="AE814" s="51"/>
      <c r="AF814" s="51"/>
      <c r="AG814" s="51"/>
    </row>
    <row r="815" spans="1:33" ht="15.75" customHeight="1">
      <c r="A815" s="51"/>
      <c r="B815" s="51"/>
      <c r="C815" s="51"/>
      <c r="D815" s="51"/>
      <c r="E815" s="51"/>
      <c r="F815" s="51"/>
      <c r="G815" s="51"/>
      <c r="H815" s="51"/>
      <c r="I815" s="51"/>
      <c r="J815" s="55"/>
      <c r="K815" s="55"/>
      <c r="L815" s="55"/>
      <c r="M815" s="55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82"/>
      <c r="Z815" s="51"/>
      <c r="AA815" s="51"/>
      <c r="AB815" s="51"/>
      <c r="AC815" s="51"/>
      <c r="AD815" s="51"/>
      <c r="AE815" s="51"/>
      <c r="AF815" s="51"/>
      <c r="AG815" s="51"/>
    </row>
    <row r="816" spans="1:33" ht="15.75" customHeight="1">
      <c r="A816" s="51"/>
      <c r="B816" s="51"/>
      <c r="C816" s="51"/>
      <c r="D816" s="51"/>
      <c r="E816" s="51"/>
      <c r="F816" s="51"/>
      <c r="G816" s="51"/>
      <c r="H816" s="51"/>
      <c r="I816" s="51"/>
      <c r="J816" s="55"/>
      <c r="K816" s="55"/>
      <c r="L816" s="55"/>
      <c r="M816" s="55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82"/>
      <c r="Z816" s="51"/>
      <c r="AA816" s="51"/>
      <c r="AB816" s="51"/>
      <c r="AC816" s="51"/>
      <c r="AD816" s="51"/>
      <c r="AE816" s="51"/>
      <c r="AF816" s="51"/>
      <c r="AG816" s="51"/>
    </row>
    <row r="817" spans="1:33" ht="15.75" customHeight="1">
      <c r="A817" s="51"/>
      <c r="B817" s="51"/>
      <c r="C817" s="51"/>
      <c r="D817" s="51"/>
      <c r="E817" s="51"/>
      <c r="F817" s="51"/>
      <c r="G817" s="51"/>
      <c r="H817" s="51"/>
      <c r="I817" s="51"/>
      <c r="J817" s="55"/>
      <c r="K817" s="55"/>
      <c r="L817" s="55"/>
      <c r="M817" s="55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82"/>
      <c r="Z817" s="51"/>
      <c r="AA817" s="51"/>
      <c r="AB817" s="51"/>
      <c r="AC817" s="51"/>
      <c r="AD817" s="51"/>
      <c r="AE817" s="51"/>
      <c r="AF817" s="51"/>
      <c r="AG817" s="51"/>
    </row>
    <row r="818" spans="1:33" ht="15.75" customHeight="1">
      <c r="A818" s="51"/>
      <c r="B818" s="51"/>
      <c r="C818" s="51"/>
      <c r="D818" s="51"/>
      <c r="E818" s="51"/>
      <c r="F818" s="51"/>
      <c r="G818" s="51"/>
      <c r="H818" s="51"/>
      <c r="I818" s="51"/>
      <c r="J818" s="55"/>
      <c r="K818" s="55"/>
      <c r="L818" s="55"/>
      <c r="M818" s="55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82"/>
      <c r="Z818" s="51"/>
      <c r="AA818" s="51"/>
      <c r="AB818" s="51"/>
      <c r="AC818" s="51"/>
      <c r="AD818" s="51"/>
      <c r="AE818" s="51"/>
      <c r="AF818" s="51"/>
      <c r="AG818" s="51"/>
    </row>
    <row r="819" spans="1:33" ht="15.75" customHeight="1">
      <c r="A819" s="51"/>
      <c r="B819" s="51"/>
      <c r="C819" s="51"/>
      <c r="D819" s="51"/>
      <c r="E819" s="51"/>
      <c r="F819" s="51"/>
      <c r="G819" s="51"/>
      <c r="H819" s="51"/>
      <c r="I819" s="51"/>
      <c r="J819" s="55"/>
      <c r="K819" s="55"/>
      <c r="L819" s="55"/>
      <c r="M819" s="55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82"/>
      <c r="Z819" s="51"/>
      <c r="AA819" s="51"/>
      <c r="AB819" s="51"/>
      <c r="AC819" s="51"/>
      <c r="AD819" s="51"/>
      <c r="AE819" s="51"/>
      <c r="AF819" s="51"/>
      <c r="AG819" s="51"/>
    </row>
    <row r="820" spans="1:33" ht="15.75" customHeight="1">
      <c r="A820" s="51"/>
      <c r="B820" s="51"/>
      <c r="C820" s="51"/>
      <c r="D820" s="51"/>
      <c r="E820" s="51"/>
      <c r="F820" s="51"/>
      <c r="G820" s="51"/>
      <c r="H820" s="51"/>
      <c r="I820" s="51"/>
      <c r="J820" s="55"/>
      <c r="K820" s="55"/>
      <c r="L820" s="55"/>
      <c r="M820" s="55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82"/>
      <c r="Z820" s="51"/>
      <c r="AA820" s="51"/>
      <c r="AB820" s="51"/>
      <c r="AC820" s="51"/>
      <c r="AD820" s="51"/>
      <c r="AE820" s="51"/>
      <c r="AF820" s="51"/>
      <c r="AG820" s="51"/>
    </row>
    <row r="821" spans="1:33" ht="15.75" customHeight="1">
      <c r="A821" s="51"/>
      <c r="B821" s="51"/>
      <c r="C821" s="51"/>
      <c r="D821" s="51"/>
      <c r="E821" s="51"/>
      <c r="F821" s="51"/>
      <c r="G821" s="51"/>
      <c r="H821" s="51"/>
      <c r="I821" s="51"/>
      <c r="J821" s="55"/>
      <c r="K821" s="55"/>
      <c r="L821" s="55"/>
      <c r="M821" s="55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82"/>
      <c r="Z821" s="51"/>
      <c r="AA821" s="51"/>
      <c r="AB821" s="51"/>
      <c r="AC821" s="51"/>
      <c r="AD821" s="51"/>
      <c r="AE821" s="51"/>
      <c r="AF821" s="51"/>
      <c r="AG821" s="51"/>
    </row>
    <row r="822" spans="1:33" ht="15.75" customHeight="1">
      <c r="A822" s="51"/>
      <c r="B822" s="51"/>
      <c r="C822" s="51"/>
      <c r="D822" s="51"/>
      <c r="E822" s="51"/>
      <c r="F822" s="51"/>
      <c r="G822" s="51"/>
      <c r="H822" s="51"/>
      <c r="I822" s="51"/>
      <c r="J822" s="55"/>
      <c r="K822" s="55"/>
      <c r="L822" s="55"/>
      <c r="M822" s="55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82"/>
      <c r="Z822" s="51"/>
      <c r="AA822" s="51"/>
      <c r="AB822" s="51"/>
      <c r="AC822" s="51"/>
      <c r="AD822" s="51"/>
      <c r="AE822" s="51"/>
      <c r="AF822" s="51"/>
      <c r="AG822" s="51"/>
    </row>
    <row r="823" spans="1:33" ht="15.75" customHeight="1">
      <c r="A823" s="51"/>
      <c r="B823" s="51"/>
      <c r="C823" s="51"/>
      <c r="D823" s="51"/>
      <c r="E823" s="51"/>
      <c r="F823" s="51"/>
      <c r="G823" s="51"/>
      <c r="H823" s="51"/>
      <c r="I823" s="51"/>
      <c r="J823" s="55"/>
      <c r="K823" s="55"/>
      <c r="L823" s="55"/>
      <c r="M823" s="55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82"/>
      <c r="Z823" s="51"/>
      <c r="AA823" s="51"/>
      <c r="AB823" s="51"/>
      <c r="AC823" s="51"/>
      <c r="AD823" s="51"/>
      <c r="AE823" s="51"/>
      <c r="AF823" s="51"/>
      <c r="AG823" s="51"/>
    </row>
    <row r="824" spans="1:33" ht="15.75" customHeight="1">
      <c r="A824" s="51"/>
      <c r="B824" s="51"/>
      <c r="C824" s="51"/>
      <c r="D824" s="51"/>
      <c r="E824" s="51"/>
      <c r="F824" s="51"/>
      <c r="G824" s="51"/>
      <c r="H824" s="51"/>
      <c r="I824" s="51"/>
      <c r="J824" s="55"/>
      <c r="K824" s="55"/>
      <c r="L824" s="55"/>
      <c r="M824" s="55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82"/>
      <c r="Z824" s="51"/>
      <c r="AA824" s="51"/>
      <c r="AB824" s="51"/>
      <c r="AC824" s="51"/>
      <c r="AD824" s="51"/>
      <c r="AE824" s="51"/>
      <c r="AF824" s="51"/>
      <c r="AG824" s="51"/>
    </row>
    <row r="825" spans="1:33" ht="15.75" customHeight="1">
      <c r="A825" s="51"/>
      <c r="B825" s="51"/>
      <c r="C825" s="51"/>
      <c r="D825" s="51"/>
      <c r="E825" s="51"/>
      <c r="F825" s="51"/>
      <c r="G825" s="51"/>
      <c r="H825" s="51"/>
      <c r="I825" s="51"/>
      <c r="J825" s="55"/>
      <c r="K825" s="55"/>
      <c r="L825" s="55"/>
      <c r="M825" s="55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82"/>
      <c r="Z825" s="51"/>
      <c r="AA825" s="51"/>
      <c r="AB825" s="51"/>
      <c r="AC825" s="51"/>
      <c r="AD825" s="51"/>
      <c r="AE825" s="51"/>
      <c r="AF825" s="51"/>
      <c r="AG825" s="51"/>
    </row>
    <row r="826" spans="1:33" ht="15.75" customHeight="1">
      <c r="A826" s="51"/>
      <c r="B826" s="51"/>
      <c r="C826" s="51"/>
      <c r="D826" s="51"/>
      <c r="E826" s="51"/>
      <c r="F826" s="51"/>
      <c r="G826" s="51"/>
      <c r="H826" s="51"/>
      <c r="I826" s="51"/>
      <c r="J826" s="55"/>
      <c r="K826" s="55"/>
      <c r="L826" s="55"/>
      <c r="M826" s="55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82"/>
      <c r="Z826" s="51"/>
      <c r="AA826" s="51"/>
      <c r="AB826" s="51"/>
      <c r="AC826" s="51"/>
      <c r="AD826" s="51"/>
      <c r="AE826" s="51"/>
      <c r="AF826" s="51"/>
      <c r="AG826" s="51"/>
    </row>
    <row r="827" spans="1:33" ht="15.75" customHeight="1">
      <c r="A827" s="51"/>
      <c r="B827" s="51"/>
      <c r="C827" s="51"/>
      <c r="D827" s="51"/>
      <c r="E827" s="51"/>
      <c r="F827" s="51"/>
      <c r="G827" s="51"/>
      <c r="H827" s="51"/>
      <c r="I827" s="51"/>
      <c r="J827" s="55"/>
      <c r="K827" s="55"/>
      <c r="L827" s="55"/>
      <c r="M827" s="55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82"/>
      <c r="Z827" s="51"/>
      <c r="AA827" s="51"/>
      <c r="AB827" s="51"/>
      <c r="AC827" s="51"/>
      <c r="AD827" s="51"/>
      <c r="AE827" s="51"/>
      <c r="AF827" s="51"/>
      <c r="AG827" s="51"/>
    </row>
    <row r="828" spans="1:33" ht="15.75" customHeight="1">
      <c r="A828" s="51"/>
      <c r="B828" s="51"/>
      <c r="C828" s="51"/>
      <c r="D828" s="51"/>
      <c r="E828" s="51"/>
      <c r="F828" s="51"/>
      <c r="G828" s="51"/>
      <c r="H828" s="51"/>
      <c r="I828" s="51"/>
      <c r="J828" s="55"/>
      <c r="K828" s="55"/>
      <c r="L828" s="55"/>
      <c r="M828" s="55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82"/>
      <c r="Z828" s="51"/>
      <c r="AA828" s="51"/>
      <c r="AB828" s="51"/>
      <c r="AC828" s="51"/>
      <c r="AD828" s="51"/>
      <c r="AE828" s="51"/>
      <c r="AF828" s="51"/>
      <c r="AG828" s="51"/>
    </row>
    <row r="829" spans="1:33" ht="15.75" customHeight="1">
      <c r="A829" s="51"/>
      <c r="B829" s="51"/>
      <c r="C829" s="51"/>
      <c r="D829" s="51"/>
      <c r="E829" s="51"/>
      <c r="F829" s="51"/>
      <c r="G829" s="51"/>
      <c r="H829" s="51"/>
      <c r="I829" s="51"/>
      <c r="J829" s="55"/>
      <c r="K829" s="55"/>
      <c r="L829" s="55"/>
      <c r="M829" s="55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82"/>
      <c r="Z829" s="51"/>
      <c r="AA829" s="51"/>
      <c r="AB829" s="51"/>
      <c r="AC829" s="51"/>
      <c r="AD829" s="51"/>
      <c r="AE829" s="51"/>
      <c r="AF829" s="51"/>
      <c r="AG829" s="51"/>
    </row>
    <row r="830" spans="1:33" ht="15.75" customHeight="1">
      <c r="A830" s="51"/>
      <c r="B830" s="51"/>
      <c r="C830" s="51"/>
      <c r="D830" s="51"/>
      <c r="E830" s="51"/>
      <c r="F830" s="51"/>
      <c r="G830" s="51"/>
      <c r="H830" s="51"/>
      <c r="I830" s="51"/>
      <c r="J830" s="55"/>
      <c r="K830" s="55"/>
      <c r="L830" s="55"/>
      <c r="M830" s="55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82"/>
      <c r="Z830" s="51"/>
      <c r="AA830" s="51"/>
      <c r="AB830" s="51"/>
      <c r="AC830" s="51"/>
      <c r="AD830" s="51"/>
      <c r="AE830" s="51"/>
      <c r="AF830" s="51"/>
      <c r="AG830" s="51"/>
    </row>
    <row r="831" spans="1:33" ht="15.75" customHeight="1">
      <c r="A831" s="51"/>
      <c r="B831" s="51"/>
      <c r="C831" s="51"/>
      <c r="D831" s="51"/>
      <c r="E831" s="51"/>
      <c r="F831" s="51"/>
      <c r="G831" s="51"/>
      <c r="H831" s="51"/>
      <c r="I831" s="51"/>
      <c r="J831" s="55"/>
      <c r="K831" s="55"/>
      <c r="L831" s="55"/>
      <c r="M831" s="55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82"/>
      <c r="Z831" s="51"/>
      <c r="AA831" s="51"/>
      <c r="AB831" s="51"/>
      <c r="AC831" s="51"/>
      <c r="AD831" s="51"/>
      <c r="AE831" s="51"/>
      <c r="AF831" s="51"/>
      <c r="AG831" s="51"/>
    </row>
    <row r="832" spans="1:33" ht="15.75" customHeight="1">
      <c r="A832" s="51"/>
      <c r="B832" s="51"/>
      <c r="C832" s="51"/>
      <c r="D832" s="51"/>
      <c r="E832" s="51"/>
      <c r="F832" s="51"/>
      <c r="G832" s="51"/>
      <c r="H832" s="51"/>
      <c r="I832" s="51"/>
      <c r="J832" s="55"/>
      <c r="K832" s="55"/>
      <c r="L832" s="55"/>
      <c r="M832" s="55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82"/>
      <c r="Z832" s="51"/>
      <c r="AA832" s="51"/>
      <c r="AB832" s="51"/>
      <c r="AC832" s="51"/>
      <c r="AD832" s="51"/>
      <c r="AE832" s="51"/>
      <c r="AF832" s="51"/>
      <c r="AG832" s="51"/>
    </row>
    <row r="833" spans="1:33" ht="15.75" customHeight="1">
      <c r="A833" s="51"/>
      <c r="B833" s="51"/>
      <c r="C833" s="51"/>
      <c r="D833" s="51"/>
      <c r="E833" s="51"/>
      <c r="F833" s="51"/>
      <c r="G833" s="51"/>
      <c r="H833" s="51"/>
      <c r="I833" s="51"/>
      <c r="J833" s="55"/>
      <c r="K833" s="55"/>
      <c r="L833" s="55"/>
      <c r="M833" s="55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82"/>
      <c r="Z833" s="51"/>
      <c r="AA833" s="51"/>
      <c r="AB833" s="51"/>
      <c r="AC833" s="51"/>
      <c r="AD833" s="51"/>
      <c r="AE833" s="51"/>
      <c r="AF833" s="51"/>
      <c r="AG833" s="51"/>
    </row>
    <row r="834" spans="1:33" ht="15.75" customHeight="1">
      <c r="A834" s="51"/>
      <c r="B834" s="51"/>
      <c r="C834" s="51"/>
      <c r="D834" s="51"/>
      <c r="E834" s="51"/>
      <c r="F834" s="51"/>
      <c r="G834" s="51"/>
      <c r="H834" s="51"/>
      <c r="I834" s="51"/>
      <c r="J834" s="55"/>
      <c r="K834" s="55"/>
      <c r="L834" s="55"/>
      <c r="M834" s="55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82"/>
      <c r="Z834" s="51"/>
      <c r="AA834" s="51"/>
      <c r="AB834" s="51"/>
      <c r="AC834" s="51"/>
      <c r="AD834" s="51"/>
      <c r="AE834" s="51"/>
      <c r="AF834" s="51"/>
      <c r="AG834" s="51"/>
    </row>
    <row r="835" spans="1:33" ht="15.75" customHeight="1">
      <c r="A835" s="51"/>
      <c r="B835" s="51"/>
      <c r="C835" s="51"/>
      <c r="D835" s="51"/>
      <c r="E835" s="51"/>
      <c r="F835" s="51"/>
      <c r="G835" s="51"/>
      <c r="H835" s="51"/>
      <c r="I835" s="51"/>
      <c r="J835" s="55"/>
      <c r="K835" s="55"/>
      <c r="L835" s="55"/>
      <c r="M835" s="55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82"/>
      <c r="Z835" s="51"/>
      <c r="AA835" s="51"/>
      <c r="AB835" s="51"/>
      <c r="AC835" s="51"/>
      <c r="AD835" s="51"/>
      <c r="AE835" s="51"/>
      <c r="AF835" s="51"/>
      <c r="AG835" s="51"/>
    </row>
    <row r="836" spans="1:33" ht="15.75" customHeight="1">
      <c r="A836" s="51"/>
      <c r="B836" s="51"/>
      <c r="C836" s="51"/>
      <c r="D836" s="51"/>
      <c r="E836" s="51"/>
      <c r="F836" s="51"/>
      <c r="G836" s="51"/>
      <c r="H836" s="51"/>
      <c r="I836" s="51"/>
      <c r="J836" s="55"/>
      <c r="K836" s="55"/>
      <c r="L836" s="55"/>
      <c r="M836" s="55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82"/>
      <c r="Z836" s="51"/>
      <c r="AA836" s="51"/>
      <c r="AB836" s="51"/>
      <c r="AC836" s="51"/>
      <c r="AD836" s="51"/>
      <c r="AE836" s="51"/>
      <c r="AF836" s="51"/>
      <c r="AG836" s="51"/>
    </row>
    <row r="837" spans="1:33" ht="15.75" customHeight="1">
      <c r="A837" s="51"/>
      <c r="B837" s="51"/>
      <c r="C837" s="51"/>
      <c r="D837" s="51"/>
      <c r="E837" s="51"/>
      <c r="F837" s="51"/>
      <c r="G837" s="51"/>
      <c r="H837" s="51"/>
      <c r="I837" s="51"/>
      <c r="J837" s="55"/>
      <c r="K837" s="55"/>
      <c r="L837" s="55"/>
      <c r="M837" s="55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82"/>
      <c r="Z837" s="51"/>
      <c r="AA837" s="51"/>
      <c r="AB837" s="51"/>
      <c r="AC837" s="51"/>
      <c r="AD837" s="51"/>
      <c r="AE837" s="51"/>
      <c r="AF837" s="51"/>
      <c r="AG837" s="51"/>
    </row>
    <row r="838" spans="1:33" ht="15.75" customHeight="1">
      <c r="A838" s="51"/>
      <c r="B838" s="51"/>
      <c r="C838" s="51"/>
      <c r="D838" s="51"/>
      <c r="E838" s="51"/>
      <c r="F838" s="51"/>
      <c r="G838" s="51"/>
      <c r="H838" s="51"/>
      <c r="I838" s="51"/>
      <c r="J838" s="55"/>
      <c r="K838" s="55"/>
      <c r="L838" s="55"/>
      <c r="M838" s="55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82"/>
      <c r="Z838" s="51"/>
      <c r="AA838" s="51"/>
      <c r="AB838" s="51"/>
      <c r="AC838" s="51"/>
      <c r="AD838" s="51"/>
      <c r="AE838" s="51"/>
      <c r="AF838" s="51"/>
      <c r="AG838" s="51"/>
    </row>
    <row r="839" spans="1:33" ht="15.75" customHeight="1">
      <c r="A839" s="51"/>
      <c r="B839" s="51"/>
      <c r="C839" s="51"/>
      <c r="D839" s="51"/>
      <c r="E839" s="51"/>
      <c r="F839" s="51"/>
      <c r="G839" s="51"/>
      <c r="H839" s="51"/>
      <c r="I839" s="51"/>
      <c r="J839" s="55"/>
      <c r="K839" s="55"/>
      <c r="L839" s="55"/>
      <c r="M839" s="55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82"/>
      <c r="Z839" s="51"/>
      <c r="AA839" s="51"/>
      <c r="AB839" s="51"/>
      <c r="AC839" s="51"/>
      <c r="AD839" s="51"/>
      <c r="AE839" s="51"/>
      <c r="AF839" s="51"/>
      <c r="AG839" s="51"/>
    </row>
    <row r="840" spans="1:33" ht="15.75" customHeight="1">
      <c r="A840" s="51"/>
      <c r="B840" s="51"/>
      <c r="C840" s="51"/>
      <c r="D840" s="51"/>
      <c r="E840" s="51"/>
      <c r="F840" s="51"/>
      <c r="G840" s="51"/>
      <c r="H840" s="51"/>
      <c r="I840" s="51"/>
      <c r="J840" s="55"/>
      <c r="K840" s="55"/>
      <c r="L840" s="55"/>
      <c r="M840" s="55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82"/>
      <c r="Z840" s="51"/>
      <c r="AA840" s="51"/>
      <c r="AB840" s="51"/>
      <c r="AC840" s="51"/>
      <c r="AD840" s="51"/>
      <c r="AE840" s="51"/>
      <c r="AF840" s="51"/>
      <c r="AG840" s="51"/>
    </row>
    <row r="841" spans="1:33" ht="15.75" customHeight="1">
      <c r="A841" s="51"/>
      <c r="B841" s="51"/>
      <c r="C841" s="51"/>
      <c r="D841" s="51"/>
      <c r="E841" s="51"/>
      <c r="F841" s="51"/>
      <c r="G841" s="51"/>
      <c r="H841" s="51"/>
      <c r="I841" s="51"/>
      <c r="J841" s="55"/>
      <c r="K841" s="55"/>
      <c r="L841" s="55"/>
      <c r="M841" s="55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82"/>
      <c r="Z841" s="51"/>
      <c r="AA841" s="51"/>
      <c r="AB841" s="51"/>
      <c r="AC841" s="51"/>
      <c r="AD841" s="51"/>
      <c r="AE841" s="51"/>
      <c r="AF841" s="51"/>
      <c r="AG841" s="51"/>
    </row>
    <row r="842" spans="1:33" ht="15.75" customHeight="1">
      <c r="A842" s="51"/>
      <c r="B842" s="51"/>
      <c r="C842" s="51"/>
      <c r="D842" s="51"/>
      <c r="E842" s="51"/>
      <c r="F842" s="51"/>
      <c r="G842" s="51"/>
      <c r="H842" s="51"/>
      <c r="I842" s="51"/>
      <c r="J842" s="55"/>
      <c r="K842" s="55"/>
      <c r="L842" s="55"/>
      <c r="M842" s="55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82"/>
      <c r="Z842" s="51"/>
      <c r="AA842" s="51"/>
      <c r="AB842" s="51"/>
      <c r="AC842" s="51"/>
      <c r="AD842" s="51"/>
      <c r="AE842" s="51"/>
      <c r="AF842" s="51"/>
      <c r="AG842" s="51"/>
    </row>
    <row r="843" spans="1:33" ht="15.75" customHeight="1">
      <c r="A843" s="51"/>
      <c r="B843" s="51"/>
      <c r="C843" s="51"/>
      <c r="D843" s="51"/>
      <c r="E843" s="51"/>
      <c r="F843" s="51"/>
      <c r="G843" s="51"/>
      <c r="H843" s="51"/>
      <c r="I843" s="51"/>
      <c r="J843" s="55"/>
      <c r="K843" s="55"/>
      <c r="L843" s="55"/>
      <c r="M843" s="55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82"/>
      <c r="Z843" s="51"/>
      <c r="AA843" s="51"/>
      <c r="AB843" s="51"/>
      <c r="AC843" s="51"/>
      <c r="AD843" s="51"/>
      <c r="AE843" s="51"/>
      <c r="AF843" s="51"/>
      <c r="AG843" s="51"/>
    </row>
    <row r="844" spans="1:33" ht="15.75" customHeight="1">
      <c r="A844" s="51"/>
      <c r="B844" s="51"/>
      <c r="C844" s="51"/>
      <c r="D844" s="51"/>
      <c r="E844" s="51"/>
      <c r="F844" s="51"/>
      <c r="G844" s="51"/>
      <c r="H844" s="51"/>
      <c r="I844" s="51"/>
      <c r="J844" s="55"/>
      <c r="K844" s="55"/>
      <c r="L844" s="55"/>
      <c r="M844" s="55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82"/>
      <c r="Z844" s="51"/>
      <c r="AA844" s="51"/>
      <c r="AB844" s="51"/>
      <c r="AC844" s="51"/>
      <c r="AD844" s="51"/>
      <c r="AE844" s="51"/>
      <c r="AF844" s="51"/>
      <c r="AG844" s="51"/>
    </row>
    <row r="845" spans="1:33" ht="15.75" customHeight="1">
      <c r="A845" s="51"/>
      <c r="B845" s="51"/>
      <c r="C845" s="51"/>
      <c r="D845" s="51"/>
      <c r="E845" s="51"/>
      <c r="F845" s="51"/>
      <c r="G845" s="51"/>
      <c r="H845" s="51"/>
      <c r="I845" s="51"/>
      <c r="J845" s="55"/>
      <c r="K845" s="55"/>
      <c r="L845" s="55"/>
      <c r="M845" s="55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82"/>
      <c r="Z845" s="51"/>
      <c r="AA845" s="51"/>
      <c r="AB845" s="51"/>
      <c r="AC845" s="51"/>
      <c r="AD845" s="51"/>
      <c r="AE845" s="51"/>
      <c r="AF845" s="51"/>
      <c r="AG845" s="51"/>
    </row>
    <row r="846" spans="1:33" ht="15.75" customHeight="1">
      <c r="A846" s="51"/>
      <c r="B846" s="51"/>
      <c r="C846" s="51"/>
      <c r="D846" s="51"/>
      <c r="E846" s="51"/>
      <c r="F846" s="51"/>
      <c r="G846" s="51"/>
      <c r="H846" s="51"/>
      <c r="I846" s="51"/>
      <c r="J846" s="55"/>
      <c r="K846" s="55"/>
      <c r="L846" s="55"/>
      <c r="M846" s="55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82"/>
      <c r="Z846" s="51"/>
      <c r="AA846" s="51"/>
      <c r="AB846" s="51"/>
      <c r="AC846" s="51"/>
      <c r="AD846" s="51"/>
      <c r="AE846" s="51"/>
      <c r="AF846" s="51"/>
      <c r="AG846" s="51"/>
    </row>
    <row r="847" spans="1:33" ht="15.75" customHeight="1">
      <c r="A847" s="51"/>
      <c r="B847" s="51"/>
      <c r="C847" s="51"/>
      <c r="D847" s="51"/>
      <c r="E847" s="51"/>
      <c r="F847" s="51"/>
      <c r="G847" s="51"/>
      <c r="H847" s="51"/>
      <c r="I847" s="51"/>
      <c r="J847" s="55"/>
      <c r="K847" s="55"/>
      <c r="L847" s="55"/>
      <c r="M847" s="55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82"/>
      <c r="Z847" s="51"/>
      <c r="AA847" s="51"/>
      <c r="AB847" s="51"/>
      <c r="AC847" s="51"/>
      <c r="AD847" s="51"/>
      <c r="AE847" s="51"/>
      <c r="AF847" s="51"/>
      <c r="AG847" s="51"/>
    </row>
    <row r="848" spans="1:33" ht="15.75" customHeight="1">
      <c r="A848" s="51"/>
      <c r="B848" s="51"/>
      <c r="C848" s="51"/>
      <c r="D848" s="51"/>
      <c r="E848" s="51"/>
      <c r="F848" s="51"/>
      <c r="G848" s="51"/>
      <c r="H848" s="51"/>
      <c r="I848" s="51"/>
      <c r="J848" s="55"/>
      <c r="K848" s="55"/>
      <c r="L848" s="55"/>
      <c r="M848" s="55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82"/>
      <c r="Z848" s="51"/>
      <c r="AA848" s="51"/>
      <c r="AB848" s="51"/>
      <c r="AC848" s="51"/>
      <c r="AD848" s="51"/>
      <c r="AE848" s="51"/>
      <c r="AF848" s="51"/>
      <c r="AG848" s="51"/>
    </row>
    <row r="849" spans="1:33" ht="15.75" customHeight="1">
      <c r="A849" s="51"/>
      <c r="B849" s="51"/>
      <c r="C849" s="51"/>
      <c r="D849" s="51"/>
      <c r="E849" s="51"/>
      <c r="F849" s="51"/>
      <c r="G849" s="51"/>
      <c r="H849" s="51"/>
      <c r="I849" s="51"/>
      <c r="J849" s="55"/>
      <c r="K849" s="55"/>
      <c r="L849" s="55"/>
      <c r="M849" s="55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82"/>
      <c r="Z849" s="51"/>
      <c r="AA849" s="51"/>
      <c r="AB849" s="51"/>
      <c r="AC849" s="51"/>
      <c r="AD849" s="51"/>
      <c r="AE849" s="51"/>
      <c r="AF849" s="51"/>
      <c r="AG849" s="51"/>
    </row>
    <row r="850" spans="1:33" ht="15.75" customHeight="1">
      <c r="A850" s="51"/>
      <c r="B850" s="51"/>
      <c r="C850" s="51"/>
      <c r="D850" s="51"/>
      <c r="E850" s="51"/>
      <c r="F850" s="51"/>
      <c r="G850" s="51"/>
      <c r="H850" s="51"/>
      <c r="I850" s="51"/>
      <c r="J850" s="55"/>
      <c r="K850" s="55"/>
      <c r="L850" s="55"/>
      <c r="M850" s="55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82"/>
      <c r="Z850" s="51"/>
      <c r="AA850" s="51"/>
      <c r="AB850" s="51"/>
      <c r="AC850" s="51"/>
      <c r="AD850" s="51"/>
      <c r="AE850" s="51"/>
      <c r="AF850" s="51"/>
      <c r="AG850" s="51"/>
    </row>
    <row r="851" spans="1:33" ht="15.75" customHeight="1">
      <c r="A851" s="51"/>
      <c r="B851" s="51"/>
      <c r="C851" s="51"/>
      <c r="D851" s="51"/>
      <c r="E851" s="51"/>
      <c r="F851" s="51"/>
      <c r="G851" s="51"/>
      <c r="H851" s="51"/>
      <c r="I851" s="51"/>
      <c r="J851" s="55"/>
      <c r="K851" s="55"/>
      <c r="L851" s="55"/>
      <c r="M851" s="55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82"/>
      <c r="Z851" s="51"/>
      <c r="AA851" s="51"/>
      <c r="AB851" s="51"/>
      <c r="AC851" s="51"/>
      <c r="AD851" s="51"/>
      <c r="AE851" s="51"/>
      <c r="AF851" s="51"/>
      <c r="AG851" s="51"/>
    </row>
    <row r="852" spans="1:33" ht="15.75" customHeight="1">
      <c r="A852" s="51"/>
      <c r="B852" s="51"/>
      <c r="C852" s="51"/>
      <c r="D852" s="51"/>
      <c r="E852" s="51"/>
      <c r="F852" s="51"/>
      <c r="G852" s="51"/>
      <c r="H852" s="51"/>
      <c r="I852" s="51"/>
      <c r="J852" s="55"/>
      <c r="K852" s="55"/>
      <c r="L852" s="55"/>
      <c r="M852" s="55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82"/>
      <c r="Z852" s="51"/>
      <c r="AA852" s="51"/>
      <c r="AB852" s="51"/>
      <c r="AC852" s="51"/>
      <c r="AD852" s="51"/>
      <c r="AE852" s="51"/>
      <c r="AF852" s="51"/>
      <c r="AG852" s="51"/>
    </row>
    <row r="853" spans="1:33" ht="15.75" customHeight="1">
      <c r="A853" s="51"/>
      <c r="B853" s="51"/>
      <c r="C853" s="51"/>
      <c r="D853" s="51"/>
      <c r="E853" s="51"/>
      <c r="F853" s="51"/>
      <c r="G853" s="51"/>
      <c r="H853" s="51"/>
      <c r="I853" s="51"/>
      <c r="J853" s="55"/>
      <c r="K853" s="55"/>
      <c r="L853" s="55"/>
      <c r="M853" s="55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82"/>
      <c r="Z853" s="51"/>
      <c r="AA853" s="51"/>
      <c r="AB853" s="51"/>
      <c r="AC853" s="51"/>
      <c r="AD853" s="51"/>
      <c r="AE853" s="51"/>
      <c r="AF853" s="51"/>
      <c r="AG853" s="51"/>
    </row>
    <row r="854" spans="1:33" ht="15.75" customHeight="1">
      <c r="A854" s="51"/>
      <c r="B854" s="51"/>
      <c r="C854" s="51"/>
      <c r="D854" s="51"/>
      <c r="E854" s="51"/>
      <c r="F854" s="51"/>
      <c r="G854" s="51"/>
      <c r="H854" s="51"/>
      <c r="I854" s="51"/>
      <c r="J854" s="55"/>
      <c r="K854" s="55"/>
      <c r="L854" s="55"/>
      <c r="M854" s="55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82"/>
      <c r="Z854" s="51"/>
      <c r="AA854" s="51"/>
      <c r="AB854" s="51"/>
      <c r="AC854" s="51"/>
      <c r="AD854" s="51"/>
      <c r="AE854" s="51"/>
      <c r="AF854" s="51"/>
      <c r="AG854" s="51"/>
    </row>
    <row r="855" spans="1:33" ht="15.75" customHeight="1">
      <c r="A855" s="51"/>
      <c r="B855" s="51"/>
      <c r="C855" s="51"/>
      <c r="D855" s="51"/>
      <c r="E855" s="51"/>
      <c r="F855" s="51"/>
      <c r="G855" s="51"/>
      <c r="H855" s="51"/>
      <c r="I855" s="51"/>
      <c r="J855" s="55"/>
      <c r="K855" s="55"/>
      <c r="L855" s="55"/>
      <c r="M855" s="55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82"/>
      <c r="Z855" s="51"/>
      <c r="AA855" s="51"/>
      <c r="AB855" s="51"/>
      <c r="AC855" s="51"/>
      <c r="AD855" s="51"/>
      <c r="AE855" s="51"/>
      <c r="AF855" s="51"/>
      <c r="AG855" s="51"/>
    </row>
    <row r="856" spans="1:33" ht="15.75" customHeight="1">
      <c r="A856" s="51"/>
      <c r="B856" s="51"/>
      <c r="C856" s="51"/>
      <c r="D856" s="51"/>
      <c r="E856" s="51"/>
      <c r="F856" s="51"/>
      <c r="G856" s="51"/>
      <c r="H856" s="51"/>
      <c r="I856" s="51"/>
      <c r="J856" s="55"/>
      <c r="K856" s="55"/>
      <c r="L856" s="55"/>
      <c r="M856" s="55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82"/>
      <c r="Z856" s="51"/>
      <c r="AA856" s="51"/>
      <c r="AB856" s="51"/>
      <c r="AC856" s="51"/>
      <c r="AD856" s="51"/>
      <c r="AE856" s="51"/>
      <c r="AF856" s="51"/>
      <c r="AG856" s="51"/>
    </row>
    <row r="857" spans="1:33" ht="15.75" customHeight="1">
      <c r="A857" s="51"/>
      <c r="B857" s="51"/>
      <c r="C857" s="51"/>
      <c r="D857" s="51"/>
      <c r="E857" s="51"/>
      <c r="F857" s="51"/>
      <c r="G857" s="51"/>
      <c r="H857" s="51"/>
      <c r="I857" s="51"/>
      <c r="J857" s="55"/>
      <c r="K857" s="55"/>
      <c r="L857" s="55"/>
      <c r="M857" s="55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82"/>
      <c r="Z857" s="51"/>
      <c r="AA857" s="51"/>
      <c r="AB857" s="51"/>
      <c r="AC857" s="51"/>
      <c r="AD857" s="51"/>
      <c r="AE857" s="51"/>
      <c r="AF857" s="51"/>
      <c r="AG857" s="51"/>
    </row>
    <row r="858" spans="1:33" ht="15.75" customHeight="1">
      <c r="A858" s="51"/>
      <c r="B858" s="51"/>
      <c r="C858" s="51"/>
      <c r="D858" s="51"/>
      <c r="E858" s="51"/>
      <c r="F858" s="51"/>
      <c r="G858" s="51"/>
      <c r="H858" s="51"/>
      <c r="I858" s="51"/>
      <c r="J858" s="55"/>
      <c r="K858" s="55"/>
      <c r="L858" s="55"/>
      <c r="M858" s="55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82"/>
      <c r="Z858" s="51"/>
      <c r="AA858" s="51"/>
      <c r="AB858" s="51"/>
      <c r="AC858" s="51"/>
      <c r="AD858" s="51"/>
      <c r="AE858" s="51"/>
      <c r="AF858" s="51"/>
      <c r="AG858" s="51"/>
    </row>
    <row r="859" spans="1:33" ht="15.75" customHeight="1">
      <c r="A859" s="51"/>
      <c r="B859" s="51"/>
      <c r="C859" s="51"/>
      <c r="D859" s="51"/>
      <c r="E859" s="51"/>
      <c r="F859" s="51"/>
      <c r="G859" s="51"/>
      <c r="H859" s="51"/>
      <c r="I859" s="51"/>
      <c r="J859" s="55"/>
      <c r="K859" s="55"/>
      <c r="L859" s="55"/>
      <c r="M859" s="55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82"/>
      <c r="Z859" s="51"/>
      <c r="AA859" s="51"/>
      <c r="AB859" s="51"/>
      <c r="AC859" s="51"/>
      <c r="AD859" s="51"/>
      <c r="AE859" s="51"/>
      <c r="AF859" s="51"/>
      <c r="AG859" s="51"/>
    </row>
    <row r="860" spans="1:33" ht="15.75" customHeight="1">
      <c r="A860" s="51"/>
      <c r="B860" s="51"/>
      <c r="C860" s="51"/>
      <c r="D860" s="51"/>
      <c r="E860" s="51"/>
      <c r="F860" s="51"/>
      <c r="G860" s="51"/>
      <c r="H860" s="51"/>
      <c r="I860" s="51"/>
      <c r="J860" s="55"/>
      <c r="K860" s="55"/>
      <c r="L860" s="55"/>
      <c r="M860" s="55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82"/>
      <c r="Z860" s="51"/>
      <c r="AA860" s="51"/>
      <c r="AB860" s="51"/>
      <c r="AC860" s="51"/>
      <c r="AD860" s="51"/>
      <c r="AE860" s="51"/>
      <c r="AF860" s="51"/>
      <c r="AG860" s="51"/>
    </row>
    <row r="861" spans="1:33" ht="15.75" customHeight="1">
      <c r="A861" s="51"/>
      <c r="B861" s="51"/>
      <c r="C861" s="51"/>
      <c r="D861" s="51"/>
      <c r="E861" s="51"/>
      <c r="F861" s="51"/>
      <c r="G861" s="51"/>
      <c r="H861" s="51"/>
      <c r="I861" s="51"/>
      <c r="J861" s="55"/>
      <c r="K861" s="55"/>
      <c r="L861" s="55"/>
      <c r="M861" s="55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82"/>
      <c r="Z861" s="51"/>
      <c r="AA861" s="51"/>
      <c r="AB861" s="51"/>
      <c r="AC861" s="51"/>
      <c r="AD861" s="51"/>
      <c r="AE861" s="51"/>
      <c r="AF861" s="51"/>
      <c r="AG861" s="51"/>
    </row>
    <row r="862" spans="1:33" ht="15.75" customHeight="1">
      <c r="A862" s="51"/>
      <c r="B862" s="51"/>
      <c r="C862" s="51"/>
      <c r="D862" s="51"/>
      <c r="E862" s="51"/>
      <c r="F862" s="51"/>
      <c r="G862" s="51"/>
      <c r="H862" s="51"/>
      <c r="I862" s="51"/>
      <c r="J862" s="55"/>
      <c r="K862" s="55"/>
      <c r="L862" s="55"/>
      <c r="M862" s="55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82"/>
      <c r="Z862" s="51"/>
      <c r="AA862" s="51"/>
      <c r="AB862" s="51"/>
      <c r="AC862" s="51"/>
      <c r="AD862" s="51"/>
      <c r="AE862" s="51"/>
      <c r="AF862" s="51"/>
      <c r="AG862" s="51"/>
    </row>
    <row r="863" spans="1:33" ht="15.75" customHeight="1">
      <c r="A863" s="51"/>
      <c r="B863" s="51"/>
      <c r="C863" s="51"/>
      <c r="D863" s="51"/>
      <c r="E863" s="51"/>
      <c r="F863" s="51"/>
      <c r="G863" s="51"/>
      <c r="H863" s="51"/>
      <c r="I863" s="51"/>
      <c r="J863" s="55"/>
      <c r="K863" s="55"/>
      <c r="L863" s="55"/>
      <c r="M863" s="55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82"/>
      <c r="Z863" s="51"/>
      <c r="AA863" s="51"/>
      <c r="AB863" s="51"/>
      <c r="AC863" s="51"/>
      <c r="AD863" s="51"/>
      <c r="AE863" s="51"/>
      <c r="AF863" s="51"/>
      <c r="AG863" s="51"/>
    </row>
    <row r="864" spans="1:33" ht="15.75" customHeight="1">
      <c r="A864" s="51"/>
      <c r="B864" s="51"/>
      <c r="C864" s="51"/>
      <c r="D864" s="51"/>
      <c r="E864" s="51"/>
      <c r="F864" s="51"/>
      <c r="G864" s="51"/>
      <c r="H864" s="51"/>
      <c r="I864" s="51"/>
      <c r="J864" s="55"/>
      <c r="K864" s="55"/>
      <c r="L864" s="55"/>
      <c r="M864" s="55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82"/>
      <c r="Z864" s="51"/>
      <c r="AA864" s="51"/>
      <c r="AB864" s="51"/>
      <c r="AC864" s="51"/>
      <c r="AD864" s="51"/>
      <c r="AE864" s="51"/>
      <c r="AF864" s="51"/>
      <c r="AG864" s="51"/>
    </row>
    <row r="865" spans="1:33" ht="15.75" customHeight="1">
      <c r="A865" s="51"/>
      <c r="B865" s="51"/>
      <c r="C865" s="51"/>
      <c r="D865" s="51"/>
      <c r="E865" s="51"/>
      <c r="F865" s="51"/>
      <c r="G865" s="51"/>
      <c r="H865" s="51"/>
      <c r="I865" s="51"/>
      <c r="J865" s="55"/>
      <c r="K865" s="55"/>
      <c r="L865" s="55"/>
      <c r="M865" s="55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82"/>
      <c r="Z865" s="51"/>
      <c r="AA865" s="51"/>
      <c r="AB865" s="51"/>
      <c r="AC865" s="51"/>
      <c r="AD865" s="51"/>
      <c r="AE865" s="51"/>
      <c r="AF865" s="51"/>
      <c r="AG865" s="51"/>
    </row>
    <row r="866" spans="1:33" ht="15.75" customHeight="1">
      <c r="A866" s="51"/>
      <c r="B866" s="51"/>
      <c r="C866" s="51"/>
      <c r="D866" s="51"/>
      <c r="E866" s="51"/>
      <c r="F866" s="51"/>
      <c r="G866" s="51"/>
      <c r="H866" s="51"/>
      <c r="I866" s="51"/>
      <c r="J866" s="55"/>
      <c r="K866" s="55"/>
      <c r="L866" s="55"/>
      <c r="M866" s="55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82"/>
      <c r="Z866" s="51"/>
      <c r="AA866" s="51"/>
      <c r="AB866" s="51"/>
      <c r="AC866" s="51"/>
      <c r="AD866" s="51"/>
      <c r="AE866" s="51"/>
      <c r="AF866" s="51"/>
      <c r="AG866" s="51"/>
    </row>
    <row r="867" spans="1:33" ht="15.75" customHeight="1">
      <c r="A867" s="51"/>
      <c r="B867" s="51"/>
      <c r="C867" s="51"/>
      <c r="D867" s="51"/>
      <c r="E867" s="51"/>
      <c r="F867" s="51"/>
      <c r="G867" s="51"/>
      <c r="H867" s="51"/>
      <c r="I867" s="51"/>
      <c r="J867" s="55"/>
      <c r="K867" s="55"/>
      <c r="L867" s="55"/>
      <c r="M867" s="55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82"/>
      <c r="Z867" s="51"/>
      <c r="AA867" s="51"/>
      <c r="AB867" s="51"/>
      <c r="AC867" s="51"/>
      <c r="AD867" s="51"/>
      <c r="AE867" s="51"/>
      <c r="AF867" s="51"/>
      <c r="AG867" s="51"/>
    </row>
    <row r="868" spans="1:33" ht="15.75" customHeight="1">
      <c r="A868" s="51"/>
      <c r="B868" s="51"/>
      <c r="C868" s="51"/>
      <c r="D868" s="51"/>
      <c r="E868" s="51"/>
      <c r="F868" s="51"/>
      <c r="G868" s="51"/>
      <c r="H868" s="51"/>
      <c r="I868" s="51"/>
      <c r="J868" s="55"/>
      <c r="K868" s="55"/>
      <c r="L868" s="55"/>
      <c r="M868" s="55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82"/>
      <c r="Z868" s="51"/>
      <c r="AA868" s="51"/>
      <c r="AB868" s="51"/>
      <c r="AC868" s="51"/>
      <c r="AD868" s="51"/>
      <c r="AE868" s="51"/>
      <c r="AF868" s="51"/>
      <c r="AG868" s="51"/>
    </row>
    <row r="869" spans="1:33" ht="15.75" customHeight="1">
      <c r="A869" s="51"/>
      <c r="B869" s="51"/>
      <c r="C869" s="51"/>
      <c r="D869" s="51"/>
      <c r="E869" s="51"/>
      <c r="F869" s="51"/>
      <c r="G869" s="51"/>
      <c r="H869" s="51"/>
      <c r="I869" s="51"/>
      <c r="J869" s="55"/>
      <c r="K869" s="55"/>
      <c r="L869" s="55"/>
      <c r="M869" s="55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82"/>
      <c r="Z869" s="51"/>
      <c r="AA869" s="51"/>
      <c r="AB869" s="51"/>
      <c r="AC869" s="51"/>
      <c r="AD869" s="51"/>
      <c r="AE869" s="51"/>
      <c r="AF869" s="51"/>
      <c r="AG869" s="51"/>
    </row>
    <row r="870" spans="1:33" ht="15.75" customHeight="1">
      <c r="A870" s="51"/>
      <c r="B870" s="51"/>
      <c r="C870" s="51"/>
      <c r="D870" s="51"/>
      <c r="E870" s="51"/>
      <c r="F870" s="51"/>
      <c r="G870" s="51"/>
      <c r="H870" s="51"/>
      <c r="I870" s="51"/>
      <c r="J870" s="55"/>
      <c r="K870" s="55"/>
      <c r="L870" s="55"/>
      <c r="M870" s="55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82"/>
      <c r="Z870" s="51"/>
      <c r="AA870" s="51"/>
      <c r="AB870" s="51"/>
      <c r="AC870" s="51"/>
      <c r="AD870" s="51"/>
      <c r="AE870" s="51"/>
      <c r="AF870" s="51"/>
      <c r="AG870" s="51"/>
    </row>
    <row r="871" spans="1:33" ht="15.75" customHeight="1">
      <c r="A871" s="51"/>
      <c r="B871" s="51"/>
      <c r="C871" s="51"/>
      <c r="D871" s="51"/>
      <c r="E871" s="51"/>
      <c r="F871" s="51"/>
      <c r="G871" s="51"/>
      <c r="H871" s="51"/>
      <c r="I871" s="51"/>
      <c r="J871" s="55"/>
      <c r="K871" s="55"/>
      <c r="L871" s="55"/>
      <c r="M871" s="55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82"/>
      <c r="Z871" s="51"/>
      <c r="AA871" s="51"/>
      <c r="AB871" s="51"/>
      <c r="AC871" s="51"/>
      <c r="AD871" s="51"/>
      <c r="AE871" s="51"/>
      <c r="AF871" s="51"/>
      <c r="AG871" s="51"/>
    </row>
    <row r="872" spans="1:33" ht="15.75" customHeight="1">
      <c r="A872" s="51"/>
      <c r="B872" s="51"/>
      <c r="C872" s="51"/>
      <c r="D872" s="51"/>
      <c r="E872" s="51"/>
      <c r="F872" s="51"/>
      <c r="G872" s="51"/>
      <c r="H872" s="51"/>
      <c r="I872" s="51"/>
      <c r="J872" s="55"/>
      <c r="K872" s="55"/>
      <c r="L872" s="55"/>
      <c r="M872" s="55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82"/>
      <c r="Z872" s="51"/>
      <c r="AA872" s="51"/>
      <c r="AB872" s="51"/>
      <c r="AC872" s="51"/>
      <c r="AD872" s="51"/>
      <c r="AE872" s="51"/>
      <c r="AF872" s="51"/>
      <c r="AG872" s="51"/>
    </row>
    <row r="873" spans="1:33" ht="15.75" customHeight="1">
      <c r="A873" s="51"/>
      <c r="B873" s="51"/>
      <c r="C873" s="51"/>
      <c r="D873" s="51"/>
      <c r="E873" s="51"/>
      <c r="F873" s="51"/>
      <c r="G873" s="51"/>
      <c r="H873" s="51"/>
      <c r="I873" s="51"/>
      <c r="J873" s="55"/>
      <c r="K873" s="55"/>
      <c r="L873" s="55"/>
      <c r="M873" s="55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82"/>
      <c r="Z873" s="51"/>
      <c r="AA873" s="51"/>
      <c r="AB873" s="51"/>
      <c r="AC873" s="51"/>
      <c r="AD873" s="51"/>
      <c r="AE873" s="51"/>
      <c r="AF873" s="51"/>
      <c r="AG873" s="51"/>
    </row>
    <row r="874" spans="1:33" ht="15.75" customHeight="1">
      <c r="A874" s="51"/>
      <c r="B874" s="51"/>
      <c r="C874" s="51"/>
      <c r="D874" s="51"/>
      <c r="E874" s="51"/>
      <c r="F874" s="51"/>
      <c r="G874" s="51"/>
      <c r="H874" s="51"/>
      <c r="I874" s="51"/>
      <c r="J874" s="55"/>
      <c r="K874" s="55"/>
      <c r="L874" s="55"/>
      <c r="M874" s="55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82"/>
      <c r="Z874" s="51"/>
      <c r="AA874" s="51"/>
      <c r="AB874" s="51"/>
      <c r="AC874" s="51"/>
      <c r="AD874" s="51"/>
      <c r="AE874" s="51"/>
      <c r="AF874" s="51"/>
      <c r="AG874" s="51"/>
    </row>
    <row r="875" spans="1:33" ht="15.75" customHeight="1">
      <c r="A875" s="51"/>
      <c r="B875" s="51"/>
      <c r="C875" s="51"/>
      <c r="D875" s="51"/>
      <c r="E875" s="51"/>
      <c r="F875" s="51"/>
      <c r="G875" s="51"/>
      <c r="H875" s="51"/>
      <c r="I875" s="51"/>
      <c r="J875" s="55"/>
      <c r="K875" s="55"/>
      <c r="L875" s="55"/>
      <c r="M875" s="55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82"/>
      <c r="Z875" s="51"/>
      <c r="AA875" s="51"/>
      <c r="AB875" s="51"/>
      <c r="AC875" s="51"/>
      <c r="AD875" s="51"/>
      <c r="AE875" s="51"/>
      <c r="AF875" s="51"/>
      <c r="AG875" s="51"/>
    </row>
    <row r="876" spans="1:33" ht="15.75" customHeight="1">
      <c r="A876" s="51"/>
      <c r="B876" s="51"/>
      <c r="C876" s="51"/>
      <c r="D876" s="51"/>
      <c r="E876" s="51"/>
      <c r="F876" s="51"/>
      <c r="G876" s="51"/>
      <c r="H876" s="51"/>
      <c r="I876" s="51"/>
      <c r="J876" s="55"/>
      <c r="K876" s="55"/>
      <c r="L876" s="55"/>
      <c r="M876" s="55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82"/>
      <c r="Z876" s="51"/>
      <c r="AA876" s="51"/>
      <c r="AB876" s="51"/>
      <c r="AC876" s="51"/>
      <c r="AD876" s="51"/>
      <c r="AE876" s="51"/>
      <c r="AF876" s="51"/>
      <c r="AG876" s="51"/>
    </row>
    <row r="877" spans="1:33" ht="15.75" customHeight="1">
      <c r="A877" s="51"/>
      <c r="B877" s="51"/>
      <c r="C877" s="51"/>
      <c r="D877" s="51"/>
      <c r="E877" s="51"/>
      <c r="F877" s="51"/>
      <c r="G877" s="51"/>
      <c r="H877" s="51"/>
      <c r="I877" s="51"/>
      <c r="J877" s="55"/>
      <c r="K877" s="55"/>
      <c r="L877" s="55"/>
      <c r="M877" s="55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82"/>
      <c r="Z877" s="51"/>
      <c r="AA877" s="51"/>
      <c r="AB877" s="51"/>
      <c r="AC877" s="51"/>
      <c r="AD877" s="51"/>
      <c r="AE877" s="51"/>
      <c r="AF877" s="51"/>
      <c r="AG877" s="51"/>
    </row>
    <row r="878" spans="1:33" ht="15.75" customHeight="1">
      <c r="A878" s="51"/>
      <c r="B878" s="51"/>
      <c r="C878" s="51"/>
      <c r="D878" s="51"/>
      <c r="E878" s="51"/>
      <c r="F878" s="51"/>
      <c r="G878" s="51"/>
      <c r="H878" s="51"/>
      <c r="I878" s="51"/>
      <c r="J878" s="55"/>
      <c r="K878" s="55"/>
      <c r="L878" s="55"/>
      <c r="M878" s="55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82"/>
      <c r="Z878" s="51"/>
      <c r="AA878" s="51"/>
      <c r="AB878" s="51"/>
      <c r="AC878" s="51"/>
      <c r="AD878" s="51"/>
      <c r="AE878" s="51"/>
      <c r="AF878" s="51"/>
      <c r="AG878" s="51"/>
    </row>
    <row r="879" spans="1:33" ht="15.75" customHeight="1">
      <c r="A879" s="51"/>
      <c r="B879" s="51"/>
      <c r="C879" s="51"/>
      <c r="D879" s="51"/>
      <c r="E879" s="51"/>
      <c r="F879" s="51"/>
      <c r="G879" s="51"/>
      <c r="H879" s="51"/>
      <c r="I879" s="51"/>
      <c r="J879" s="55"/>
      <c r="K879" s="55"/>
      <c r="L879" s="55"/>
      <c r="M879" s="55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82"/>
      <c r="Z879" s="51"/>
      <c r="AA879" s="51"/>
      <c r="AB879" s="51"/>
      <c r="AC879" s="51"/>
      <c r="AD879" s="51"/>
      <c r="AE879" s="51"/>
      <c r="AF879" s="51"/>
      <c r="AG879" s="51"/>
    </row>
    <row r="880" spans="1:33" ht="15.75" customHeight="1">
      <c r="A880" s="51"/>
      <c r="B880" s="51"/>
      <c r="C880" s="51"/>
      <c r="D880" s="51"/>
      <c r="E880" s="51"/>
      <c r="F880" s="51"/>
      <c r="G880" s="51"/>
      <c r="H880" s="51"/>
      <c r="I880" s="51"/>
      <c r="J880" s="55"/>
      <c r="K880" s="55"/>
      <c r="L880" s="55"/>
      <c r="M880" s="55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82"/>
      <c r="Z880" s="51"/>
      <c r="AA880" s="51"/>
      <c r="AB880" s="51"/>
      <c r="AC880" s="51"/>
      <c r="AD880" s="51"/>
      <c r="AE880" s="51"/>
      <c r="AF880" s="51"/>
      <c r="AG880" s="51"/>
    </row>
    <row r="881" spans="1:33" ht="15.75" customHeight="1">
      <c r="A881" s="51"/>
      <c r="B881" s="51"/>
      <c r="C881" s="51"/>
      <c r="D881" s="51"/>
      <c r="E881" s="51"/>
      <c r="F881" s="51"/>
      <c r="G881" s="51"/>
      <c r="H881" s="51"/>
      <c r="I881" s="51"/>
      <c r="J881" s="55"/>
      <c r="K881" s="55"/>
      <c r="L881" s="55"/>
      <c r="M881" s="55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82"/>
      <c r="Z881" s="51"/>
      <c r="AA881" s="51"/>
      <c r="AB881" s="51"/>
      <c r="AC881" s="51"/>
      <c r="AD881" s="51"/>
      <c r="AE881" s="51"/>
      <c r="AF881" s="51"/>
      <c r="AG881" s="51"/>
    </row>
    <row r="882" spans="1:33" ht="15.75" customHeight="1">
      <c r="A882" s="51"/>
      <c r="B882" s="51"/>
      <c r="C882" s="51"/>
      <c r="D882" s="51"/>
      <c r="E882" s="51"/>
      <c r="F882" s="51"/>
      <c r="G882" s="51"/>
      <c r="H882" s="51"/>
      <c r="I882" s="51"/>
      <c r="J882" s="55"/>
      <c r="K882" s="55"/>
      <c r="L882" s="55"/>
      <c r="M882" s="55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82"/>
      <c r="Z882" s="51"/>
      <c r="AA882" s="51"/>
      <c r="AB882" s="51"/>
      <c r="AC882" s="51"/>
      <c r="AD882" s="51"/>
      <c r="AE882" s="51"/>
      <c r="AF882" s="51"/>
      <c r="AG882" s="51"/>
    </row>
    <row r="883" spans="1:33" ht="15.75" customHeight="1">
      <c r="A883" s="51"/>
      <c r="B883" s="51"/>
      <c r="C883" s="51"/>
      <c r="D883" s="51"/>
      <c r="E883" s="51"/>
      <c r="F883" s="51"/>
      <c r="G883" s="51"/>
      <c r="H883" s="51"/>
      <c r="I883" s="51"/>
      <c r="J883" s="55"/>
      <c r="K883" s="55"/>
      <c r="L883" s="55"/>
      <c r="M883" s="55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82"/>
      <c r="Z883" s="51"/>
      <c r="AA883" s="51"/>
      <c r="AB883" s="51"/>
      <c r="AC883" s="51"/>
      <c r="AD883" s="51"/>
      <c r="AE883" s="51"/>
      <c r="AF883" s="51"/>
      <c r="AG883" s="51"/>
    </row>
    <row r="884" spans="1:33" ht="15.75" customHeight="1">
      <c r="A884" s="51"/>
      <c r="B884" s="51"/>
      <c r="C884" s="51"/>
      <c r="D884" s="51"/>
      <c r="E884" s="51"/>
      <c r="F884" s="51"/>
      <c r="G884" s="51"/>
      <c r="H884" s="51"/>
      <c r="I884" s="51"/>
      <c r="J884" s="55"/>
      <c r="K884" s="55"/>
      <c r="L884" s="55"/>
      <c r="M884" s="55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82"/>
      <c r="Z884" s="51"/>
      <c r="AA884" s="51"/>
      <c r="AB884" s="51"/>
      <c r="AC884" s="51"/>
      <c r="AD884" s="51"/>
      <c r="AE884" s="51"/>
      <c r="AF884" s="51"/>
      <c r="AG884" s="51"/>
    </row>
    <row r="885" spans="1:33" ht="15.75" customHeight="1">
      <c r="A885" s="51"/>
      <c r="B885" s="51"/>
      <c r="C885" s="51"/>
      <c r="D885" s="51"/>
      <c r="E885" s="51"/>
      <c r="F885" s="51"/>
      <c r="G885" s="51"/>
      <c r="H885" s="51"/>
      <c r="I885" s="51"/>
      <c r="J885" s="55"/>
      <c r="K885" s="55"/>
      <c r="L885" s="55"/>
      <c r="M885" s="55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82"/>
      <c r="Z885" s="51"/>
      <c r="AA885" s="51"/>
      <c r="AB885" s="51"/>
      <c r="AC885" s="51"/>
      <c r="AD885" s="51"/>
      <c r="AE885" s="51"/>
      <c r="AF885" s="51"/>
      <c r="AG885" s="51"/>
    </row>
    <row r="886" spans="1:33" ht="15.75" customHeight="1">
      <c r="A886" s="51"/>
      <c r="B886" s="51"/>
      <c r="C886" s="51"/>
      <c r="D886" s="51"/>
      <c r="E886" s="51"/>
      <c r="F886" s="51"/>
      <c r="G886" s="51"/>
      <c r="H886" s="51"/>
      <c r="I886" s="51"/>
      <c r="J886" s="55"/>
      <c r="K886" s="55"/>
      <c r="L886" s="55"/>
      <c r="M886" s="55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82"/>
      <c r="Z886" s="51"/>
      <c r="AA886" s="51"/>
      <c r="AB886" s="51"/>
      <c r="AC886" s="51"/>
      <c r="AD886" s="51"/>
      <c r="AE886" s="51"/>
      <c r="AF886" s="51"/>
      <c r="AG886" s="51"/>
    </row>
    <row r="887" spans="1:33" ht="15.75" customHeight="1">
      <c r="A887" s="51"/>
      <c r="B887" s="51"/>
      <c r="C887" s="51"/>
      <c r="D887" s="51"/>
      <c r="E887" s="51"/>
      <c r="F887" s="51"/>
      <c r="G887" s="51"/>
      <c r="H887" s="51"/>
      <c r="I887" s="51"/>
      <c r="J887" s="55"/>
      <c r="K887" s="55"/>
      <c r="L887" s="55"/>
      <c r="M887" s="55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82"/>
      <c r="Z887" s="51"/>
      <c r="AA887" s="51"/>
      <c r="AB887" s="51"/>
      <c r="AC887" s="51"/>
      <c r="AD887" s="51"/>
      <c r="AE887" s="51"/>
      <c r="AF887" s="51"/>
      <c r="AG887" s="51"/>
    </row>
    <row r="888" spans="1:33" ht="15.75" customHeight="1">
      <c r="A888" s="51"/>
      <c r="B888" s="51"/>
      <c r="C888" s="51"/>
      <c r="D888" s="51"/>
      <c r="E888" s="51"/>
      <c r="F888" s="51"/>
      <c r="G888" s="51"/>
      <c r="H888" s="51"/>
      <c r="I888" s="51"/>
      <c r="J888" s="55"/>
      <c r="K888" s="55"/>
      <c r="L888" s="55"/>
      <c r="M888" s="55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82"/>
      <c r="Z888" s="51"/>
      <c r="AA888" s="51"/>
      <c r="AB888" s="51"/>
      <c r="AC888" s="51"/>
      <c r="AD888" s="51"/>
      <c r="AE888" s="51"/>
      <c r="AF888" s="51"/>
      <c r="AG888" s="51"/>
    </row>
    <row r="889" spans="1:33" ht="15.75" customHeight="1">
      <c r="A889" s="51"/>
      <c r="B889" s="51"/>
      <c r="C889" s="51"/>
      <c r="D889" s="51"/>
      <c r="E889" s="51"/>
      <c r="F889" s="51"/>
      <c r="G889" s="51"/>
      <c r="H889" s="51"/>
      <c r="I889" s="51"/>
      <c r="J889" s="55"/>
      <c r="K889" s="55"/>
      <c r="L889" s="55"/>
      <c r="M889" s="55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82"/>
      <c r="Z889" s="51"/>
      <c r="AA889" s="51"/>
      <c r="AB889" s="51"/>
      <c r="AC889" s="51"/>
      <c r="AD889" s="51"/>
      <c r="AE889" s="51"/>
      <c r="AF889" s="51"/>
      <c r="AG889" s="51"/>
    </row>
    <row r="890" spans="1:33" ht="15.75" customHeight="1">
      <c r="A890" s="51"/>
      <c r="B890" s="51"/>
      <c r="C890" s="51"/>
      <c r="D890" s="51"/>
      <c r="E890" s="51"/>
      <c r="F890" s="51"/>
      <c r="G890" s="51"/>
      <c r="H890" s="51"/>
      <c r="I890" s="51"/>
      <c r="J890" s="55"/>
      <c r="K890" s="55"/>
      <c r="L890" s="55"/>
      <c r="M890" s="55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82"/>
      <c r="Z890" s="51"/>
      <c r="AA890" s="51"/>
      <c r="AB890" s="51"/>
      <c r="AC890" s="51"/>
      <c r="AD890" s="51"/>
      <c r="AE890" s="51"/>
      <c r="AF890" s="51"/>
      <c r="AG890" s="51"/>
    </row>
    <row r="891" spans="1:33" ht="15.75" customHeight="1">
      <c r="A891" s="51"/>
      <c r="B891" s="51"/>
      <c r="C891" s="51"/>
      <c r="D891" s="51"/>
      <c r="E891" s="51"/>
      <c r="F891" s="51"/>
      <c r="G891" s="51"/>
      <c r="H891" s="51"/>
      <c r="I891" s="51"/>
      <c r="J891" s="55"/>
      <c r="K891" s="55"/>
      <c r="L891" s="55"/>
      <c r="M891" s="55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82"/>
      <c r="Z891" s="51"/>
      <c r="AA891" s="51"/>
      <c r="AB891" s="51"/>
      <c r="AC891" s="51"/>
      <c r="AD891" s="51"/>
      <c r="AE891" s="51"/>
      <c r="AF891" s="51"/>
      <c r="AG891" s="51"/>
    </row>
    <row r="892" spans="1:33" ht="15.75" customHeight="1">
      <c r="A892" s="51"/>
      <c r="B892" s="51"/>
      <c r="C892" s="51"/>
      <c r="D892" s="51"/>
      <c r="E892" s="51"/>
      <c r="F892" s="51"/>
      <c r="G892" s="51"/>
      <c r="H892" s="51"/>
      <c r="I892" s="51"/>
      <c r="J892" s="55"/>
      <c r="K892" s="55"/>
      <c r="L892" s="55"/>
      <c r="M892" s="55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82"/>
      <c r="Z892" s="51"/>
      <c r="AA892" s="51"/>
      <c r="AB892" s="51"/>
      <c r="AC892" s="51"/>
      <c r="AD892" s="51"/>
      <c r="AE892" s="51"/>
      <c r="AF892" s="51"/>
      <c r="AG892" s="51"/>
    </row>
    <row r="893" spans="1:33" ht="15.75" customHeight="1">
      <c r="A893" s="51"/>
      <c r="B893" s="51"/>
      <c r="C893" s="51"/>
      <c r="D893" s="51"/>
      <c r="E893" s="51"/>
      <c r="F893" s="51"/>
      <c r="G893" s="51"/>
      <c r="H893" s="51"/>
      <c r="I893" s="51"/>
      <c r="J893" s="55"/>
      <c r="K893" s="55"/>
      <c r="L893" s="55"/>
      <c r="M893" s="55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82"/>
      <c r="Z893" s="51"/>
      <c r="AA893" s="51"/>
      <c r="AB893" s="51"/>
      <c r="AC893" s="51"/>
      <c r="AD893" s="51"/>
      <c r="AE893" s="51"/>
      <c r="AF893" s="51"/>
      <c r="AG893" s="51"/>
    </row>
    <row r="894" spans="1:33" ht="15.75" customHeight="1">
      <c r="A894" s="51"/>
      <c r="B894" s="51"/>
      <c r="C894" s="51"/>
      <c r="D894" s="51"/>
      <c r="E894" s="51"/>
      <c r="F894" s="51"/>
      <c r="G894" s="51"/>
      <c r="H894" s="51"/>
      <c r="I894" s="51"/>
      <c r="J894" s="55"/>
      <c r="K894" s="55"/>
      <c r="L894" s="55"/>
      <c r="M894" s="55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82"/>
      <c r="Z894" s="51"/>
      <c r="AA894" s="51"/>
      <c r="AB894" s="51"/>
      <c r="AC894" s="51"/>
      <c r="AD894" s="51"/>
      <c r="AE894" s="51"/>
      <c r="AF894" s="51"/>
      <c r="AG894" s="51"/>
    </row>
    <row r="895" spans="1:33" ht="15.75" customHeight="1">
      <c r="A895" s="51"/>
      <c r="B895" s="51"/>
      <c r="C895" s="51"/>
      <c r="D895" s="51"/>
      <c r="E895" s="51"/>
      <c r="F895" s="51"/>
      <c r="G895" s="51"/>
      <c r="H895" s="51"/>
      <c r="I895" s="51"/>
      <c r="J895" s="55"/>
      <c r="K895" s="55"/>
      <c r="L895" s="55"/>
      <c r="M895" s="55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82"/>
      <c r="Z895" s="51"/>
      <c r="AA895" s="51"/>
      <c r="AB895" s="51"/>
      <c r="AC895" s="51"/>
      <c r="AD895" s="51"/>
      <c r="AE895" s="51"/>
      <c r="AF895" s="51"/>
      <c r="AG895" s="51"/>
    </row>
    <row r="896" spans="1:33" ht="15.75" customHeight="1">
      <c r="A896" s="51"/>
      <c r="B896" s="51"/>
      <c r="C896" s="51"/>
      <c r="D896" s="51"/>
      <c r="E896" s="51"/>
      <c r="F896" s="51"/>
      <c r="G896" s="51"/>
      <c r="H896" s="51"/>
      <c r="I896" s="51"/>
      <c r="J896" s="55"/>
      <c r="K896" s="55"/>
      <c r="L896" s="55"/>
      <c r="M896" s="55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82"/>
      <c r="Z896" s="51"/>
      <c r="AA896" s="51"/>
      <c r="AB896" s="51"/>
      <c r="AC896" s="51"/>
      <c r="AD896" s="51"/>
      <c r="AE896" s="51"/>
      <c r="AF896" s="51"/>
      <c r="AG896" s="51"/>
    </row>
    <row r="897" spans="1:33" ht="15.75" customHeight="1">
      <c r="A897" s="51"/>
      <c r="B897" s="51"/>
      <c r="C897" s="51"/>
      <c r="D897" s="51"/>
      <c r="E897" s="51"/>
      <c r="F897" s="51"/>
      <c r="G897" s="51"/>
      <c r="H897" s="51"/>
      <c r="I897" s="51"/>
      <c r="J897" s="55"/>
      <c r="K897" s="55"/>
      <c r="L897" s="55"/>
      <c r="M897" s="55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82"/>
      <c r="Z897" s="51"/>
      <c r="AA897" s="51"/>
      <c r="AB897" s="51"/>
      <c r="AC897" s="51"/>
      <c r="AD897" s="51"/>
      <c r="AE897" s="51"/>
      <c r="AF897" s="51"/>
      <c r="AG897" s="51"/>
    </row>
    <row r="898" spans="1:33" ht="15.75" customHeight="1">
      <c r="A898" s="51"/>
      <c r="B898" s="51"/>
      <c r="C898" s="51"/>
      <c r="D898" s="51"/>
      <c r="E898" s="51"/>
      <c r="F898" s="51"/>
      <c r="G898" s="51"/>
      <c r="H898" s="51"/>
      <c r="I898" s="51"/>
      <c r="J898" s="55"/>
      <c r="K898" s="55"/>
      <c r="L898" s="55"/>
      <c r="M898" s="55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82"/>
      <c r="Z898" s="51"/>
      <c r="AA898" s="51"/>
      <c r="AB898" s="51"/>
      <c r="AC898" s="51"/>
      <c r="AD898" s="51"/>
      <c r="AE898" s="51"/>
      <c r="AF898" s="51"/>
      <c r="AG898" s="51"/>
    </row>
    <row r="899" spans="1:33" ht="15.75" customHeight="1">
      <c r="A899" s="51"/>
      <c r="B899" s="51"/>
      <c r="C899" s="51"/>
      <c r="D899" s="51"/>
      <c r="E899" s="51"/>
      <c r="F899" s="51"/>
      <c r="G899" s="51"/>
      <c r="H899" s="51"/>
      <c r="I899" s="51"/>
      <c r="J899" s="55"/>
      <c r="K899" s="55"/>
      <c r="L899" s="55"/>
      <c r="M899" s="55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82"/>
      <c r="Z899" s="51"/>
      <c r="AA899" s="51"/>
      <c r="AB899" s="51"/>
      <c r="AC899" s="51"/>
      <c r="AD899" s="51"/>
      <c r="AE899" s="51"/>
      <c r="AF899" s="51"/>
      <c r="AG899" s="51"/>
    </row>
    <row r="900" spans="1:33" ht="15.75" customHeight="1">
      <c r="A900" s="51"/>
      <c r="B900" s="51"/>
      <c r="C900" s="51"/>
      <c r="D900" s="51"/>
      <c r="E900" s="51"/>
      <c r="F900" s="51"/>
      <c r="G900" s="51"/>
      <c r="H900" s="51"/>
      <c r="I900" s="51"/>
      <c r="J900" s="55"/>
      <c r="K900" s="55"/>
      <c r="L900" s="55"/>
      <c r="M900" s="55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82"/>
      <c r="Z900" s="51"/>
      <c r="AA900" s="51"/>
      <c r="AB900" s="51"/>
      <c r="AC900" s="51"/>
      <c r="AD900" s="51"/>
      <c r="AE900" s="51"/>
      <c r="AF900" s="51"/>
      <c r="AG900" s="51"/>
    </row>
    <row r="901" spans="1:33" ht="15.75" customHeight="1">
      <c r="A901" s="51"/>
      <c r="B901" s="51"/>
      <c r="C901" s="51"/>
      <c r="D901" s="51"/>
      <c r="E901" s="51"/>
      <c r="F901" s="51"/>
      <c r="G901" s="51"/>
      <c r="H901" s="51"/>
      <c r="I901" s="51"/>
      <c r="J901" s="55"/>
      <c r="K901" s="55"/>
      <c r="L901" s="55"/>
      <c r="M901" s="55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82"/>
      <c r="Z901" s="51"/>
      <c r="AA901" s="51"/>
      <c r="AB901" s="51"/>
      <c r="AC901" s="51"/>
      <c r="AD901" s="51"/>
      <c r="AE901" s="51"/>
      <c r="AF901" s="51"/>
      <c r="AG901" s="51"/>
    </row>
    <row r="902" spans="1:33" ht="15.75" customHeight="1">
      <c r="A902" s="51"/>
      <c r="B902" s="51"/>
      <c r="C902" s="51"/>
      <c r="D902" s="51"/>
      <c r="E902" s="51"/>
      <c r="F902" s="51"/>
      <c r="G902" s="51"/>
      <c r="H902" s="51"/>
      <c r="I902" s="51"/>
      <c r="J902" s="55"/>
      <c r="K902" s="55"/>
      <c r="L902" s="55"/>
      <c r="M902" s="55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82"/>
      <c r="Z902" s="51"/>
      <c r="AA902" s="51"/>
      <c r="AB902" s="51"/>
      <c r="AC902" s="51"/>
      <c r="AD902" s="51"/>
      <c r="AE902" s="51"/>
      <c r="AF902" s="51"/>
      <c r="AG902" s="51"/>
    </row>
    <row r="903" spans="1:33" ht="15.75" customHeight="1">
      <c r="A903" s="51"/>
      <c r="B903" s="51"/>
      <c r="C903" s="51"/>
      <c r="D903" s="51"/>
      <c r="E903" s="51"/>
      <c r="F903" s="51"/>
      <c r="G903" s="51"/>
      <c r="H903" s="51"/>
      <c r="I903" s="51"/>
      <c r="J903" s="55"/>
      <c r="K903" s="55"/>
      <c r="L903" s="55"/>
      <c r="M903" s="55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82"/>
      <c r="Z903" s="51"/>
      <c r="AA903" s="51"/>
      <c r="AB903" s="51"/>
      <c r="AC903" s="51"/>
      <c r="AD903" s="51"/>
      <c r="AE903" s="51"/>
      <c r="AF903" s="51"/>
      <c r="AG903" s="51"/>
    </row>
    <row r="904" spans="1:33" ht="15.75" customHeight="1">
      <c r="A904" s="51"/>
      <c r="B904" s="51"/>
      <c r="C904" s="51"/>
      <c r="D904" s="51"/>
      <c r="E904" s="51"/>
      <c r="F904" s="51"/>
      <c r="G904" s="51"/>
      <c r="H904" s="51"/>
      <c r="I904" s="51"/>
      <c r="J904" s="55"/>
      <c r="K904" s="55"/>
      <c r="L904" s="55"/>
      <c r="M904" s="55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82"/>
      <c r="Z904" s="51"/>
      <c r="AA904" s="51"/>
      <c r="AB904" s="51"/>
      <c r="AC904" s="51"/>
      <c r="AD904" s="51"/>
      <c r="AE904" s="51"/>
      <c r="AF904" s="51"/>
      <c r="AG904" s="51"/>
    </row>
    <row r="905" spans="1:33" ht="15.75" customHeight="1">
      <c r="A905" s="51"/>
      <c r="B905" s="51"/>
      <c r="C905" s="51"/>
      <c r="D905" s="51"/>
      <c r="E905" s="51"/>
      <c r="F905" s="51"/>
      <c r="G905" s="51"/>
      <c r="H905" s="51"/>
      <c r="I905" s="51"/>
      <c r="J905" s="55"/>
      <c r="K905" s="55"/>
      <c r="L905" s="55"/>
      <c r="M905" s="55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82"/>
      <c r="Z905" s="51"/>
      <c r="AA905" s="51"/>
      <c r="AB905" s="51"/>
      <c r="AC905" s="51"/>
      <c r="AD905" s="51"/>
      <c r="AE905" s="51"/>
      <c r="AF905" s="51"/>
      <c r="AG905" s="51"/>
    </row>
    <row r="906" spans="1:33" ht="15.75" customHeight="1">
      <c r="A906" s="51"/>
      <c r="B906" s="51"/>
      <c r="C906" s="51"/>
      <c r="D906" s="51"/>
      <c r="E906" s="51"/>
      <c r="F906" s="51"/>
      <c r="G906" s="51"/>
      <c r="H906" s="51"/>
      <c r="I906" s="51"/>
      <c r="J906" s="55"/>
      <c r="K906" s="55"/>
      <c r="L906" s="55"/>
      <c r="M906" s="55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82"/>
      <c r="Z906" s="51"/>
      <c r="AA906" s="51"/>
      <c r="AB906" s="51"/>
      <c r="AC906" s="51"/>
      <c r="AD906" s="51"/>
      <c r="AE906" s="51"/>
      <c r="AF906" s="51"/>
      <c r="AG906" s="51"/>
    </row>
    <row r="907" spans="1:33" ht="15.75" customHeight="1">
      <c r="A907" s="51"/>
      <c r="B907" s="51"/>
      <c r="C907" s="51"/>
      <c r="D907" s="51"/>
      <c r="E907" s="51"/>
      <c r="F907" s="51"/>
      <c r="G907" s="51"/>
      <c r="H907" s="51"/>
      <c r="I907" s="51"/>
      <c r="J907" s="55"/>
      <c r="K907" s="55"/>
      <c r="L907" s="55"/>
      <c r="M907" s="55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82"/>
      <c r="Z907" s="51"/>
      <c r="AA907" s="51"/>
      <c r="AB907" s="51"/>
      <c r="AC907" s="51"/>
      <c r="AD907" s="51"/>
      <c r="AE907" s="51"/>
      <c r="AF907" s="51"/>
      <c r="AG907" s="51"/>
    </row>
    <row r="908" spans="1:33" ht="15.75" customHeight="1">
      <c r="A908" s="51"/>
      <c r="B908" s="51"/>
      <c r="C908" s="51"/>
      <c r="D908" s="51"/>
      <c r="E908" s="51"/>
      <c r="F908" s="51"/>
      <c r="G908" s="51"/>
      <c r="H908" s="51"/>
      <c r="I908" s="51"/>
      <c r="J908" s="55"/>
      <c r="K908" s="55"/>
      <c r="L908" s="55"/>
      <c r="M908" s="55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82"/>
      <c r="Z908" s="51"/>
      <c r="AA908" s="51"/>
      <c r="AB908" s="51"/>
      <c r="AC908" s="51"/>
      <c r="AD908" s="51"/>
      <c r="AE908" s="51"/>
      <c r="AF908" s="51"/>
      <c r="AG908" s="51"/>
    </row>
    <row r="909" spans="1:33" ht="15.75" customHeight="1">
      <c r="A909" s="51"/>
      <c r="B909" s="51"/>
      <c r="C909" s="51"/>
      <c r="D909" s="51"/>
      <c r="E909" s="51"/>
      <c r="F909" s="51"/>
      <c r="G909" s="51"/>
      <c r="H909" s="51"/>
      <c r="I909" s="51"/>
      <c r="J909" s="55"/>
      <c r="K909" s="55"/>
      <c r="L909" s="55"/>
      <c r="M909" s="55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82"/>
      <c r="Z909" s="51"/>
      <c r="AA909" s="51"/>
      <c r="AB909" s="51"/>
      <c r="AC909" s="51"/>
      <c r="AD909" s="51"/>
      <c r="AE909" s="51"/>
      <c r="AF909" s="51"/>
      <c r="AG909" s="51"/>
    </row>
    <row r="910" spans="1:33" ht="15.75" customHeight="1">
      <c r="A910" s="51"/>
      <c r="B910" s="51"/>
      <c r="C910" s="51"/>
      <c r="D910" s="51"/>
      <c r="E910" s="51"/>
      <c r="F910" s="51"/>
      <c r="G910" s="51"/>
      <c r="H910" s="51"/>
      <c r="I910" s="51"/>
      <c r="J910" s="55"/>
      <c r="K910" s="55"/>
      <c r="L910" s="55"/>
      <c r="M910" s="55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82"/>
      <c r="Z910" s="51"/>
      <c r="AA910" s="51"/>
      <c r="AB910" s="51"/>
      <c r="AC910" s="51"/>
      <c r="AD910" s="51"/>
      <c r="AE910" s="51"/>
      <c r="AF910" s="51"/>
      <c r="AG910" s="51"/>
    </row>
    <row r="911" spans="1:33" ht="15.75" customHeight="1">
      <c r="A911" s="51"/>
      <c r="B911" s="51"/>
      <c r="C911" s="51"/>
      <c r="D911" s="51"/>
      <c r="E911" s="51"/>
      <c r="F911" s="51"/>
      <c r="G911" s="51"/>
      <c r="H911" s="51"/>
      <c r="I911" s="51"/>
      <c r="J911" s="55"/>
      <c r="K911" s="55"/>
      <c r="L911" s="55"/>
      <c r="M911" s="55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82"/>
      <c r="Z911" s="51"/>
      <c r="AA911" s="51"/>
      <c r="AB911" s="51"/>
      <c r="AC911" s="51"/>
      <c r="AD911" s="51"/>
      <c r="AE911" s="51"/>
      <c r="AF911" s="51"/>
      <c r="AG911" s="51"/>
    </row>
    <row r="912" spans="1:33" ht="15.75" customHeight="1">
      <c r="A912" s="51"/>
      <c r="B912" s="51"/>
      <c r="C912" s="51"/>
      <c r="D912" s="51"/>
      <c r="E912" s="51"/>
      <c r="F912" s="51"/>
      <c r="G912" s="51"/>
      <c r="H912" s="51"/>
      <c r="I912" s="51"/>
      <c r="J912" s="55"/>
      <c r="K912" s="55"/>
      <c r="L912" s="55"/>
      <c r="M912" s="55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82"/>
      <c r="Z912" s="51"/>
      <c r="AA912" s="51"/>
      <c r="AB912" s="51"/>
      <c r="AC912" s="51"/>
      <c r="AD912" s="51"/>
      <c r="AE912" s="51"/>
      <c r="AF912" s="51"/>
      <c r="AG912" s="51"/>
    </row>
    <row r="913" spans="1:33" ht="15.75" customHeight="1">
      <c r="A913" s="51"/>
      <c r="B913" s="51"/>
      <c r="C913" s="51"/>
      <c r="D913" s="51"/>
      <c r="E913" s="51"/>
      <c r="F913" s="51"/>
      <c r="G913" s="51"/>
      <c r="H913" s="51"/>
      <c r="I913" s="51"/>
      <c r="J913" s="55"/>
      <c r="K913" s="55"/>
      <c r="L913" s="55"/>
      <c r="M913" s="55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82"/>
      <c r="Z913" s="51"/>
      <c r="AA913" s="51"/>
      <c r="AB913" s="51"/>
      <c r="AC913" s="51"/>
      <c r="AD913" s="51"/>
      <c r="AE913" s="51"/>
      <c r="AF913" s="51"/>
      <c r="AG913" s="51"/>
    </row>
    <row r="914" spans="1:33" ht="15.75" customHeight="1">
      <c r="A914" s="51"/>
      <c r="B914" s="51"/>
      <c r="C914" s="51"/>
      <c r="D914" s="51"/>
      <c r="E914" s="51"/>
      <c r="F914" s="51"/>
      <c r="G914" s="51"/>
      <c r="H914" s="51"/>
      <c r="I914" s="51"/>
      <c r="J914" s="55"/>
      <c r="K914" s="55"/>
      <c r="L914" s="55"/>
      <c r="M914" s="55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82"/>
      <c r="Z914" s="51"/>
      <c r="AA914" s="51"/>
      <c r="AB914" s="51"/>
      <c r="AC914" s="51"/>
      <c r="AD914" s="51"/>
      <c r="AE914" s="51"/>
      <c r="AF914" s="51"/>
      <c r="AG914" s="51"/>
    </row>
    <row r="915" spans="1:33" ht="15.75" customHeight="1">
      <c r="A915" s="51"/>
      <c r="B915" s="51"/>
      <c r="C915" s="51"/>
      <c r="D915" s="51"/>
      <c r="E915" s="51"/>
      <c r="F915" s="51"/>
      <c r="G915" s="51"/>
      <c r="H915" s="51"/>
      <c r="I915" s="51"/>
      <c r="J915" s="55"/>
      <c r="K915" s="55"/>
      <c r="L915" s="55"/>
      <c r="M915" s="55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82"/>
      <c r="Z915" s="51"/>
      <c r="AA915" s="51"/>
      <c r="AB915" s="51"/>
      <c r="AC915" s="51"/>
      <c r="AD915" s="51"/>
      <c r="AE915" s="51"/>
      <c r="AF915" s="51"/>
      <c r="AG915" s="51"/>
    </row>
    <row r="916" spans="1:33" ht="15.75" customHeight="1">
      <c r="A916" s="51"/>
      <c r="B916" s="51"/>
      <c r="C916" s="51"/>
      <c r="D916" s="51"/>
      <c r="E916" s="51"/>
      <c r="F916" s="51"/>
      <c r="G916" s="51"/>
      <c r="H916" s="51"/>
      <c r="I916" s="51"/>
      <c r="J916" s="55"/>
      <c r="K916" s="55"/>
      <c r="L916" s="55"/>
      <c r="M916" s="55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82"/>
      <c r="Z916" s="51"/>
      <c r="AA916" s="51"/>
      <c r="AB916" s="51"/>
      <c r="AC916" s="51"/>
      <c r="AD916" s="51"/>
      <c r="AE916" s="51"/>
      <c r="AF916" s="51"/>
      <c r="AG916" s="51"/>
    </row>
    <row r="917" spans="1:33" ht="15.75" customHeight="1">
      <c r="A917" s="51"/>
      <c r="B917" s="51"/>
      <c r="C917" s="51"/>
      <c r="D917" s="51"/>
      <c r="E917" s="51"/>
      <c r="F917" s="51"/>
      <c r="G917" s="51"/>
      <c r="H917" s="51"/>
      <c r="I917" s="51"/>
      <c r="J917" s="55"/>
      <c r="K917" s="55"/>
      <c r="L917" s="55"/>
      <c r="M917" s="55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82"/>
      <c r="Z917" s="51"/>
      <c r="AA917" s="51"/>
      <c r="AB917" s="51"/>
      <c r="AC917" s="51"/>
      <c r="AD917" s="51"/>
      <c r="AE917" s="51"/>
      <c r="AF917" s="51"/>
      <c r="AG917" s="51"/>
    </row>
    <row r="918" spans="1:33" ht="15.75" customHeight="1">
      <c r="A918" s="51"/>
      <c r="B918" s="51"/>
      <c r="C918" s="51"/>
      <c r="D918" s="51"/>
      <c r="E918" s="51"/>
      <c r="F918" s="51"/>
      <c r="G918" s="51"/>
      <c r="H918" s="51"/>
      <c r="I918" s="51"/>
      <c r="J918" s="55"/>
      <c r="K918" s="55"/>
      <c r="L918" s="55"/>
      <c r="M918" s="55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82"/>
      <c r="Z918" s="51"/>
      <c r="AA918" s="51"/>
      <c r="AB918" s="51"/>
      <c r="AC918" s="51"/>
      <c r="AD918" s="51"/>
      <c r="AE918" s="51"/>
      <c r="AF918" s="51"/>
      <c r="AG918" s="51"/>
    </row>
    <row r="919" spans="1:33" ht="15.75" customHeight="1">
      <c r="A919" s="51"/>
      <c r="B919" s="51"/>
      <c r="C919" s="51"/>
      <c r="D919" s="51"/>
      <c r="E919" s="51"/>
      <c r="F919" s="51"/>
      <c r="G919" s="51"/>
      <c r="H919" s="51"/>
      <c r="I919" s="51"/>
      <c r="J919" s="55"/>
      <c r="K919" s="55"/>
      <c r="L919" s="55"/>
      <c r="M919" s="55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82"/>
      <c r="Z919" s="51"/>
      <c r="AA919" s="51"/>
      <c r="AB919" s="51"/>
      <c r="AC919" s="51"/>
      <c r="AD919" s="51"/>
      <c r="AE919" s="51"/>
      <c r="AF919" s="51"/>
      <c r="AG919" s="51"/>
    </row>
    <row r="920" spans="1:33" ht="15.75" customHeight="1">
      <c r="A920" s="51"/>
      <c r="B920" s="51"/>
      <c r="C920" s="51"/>
      <c r="D920" s="51"/>
      <c r="E920" s="51"/>
      <c r="F920" s="51"/>
      <c r="G920" s="51"/>
      <c r="H920" s="51"/>
      <c r="I920" s="51"/>
      <c r="J920" s="55"/>
      <c r="K920" s="55"/>
      <c r="L920" s="55"/>
      <c r="M920" s="55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82"/>
      <c r="Z920" s="51"/>
      <c r="AA920" s="51"/>
      <c r="AB920" s="51"/>
      <c r="AC920" s="51"/>
      <c r="AD920" s="51"/>
      <c r="AE920" s="51"/>
      <c r="AF920" s="51"/>
      <c r="AG920" s="51"/>
    </row>
    <row r="921" spans="1:33" ht="15.75" customHeight="1">
      <c r="A921" s="51"/>
      <c r="B921" s="51"/>
      <c r="C921" s="51"/>
      <c r="D921" s="51"/>
      <c r="E921" s="51"/>
      <c r="F921" s="51"/>
      <c r="G921" s="51"/>
      <c r="H921" s="51"/>
      <c r="I921" s="51"/>
      <c r="J921" s="55"/>
      <c r="K921" s="55"/>
      <c r="L921" s="55"/>
      <c r="M921" s="55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82"/>
      <c r="Z921" s="51"/>
      <c r="AA921" s="51"/>
      <c r="AB921" s="51"/>
      <c r="AC921" s="51"/>
      <c r="AD921" s="51"/>
      <c r="AE921" s="51"/>
      <c r="AF921" s="51"/>
      <c r="AG921" s="51"/>
    </row>
    <row r="922" spans="1:33" ht="15.75" customHeight="1">
      <c r="A922" s="51"/>
      <c r="B922" s="51"/>
      <c r="C922" s="51"/>
      <c r="D922" s="51"/>
      <c r="E922" s="51"/>
      <c r="F922" s="51"/>
      <c r="G922" s="51"/>
      <c r="H922" s="51"/>
      <c r="I922" s="51"/>
      <c r="J922" s="55"/>
      <c r="K922" s="55"/>
      <c r="L922" s="55"/>
      <c r="M922" s="55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82"/>
      <c r="Z922" s="51"/>
      <c r="AA922" s="51"/>
      <c r="AB922" s="51"/>
      <c r="AC922" s="51"/>
      <c r="AD922" s="51"/>
      <c r="AE922" s="51"/>
      <c r="AF922" s="51"/>
      <c r="AG922" s="51"/>
    </row>
    <row r="923" spans="1:33" ht="15.75" customHeight="1">
      <c r="A923" s="51"/>
      <c r="B923" s="51"/>
      <c r="C923" s="51"/>
      <c r="D923" s="51"/>
      <c r="E923" s="51"/>
      <c r="F923" s="51"/>
      <c r="G923" s="51"/>
      <c r="H923" s="51"/>
      <c r="I923" s="51"/>
      <c r="J923" s="55"/>
      <c r="K923" s="55"/>
      <c r="L923" s="55"/>
      <c r="M923" s="55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82"/>
      <c r="Z923" s="51"/>
      <c r="AA923" s="51"/>
      <c r="AB923" s="51"/>
      <c r="AC923" s="51"/>
      <c r="AD923" s="51"/>
      <c r="AE923" s="51"/>
      <c r="AF923" s="51"/>
      <c r="AG923" s="51"/>
    </row>
    <row r="924" spans="1:33" ht="15.75" customHeight="1">
      <c r="A924" s="51"/>
      <c r="B924" s="51"/>
      <c r="C924" s="51"/>
      <c r="D924" s="51"/>
      <c r="E924" s="51"/>
      <c r="F924" s="51"/>
      <c r="G924" s="51"/>
      <c r="H924" s="51"/>
      <c r="I924" s="51"/>
      <c r="J924" s="55"/>
      <c r="K924" s="55"/>
      <c r="L924" s="55"/>
      <c r="M924" s="55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82"/>
      <c r="Z924" s="51"/>
      <c r="AA924" s="51"/>
      <c r="AB924" s="51"/>
      <c r="AC924" s="51"/>
      <c r="AD924" s="51"/>
      <c r="AE924" s="51"/>
      <c r="AF924" s="51"/>
      <c r="AG924" s="51"/>
    </row>
    <row r="925" spans="1:33" ht="15.75" customHeight="1">
      <c r="A925" s="51"/>
      <c r="B925" s="51"/>
      <c r="C925" s="51"/>
      <c r="D925" s="51"/>
      <c r="E925" s="51"/>
      <c r="F925" s="51"/>
      <c r="G925" s="51"/>
      <c r="H925" s="51"/>
      <c r="I925" s="51"/>
      <c r="J925" s="55"/>
      <c r="K925" s="55"/>
      <c r="L925" s="55"/>
      <c r="M925" s="55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82"/>
      <c r="Z925" s="51"/>
      <c r="AA925" s="51"/>
      <c r="AB925" s="51"/>
      <c r="AC925" s="51"/>
      <c r="AD925" s="51"/>
      <c r="AE925" s="51"/>
      <c r="AF925" s="51"/>
      <c r="AG925" s="51"/>
    </row>
    <row r="926" spans="1:33" ht="15.75" customHeight="1">
      <c r="A926" s="51"/>
      <c r="B926" s="51"/>
      <c r="C926" s="51"/>
      <c r="D926" s="51"/>
      <c r="E926" s="51"/>
      <c r="F926" s="51"/>
      <c r="G926" s="51"/>
      <c r="H926" s="51"/>
      <c r="I926" s="51"/>
      <c r="J926" s="55"/>
      <c r="K926" s="55"/>
      <c r="L926" s="55"/>
      <c r="M926" s="55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82"/>
      <c r="Z926" s="51"/>
      <c r="AA926" s="51"/>
      <c r="AB926" s="51"/>
      <c r="AC926" s="51"/>
      <c r="AD926" s="51"/>
      <c r="AE926" s="51"/>
      <c r="AF926" s="51"/>
      <c r="AG926" s="51"/>
    </row>
    <row r="927" spans="1:33" ht="15.75" customHeight="1">
      <c r="A927" s="51"/>
      <c r="B927" s="51"/>
      <c r="C927" s="51"/>
      <c r="D927" s="51"/>
      <c r="E927" s="51"/>
      <c r="F927" s="51"/>
      <c r="G927" s="51"/>
      <c r="H927" s="51"/>
      <c r="I927" s="51"/>
      <c r="J927" s="55"/>
      <c r="K927" s="55"/>
      <c r="L927" s="55"/>
      <c r="M927" s="55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82"/>
      <c r="Z927" s="51"/>
      <c r="AA927" s="51"/>
      <c r="AB927" s="51"/>
      <c r="AC927" s="51"/>
      <c r="AD927" s="51"/>
      <c r="AE927" s="51"/>
      <c r="AF927" s="51"/>
      <c r="AG927" s="51"/>
    </row>
    <row r="928" spans="1:33" ht="15.75" customHeight="1">
      <c r="A928" s="51"/>
      <c r="B928" s="51"/>
      <c r="C928" s="51"/>
      <c r="D928" s="51"/>
      <c r="E928" s="51"/>
      <c r="F928" s="51"/>
      <c r="G928" s="51"/>
      <c r="H928" s="51"/>
      <c r="I928" s="51"/>
      <c r="J928" s="55"/>
      <c r="K928" s="55"/>
      <c r="L928" s="55"/>
      <c r="M928" s="55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82"/>
      <c r="Z928" s="51"/>
      <c r="AA928" s="51"/>
      <c r="AB928" s="51"/>
      <c r="AC928" s="51"/>
      <c r="AD928" s="51"/>
      <c r="AE928" s="51"/>
      <c r="AF928" s="51"/>
      <c r="AG928" s="51"/>
    </row>
    <row r="929" spans="1:33" ht="15.75" customHeight="1">
      <c r="A929" s="51"/>
      <c r="B929" s="51"/>
      <c r="C929" s="51"/>
      <c r="D929" s="51"/>
      <c r="E929" s="51"/>
      <c r="F929" s="51"/>
      <c r="G929" s="51"/>
      <c r="H929" s="51"/>
      <c r="I929" s="51"/>
      <c r="J929" s="55"/>
      <c r="K929" s="55"/>
      <c r="L929" s="55"/>
      <c r="M929" s="55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82"/>
      <c r="Z929" s="51"/>
      <c r="AA929" s="51"/>
      <c r="AB929" s="51"/>
      <c r="AC929" s="51"/>
      <c r="AD929" s="51"/>
      <c r="AE929" s="51"/>
      <c r="AF929" s="51"/>
      <c r="AG929" s="51"/>
    </row>
    <row r="930" spans="1:33" ht="15.75" customHeight="1">
      <c r="A930" s="51"/>
      <c r="B930" s="51"/>
      <c r="C930" s="51"/>
      <c r="D930" s="51"/>
      <c r="E930" s="51"/>
      <c r="F930" s="51"/>
      <c r="G930" s="51"/>
      <c r="H930" s="51"/>
      <c r="I930" s="51"/>
      <c r="J930" s="55"/>
      <c r="K930" s="55"/>
      <c r="L930" s="55"/>
      <c r="M930" s="55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82"/>
      <c r="Z930" s="51"/>
      <c r="AA930" s="51"/>
      <c r="AB930" s="51"/>
      <c r="AC930" s="51"/>
      <c r="AD930" s="51"/>
      <c r="AE930" s="51"/>
      <c r="AF930" s="51"/>
      <c r="AG930" s="51"/>
    </row>
    <row r="931" spans="1:33" ht="15.75" customHeight="1">
      <c r="A931" s="51"/>
      <c r="B931" s="51"/>
      <c r="C931" s="51"/>
      <c r="D931" s="51"/>
      <c r="E931" s="51"/>
      <c r="F931" s="51"/>
      <c r="G931" s="51"/>
      <c r="H931" s="51"/>
      <c r="I931" s="51"/>
      <c r="J931" s="55"/>
      <c r="K931" s="55"/>
      <c r="L931" s="55"/>
      <c r="M931" s="55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82"/>
      <c r="Z931" s="51"/>
      <c r="AA931" s="51"/>
      <c r="AB931" s="51"/>
      <c r="AC931" s="51"/>
      <c r="AD931" s="51"/>
      <c r="AE931" s="51"/>
      <c r="AF931" s="51"/>
      <c r="AG931" s="51"/>
    </row>
    <row r="932" spans="1:33" ht="15.75" customHeight="1">
      <c r="A932" s="51"/>
      <c r="B932" s="51"/>
      <c r="C932" s="51"/>
      <c r="D932" s="51"/>
      <c r="E932" s="51"/>
      <c r="F932" s="51"/>
      <c r="G932" s="51"/>
      <c r="H932" s="51"/>
      <c r="I932" s="51"/>
      <c r="J932" s="55"/>
      <c r="K932" s="55"/>
      <c r="L932" s="55"/>
      <c r="M932" s="55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82"/>
      <c r="Z932" s="51"/>
      <c r="AA932" s="51"/>
      <c r="AB932" s="51"/>
      <c r="AC932" s="51"/>
      <c r="AD932" s="51"/>
      <c r="AE932" s="51"/>
      <c r="AF932" s="51"/>
      <c r="AG932" s="51"/>
    </row>
    <row r="933" spans="1:33" ht="15.75" customHeight="1">
      <c r="A933" s="51"/>
      <c r="B933" s="51"/>
      <c r="C933" s="51"/>
      <c r="D933" s="51"/>
      <c r="E933" s="51"/>
      <c r="F933" s="51"/>
      <c r="G933" s="51"/>
      <c r="H933" s="51"/>
      <c r="I933" s="51"/>
      <c r="J933" s="55"/>
      <c r="K933" s="55"/>
      <c r="L933" s="55"/>
      <c r="M933" s="55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82"/>
      <c r="Z933" s="51"/>
      <c r="AA933" s="51"/>
      <c r="AB933" s="51"/>
      <c r="AC933" s="51"/>
      <c r="AD933" s="51"/>
      <c r="AE933" s="51"/>
      <c r="AF933" s="51"/>
      <c r="AG933" s="51"/>
    </row>
    <row r="934" spans="1:33" ht="15.75" customHeight="1">
      <c r="A934" s="51"/>
      <c r="B934" s="51"/>
      <c r="C934" s="51"/>
      <c r="D934" s="51"/>
      <c r="E934" s="51"/>
      <c r="F934" s="51"/>
      <c r="G934" s="51"/>
      <c r="H934" s="51"/>
      <c r="I934" s="51"/>
      <c r="J934" s="55"/>
      <c r="K934" s="55"/>
      <c r="L934" s="55"/>
      <c r="M934" s="55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82"/>
      <c r="Z934" s="51"/>
      <c r="AA934" s="51"/>
      <c r="AB934" s="51"/>
      <c r="AC934" s="51"/>
      <c r="AD934" s="51"/>
      <c r="AE934" s="51"/>
      <c r="AF934" s="51"/>
      <c r="AG934" s="51"/>
    </row>
    <row r="935" spans="1:33" ht="15.75" customHeight="1">
      <c r="A935" s="51"/>
      <c r="B935" s="51"/>
      <c r="C935" s="51"/>
      <c r="D935" s="51"/>
      <c r="E935" s="51"/>
      <c r="F935" s="51"/>
      <c r="G935" s="51"/>
      <c r="H935" s="51"/>
      <c r="I935" s="51"/>
      <c r="J935" s="55"/>
      <c r="K935" s="55"/>
      <c r="L935" s="55"/>
      <c r="M935" s="55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82"/>
      <c r="Z935" s="51"/>
      <c r="AA935" s="51"/>
      <c r="AB935" s="51"/>
      <c r="AC935" s="51"/>
      <c r="AD935" s="51"/>
      <c r="AE935" s="51"/>
      <c r="AF935" s="51"/>
      <c r="AG935" s="51"/>
    </row>
    <row r="936" spans="1:33" ht="15.75" customHeight="1">
      <c r="A936" s="51"/>
      <c r="B936" s="51"/>
      <c r="C936" s="51"/>
      <c r="D936" s="51"/>
      <c r="E936" s="51"/>
      <c r="F936" s="51"/>
      <c r="G936" s="51"/>
      <c r="H936" s="51"/>
      <c r="I936" s="51"/>
      <c r="J936" s="55"/>
      <c r="K936" s="55"/>
      <c r="L936" s="55"/>
      <c r="M936" s="55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82"/>
      <c r="Z936" s="51"/>
      <c r="AA936" s="51"/>
      <c r="AB936" s="51"/>
      <c r="AC936" s="51"/>
      <c r="AD936" s="51"/>
      <c r="AE936" s="51"/>
      <c r="AF936" s="51"/>
      <c r="AG936" s="51"/>
    </row>
    <row r="937" spans="1:33" ht="15.75" customHeight="1">
      <c r="A937" s="51"/>
      <c r="B937" s="51"/>
      <c r="C937" s="51"/>
      <c r="D937" s="51"/>
      <c r="E937" s="51"/>
      <c r="F937" s="51"/>
      <c r="G937" s="51"/>
      <c r="H937" s="51"/>
      <c r="I937" s="51"/>
      <c r="J937" s="55"/>
      <c r="K937" s="55"/>
      <c r="L937" s="55"/>
      <c r="M937" s="55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82"/>
      <c r="Z937" s="51"/>
      <c r="AA937" s="51"/>
      <c r="AB937" s="51"/>
      <c r="AC937" s="51"/>
      <c r="AD937" s="51"/>
      <c r="AE937" s="51"/>
      <c r="AF937" s="51"/>
      <c r="AG937" s="51"/>
    </row>
    <row r="938" spans="1:33" ht="15.75" customHeight="1">
      <c r="A938" s="51"/>
      <c r="B938" s="51"/>
      <c r="C938" s="51"/>
      <c r="D938" s="51"/>
      <c r="E938" s="51"/>
      <c r="F938" s="51"/>
      <c r="G938" s="51"/>
      <c r="H938" s="51"/>
      <c r="I938" s="51"/>
      <c r="J938" s="55"/>
      <c r="K938" s="55"/>
      <c r="L938" s="55"/>
      <c r="M938" s="55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82"/>
      <c r="Z938" s="51"/>
      <c r="AA938" s="51"/>
      <c r="AB938" s="51"/>
      <c r="AC938" s="51"/>
      <c r="AD938" s="51"/>
      <c r="AE938" s="51"/>
      <c r="AF938" s="51"/>
      <c r="AG938" s="51"/>
    </row>
    <row r="939" spans="1:33" ht="15.75" customHeight="1">
      <c r="A939" s="51"/>
      <c r="B939" s="51"/>
      <c r="C939" s="51"/>
      <c r="D939" s="51"/>
      <c r="E939" s="51"/>
      <c r="F939" s="51"/>
      <c r="G939" s="51"/>
      <c r="H939" s="51"/>
      <c r="I939" s="51"/>
      <c r="J939" s="55"/>
      <c r="K939" s="55"/>
      <c r="L939" s="55"/>
      <c r="M939" s="55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82"/>
      <c r="Z939" s="51"/>
      <c r="AA939" s="51"/>
      <c r="AB939" s="51"/>
      <c r="AC939" s="51"/>
      <c r="AD939" s="51"/>
      <c r="AE939" s="51"/>
      <c r="AF939" s="51"/>
      <c r="AG939" s="51"/>
    </row>
    <row r="940" spans="1:33" ht="15.75" customHeight="1">
      <c r="A940" s="51"/>
      <c r="B940" s="51"/>
      <c r="C940" s="51"/>
      <c r="D940" s="51"/>
      <c r="E940" s="51"/>
      <c r="F940" s="51"/>
      <c r="G940" s="51"/>
      <c r="H940" s="51"/>
      <c r="I940" s="51"/>
      <c r="J940" s="55"/>
      <c r="K940" s="55"/>
      <c r="L940" s="55"/>
      <c r="M940" s="55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82"/>
      <c r="Z940" s="51"/>
      <c r="AA940" s="51"/>
      <c r="AB940" s="51"/>
      <c r="AC940" s="51"/>
      <c r="AD940" s="51"/>
      <c r="AE940" s="51"/>
      <c r="AF940" s="51"/>
      <c r="AG940" s="51"/>
    </row>
    <row r="941" spans="1:33" ht="15.75" customHeight="1">
      <c r="A941" s="51"/>
      <c r="B941" s="51"/>
      <c r="C941" s="51"/>
      <c r="D941" s="51"/>
      <c r="E941" s="51"/>
      <c r="F941" s="51"/>
      <c r="G941" s="51"/>
      <c r="H941" s="51"/>
      <c r="I941" s="51"/>
      <c r="J941" s="55"/>
      <c r="K941" s="55"/>
      <c r="L941" s="55"/>
      <c r="M941" s="55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82"/>
      <c r="Z941" s="51"/>
      <c r="AA941" s="51"/>
      <c r="AB941" s="51"/>
      <c r="AC941" s="51"/>
      <c r="AD941" s="51"/>
      <c r="AE941" s="51"/>
      <c r="AF941" s="51"/>
      <c r="AG941" s="51"/>
    </row>
    <row r="942" spans="1:33" ht="15.75" customHeight="1">
      <c r="A942" s="51"/>
      <c r="B942" s="51"/>
      <c r="C942" s="51"/>
      <c r="D942" s="51"/>
      <c r="E942" s="51"/>
      <c r="F942" s="51"/>
      <c r="G942" s="51"/>
      <c r="H942" s="51"/>
      <c r="I942" s="51"/>
      <c r="J942" s="55"/>
      <c r="K942" s="55"/>
      <c r="L942" s="55"/>
      <c r="M942" s="55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82"/>
      <c r="Z942" s="51"/>
      <c r="AA942" s="51"/>
      <c r="AB942" s="51"/>
      <c r="AC942" s="51"/>
      <c r="AD942" s="51"/>
      <c r="AE942" s="51"/>
      <c r="AF942" s="51"/>
      <c r="AG942" s="51"/>
    </row>
    <row r="943" spans="1:33" ht="15.75" customHeight="1">
      <c r="A943" s="51"/>
      <c r="B943" s="51"/>
      <c r="C943" s="51"/>
      <c r="D943" s="51"/>
      <c r="E943" s="51"/>
      <c r="F943" s="51"/>
      <c r="G943" s="51"/>
      <c r="H943" s="51"/>
      <c r="I943" s="51"/>
      <c r="J943" s="55"/>
      <c r="K943" s="55"/>
      <c r="L943" s="55"/>
      <c r="M943" s="55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82"/>
      <c r="Z943" s="51"/>
      <c r="AA943" s="51"/>
      <c r="AB943" s="51"/>
      <c r="AC943" s="51"/>
      <c r="AD943" s="51"/>
      <c r="AE943" s="51"/>
      <c r="AF943" s="51"/>
      <c r="AG943" s="51"/>
    </row>
    <row r="944" spans="1:33" ht="15.75" customHeight="1">
      <c r="A944" s="51"/>
      <c r="B944" s="51"/>
      <c r="C944" s="51"/>
      <c r="D944" s="51"/>
      <c r="E944" s="51"/>
      <c r="F944" s="51"/>
      <c r="G944" s="51"/>
      <c r="H944" s="51"/>
      <c r="I944" s="51"/>
      <c r="J944" s="55"/>
      <c r="K944" s="55"/>
      <c r="L944" s="55"/>
      <c r="M944" s="55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82"/>
      <c r="Z944" s="51"/>
      <c r="AA944" s="51"/>
      <c r="AB944" s="51"/>
      <c r="AC944" s="51"/>
      <c r="AD944" s="51"/>
      <c r="AE944" s="51"/>
      <c r="AF944" s="51"/>
      <c r="AG944" s="51"/>
    </row>
    <row r="945" spans="1:33" ht="15.75" customHeight="1">
      <c r="A945" s="51"/>
      <c r="B945" s="51"/>
      <c r="C945" s="51"/>
      <c r="D945" s="51"/>
      <c r="E945" s="51"/>
      <c r="F945" s="51"/>
      <c r="G945" s="51"/>
      <c r="H945" s="51"/>
      <c r="I945" s="51"/>
      <c r="J945" s="55"/>
      <c r="K945" s="55"/>
      <c r="L945" s="55"/>
      <c r="M945" s="55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82"/>
      <c r="Z945" s="51"/>
      <c r="AA945" s="51"/>
      <c r="AB945" s="51"/>
      <c r="AC945" s="51"/>
      <c r="AD945" s="51"/>
      <c r="AE945" s="51"/>
      <c r="AF945" s="51"/>
      <c r="AG945" s="51"/>
    </row>
    <row r="946" spans="1:33" ht="15.75" customHeight="1">
      <c r="A946" s="51"/>
      <c r="B946" s="51"/>
      <c r="C946" s="51"/>
      <c r="D946" s="51"/>
      <c r="E946" s="51"/>
      <c r="F946" s="51"/>
      <c r="G946" s="51"/>
      <c r="H946" s="51"/>
      <c r="I946" s="51"/>
      <c r="J946" s="55"/>
      <c r="K946" s="55"/>
      <c r="L946" s="55"/>
      <c r="M946" s="55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82"/>
      <c r="Z946" s="51"/>
      <c r="AA946" s="51"/>
      <c r="AB946" s="51"/>
      <c r="AC946" s="51"/>
      <c r="AD946" s="51"/>
      <c r="AE946" s="51"/>
      <c r="AF946" s="51"/>
      <c r="AG946" s="51"/>
    </row>
    <row r="947" spans="1:33" ht="15.75" customHeight="1">
      <c r="A947" s="51"/>
      <c r="B947" s="51"/>
      <c r="C947" s="51"/>
      <c r="D947" s="51"/>
      <c r="E947" s="51"/>
      <c r="F947" s="51"/>
      <c r="G947" s="51"/>
      <c r="H947" s="51"/>
      <c r="I947" s="51"/>
      <c r="J947" s="55"/>
      <c r="K947" s="55"/>
      <c r="L947" s="55"/>
      <c r="M947" s="55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82"/>
      <c r="Z947" s="51"/>
      <c r="AA947" s="51"/>
      <c r="AB947" s="51"/>
      <c r="AC947" s="51"/>
      <c r="AD947" s="51"/>
      <c r="AE947" s="51"/>
      <c r="AF947" s="51"/>
      <c r="AG947" s="51"/>
    </row>
    <row r="948" spans="1:33" ht="15.75" customHeight="1">
      <c r="A948" s="51"/>
      <c r="B948" s="51"/>
      <c r="C948" s="51"/>
      <c r="D948" s="51"/>
      <c r="E948" s="51"/>
      <c r="F948" s="51"/>
      <c r="G948" s="51"/>
      <c r="H948" s="51"/>
      <c r="I948" s="51"/>
      <c r="J948" s="55"/>
      <c r="K948" s="55"/>
      <c r="L948" s="55"/>
      <c r="M948" s="55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82"/>
      <c r="Z948" s="51"/>
      <c r="AA948" s="51"/>
      <c r="AB948" s="51"/>
      <c r="AC948" s="51"/>
      <c r="AD948" s="51"/>
      <c r="AE948" s="51"/>
      <c r="AF948" s="51"/>
      <c r="AG948" s="51"/>
    </row>
    <row r="949" spans="1:33" ht="15.75" customHeight="1">
      <c r="A949" s="51"/>
      <c r="B949" s="51"/>
      <c r="C949" s="51"/>
      <c r="D949" s="51"/>
      <c r="E949" s="51"/>
      <c r="F949" s="51"/>
      <c r="G949" s="51"/>
      <c r="H949" s="51"/>
      <c r="I949" s="51"/>
      <c r="J949" s="55"/>
      <c r="K949" s="55"/>
      <c r="L949" s="55"/>
      <c r="M949" s="55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82"/>
      <c r="Z949" s="51"/>
      <c r="AA949" s="51"/>
      <c r="AB949" s="51"/>
      <c r="AC949" s="51"/>
      <c r="AD949" s="51"/>
      <c r="AE949" s="51"/>
      <c r="AF949" s="51"/>
      <c r="AG949" s="51"/>
    </row>
    <row r="950" spans="1:33" ht="15.75" customHeight="1">
      <c r="A950" s="51"/>
      <c r="B950" s="51"/>
      <c r="C950" s="51"/>
      <c r="D950" s="51"/>
      <c r="E950" s="51"/>
      <c r="F950" s="51"/>
      <c r="G950" s="51"/>
      <c r="H950" s="51"/>
      <c r="I950" s="51"/>
      <c r="J950" s="55"/>
      <c r="K950" s="55"/>
      <c r="L950" s="55"/>
      <c r="M950" s="55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82"/>
      <c r="Z950" s="51"/>
      <c r="AA950" s="51"/>
      <c r="AB950" s="51"/>
      <c r="AC950" s="51"/>
      <c r="AD950" s="51"/>
      <c r="AE950" s="51"/>
      <c r="AF950" s="51"/>
      <c r="AG950" s="51"/>
    </row>
    <row r="951" spans="1:33" ht="15.75" customHeight="1">
      <c r="A951" s="51"/>
      <c r="B951" s="51"/>
      <c r="C951" s="51"/>
      <c r="D951" s="51"/>
      <c r="E951" s="51"/>
      <c r="F951" s="51"/>
      <c r="G951" s="51"/>
      <c r="H951" s="51"/>
      <c r="I951" s="51"/>
      <c r="J951" s="55"/>
      <c r="K951" s="55"/>
      <c r="L951" s="55"/>
      <c r="M951" s="55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82"/>
      <c r="Z951" s="51"/>
      <c r="AA951" s="51"/>
      <c r="AB951" s="51"/>
      <c r="AC951" s="51"/>
      <c r="AD951" s="51"/>
      <c r="AE951" s="51"/>
      <c r="AF951" s="51"/>
      <c r="AG951" s="51"/>
    </row>
    <row r="952" spans="1:33" ht="15.75" customHeight="1">
      <c r="A952" s="51"/>
      <c r="B952" s="51"/>
      <c r="C952" s="51"/>
      <c r="D952" s="51"/>
      <c r="E952" s="51"/>
      <c r="F952" s="51"/>
      <c r="G952" s="51"/>
      <c r="H952" s="51"/>
      <c r="I952" s="51"/>
      <c r="J952" s="55"/>
      <c r="K952" s="55"/>
      <c r="L952" s="55"/>
      <c r="M952" s="55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82"/>
      <c r="Z952" s="51"/>
      <c r="AA952" s="51"/>
      <c r="AB952" s="51"/>
      <c r="AC952" s="51"/>
      <c r="AD952" s="51"/>
      <c r="AE952" s="51"/>
      <c r="AF952" s="51"/>
      <c r="AG952" s="51"/>
    </row>
    <row r="953" spans="1:33" ht="15.75" customHeight="1">
      <c r="A953" s="51"/>
      <c r="B953" s="51"/>
      <c r="C953" s="51"/>
      <c r="D953" s="51"/>
      <c r="E953" s="51"/>
      <c r="F953" s="51"/>
      <c r="G953" s="51"/>
      <c r="H953" s="51"/>
      <c r="I953" s="51"/>
      <c r="J953" s="55"/>
      <c r="K953" s="55"/>
      <c r="L953" s="55"/>
      <c r="M953" s="55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82"/>
      <c r="Z953" s="51"/>
      <c r="AA953" s="51"/>
      <c r="AB953" s="51"/>
      <c r="AC953" s="51"/>
      <c r="AD953" s="51"/>
      <c r="AE953" s="51"/>
      <c r="AF953" s="51"/>
      <c r="AG953" s="51"/>
    </row>
    <row r="954" spans="1:33" ht="15.75" customHeight="1">
      <c r="A954" s="51"/>
      <c r="B954" s="51"/>
      <c r="C954" s="51"/>
      <c r="D954" s="51"/>
      <c r="E954" s="51"/>
      <c r="F954" s="51"/>
      <c r="G954" s="51"/>
      <c r="H954" s="51"/>
      <c r="I954" s="51"/>
      <c r="J954" s="55"/>
      <c r="K954" s="55"/>
      <c r="L954" s="55"/>
      <c r="M954" s="55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82"/>
      <c r="Z954" s="51"/>
      <c r="AA954" s="51"/>
      <c r="AB954" s="51"/>
      <c r="AC954" s="51"/>
      <c r="AD954" s="51"/>
      <c r="AE954" s="51"/>
      <c r="AF954" s="51"/>
      <c r="AG954" s="51"/>
    </row>
    <row r="955" spans="1:33" ht="15.75" customHeight="1">
      <c r="A955" s="51"/>
      <c r="B955" s="51"/>
      <c r="C955" s="51"/>
      <c r="D955" s="51"/>
      <c r="E955" s="51"/>
      <c r="F955" s="51"/>
      <c r="G955" s="51"/>
      <c r="H955" s="51"/>
      <c r="I955" s="51"/>
      <c r="J955" s="55"/>
      <c r="K955" s="55"/>
      <c r="L955" s="55"/>
      <c r="M955" s="55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82"/>
      <c r="Z955" s="51"/>
      <c r="AA955" s="51"/>
      <c r="AB955" s="51"/>
      <c r="AC955" s="51"/>
      <c r="AD955" s="51"/>
      <c r="AE955" s="51"/>
      <c r="AF955" s="51"/>
      <c r="AG955" s="51"/>
    </row>
    <row r="956" spans="1:33" ht="15.75" customHeight="1">
      <c r="A956" s="51"/>
      <c r="B956" s="51"/>
      <c r="C956" s="51"/>
      <c r="D956" s="51"/>
      <c r="E956" s="51"/>
      <c r="F956" s="51"/>
      <c r="G956" s="51"/>
      <c r="H956" s="51"/>
      <c r="I956" s="51"/>
      <c r="J956" s="55"/>
      <c r="K956" s="55"/>
      <c r="L956" s="55"/>
      <c r="M956" s="55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82"/>
      <c r="Z956" s="51"/>
      <c r="AA956" s="51"/>
      <c r="AB956" s="51"/>
      <c r="AC956" s="51"/>
      <c r="AD956" s="51"/>
      <c r="AE956" s="51"/>
      <c r="AF956" s="51"/>
      <c r="AG956" s="51"/>
    </row>
    <row r="957" spans="1:33" ht="15.75" customHeight="1">
      <c r="A957" s="51"/>
      <c r="B957" s="51"/>
      <c r="C957" s="51"/>
      <c r="D957" s="51"/>
      <c r="E957" s="51"/>
      <c r="F957" s="51"/>
      <c r="G957" s="51"/>
      <c r="H957" s="51"/>
      <c r="I957" s="51"/>
      <c r="J957" s="55"/>
      <c r="K957" s="55"/>
      <c r="L957" s="55"/>
      <c r="M957" s="55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82"/>
      <c r="Z957" s="51"/>
      <c r="AA957" s="51"/>
      <c r="AB957" s="51"/>
      <c r="AC957" s="51"/>
      <c r="AD957" s="51"/>
      <c r="AE957" s="51"/>
      <c r="AF957" s="51"/>
      <c r="AG957" s="51"/>
    </row>
    <row r="958" spans="1:33" ht="15.75" customHeight="1">
      <c r="A958" s="51"/>
      <c r="B958" s="51"/>
      <c r="C958" s="51"/>
      <c r="D958" s="51"/>
      <c r="E958" s="51"/>
      <c r="F958" s="51"/>
      <c r="G958" s="51"/>
      <c r="H958" s="51"/>
      <c r="I958" s="51"/>
      <c r="J958" s="55"/>
      <c r="K958" s="55"/>
      <c r="L958" s="55"/>
      <c r="M958" s="55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82"/>
      <c r="Z958" s="51"/>
      <c r="AA958" s="51"/>
      <c r="AB958" s="51"/>
      <c r="AC958" s="51"/>
      <c r="AD958" s="51"/>
      <c r="AE958" s="51"/>
      <c r="AF958" s="51"/>
      <c r="AG958" s="51"/>
    </row>
    <row r="959" spans="1:33" ht="15.75" customHeight="1">
      <c r="A959" s="51"/>
      <c r="B959" s="51"/>
      <c r="C959" s="51"/>
      <c r="D959" s="51"/>
      <c r="E959" s="51"/>
      <c r="F959" s="51"/>
      <c r="G959" s="51"/>
      <c r="H959" s="51"/>
      <c r="I959" s="51"/>
      <c r="J959" s="55"/>
      <c r="K959" s="55"/>
      <c r="L959" s="55"/>
      <c r="M959" s="55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82"/>
      <c r="Z959" s="51"/>
      <c r="AA959" s="51"/>
      <c r="AB959" s="51"/>
      <c r="AC959" s="51"/>
      <c r="AD959" s="51"/>
      <c r="AE959" s="51"/>
      <c r="AF959" s="51"/>
      <c r="AG959" s="51"/>
    </row>
    <row r="960" spans="1:33" ht="15.75" customHeight="1">
      <c r="A960" s="51"/>
      <c r="B960" s="51"/>
      <c r="C960" s="51"/>
      <c r="D960" s="51"/>
      <c r="E960" s="51"/>
      <c r="F960" s="51"/>
      <c r="G960" s="51"/>
      <c r="H960" s="51"/>
      <c r="I960" s="51"/>
      <c r="J960" s="55"/>
      <c r="K960" s="55"/>
      <c r="L960" s="55"/>
      <c r="M960" s="55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82"/>
      <c r="Z960" s="51"/>
      <c r="AA960" s="51"/>
      <c r="AB960" s="51"/>
      <c r="AC960" s="51"/>
      <c r="AD960" s="51"/>
      <c r="AE960" s="51"/>
      <c r="AF960" s="51"/>
      <c r="AG960" s="51"/>
    </row>
    <row r="961" spans="1:33" ht="15.75" customHeight="1">
      <c r="A961" s="51"/>
      <c r="B961" s="51"/>
      <c r="C961" s="51"/>
      <c r="D961" s="51"/>
      <c r="E961" s="51"/>
      <c r="F961" s="51"/>
      <c r="G961" s="51"/>
      <c r="H961" s="51"/>
      <c r="I961" s="51"/>
      <c r="J961" s="55"/>
      <c r="K961" s="55"/>
      <c r="L961" s="55"/>
      <c r="M961" s="55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82"/>
      <c r="Z961" s="51"/>
      <c r="AA961" s="51"/>
      <c r="AB961" s="51"/>
      <c r="AC961" s="51"/>
      <c r="AD961" s="51"/>
      <c r="AE961" s="51"/>
      <c r="AF961" s="51"/>
      <c r="AG961" s="51"/>
    </row>
    <row r="962" spans="1:33" ht="15.75" customHeight="1">
      <c r="A962" s="51"/>
      <c r="B962" s="51"/>
      <c r="C962" s="51"/>
      <c r="D962" s="51"/>
      <c r="E962" s="51"/>
      <c r="F962" s="51"/>
      <c r="G962" s="51"/>
      <c r="H962" s="51"/>
      <c r="I962" s="51"/>
      <c r="J962" s="55"/>
      <c r="K962" s="55"/>
      <c r="L962" s="55"/>
      <c r="M962" s="55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82"/>
      <c r="Z962" s="51"/>
      <c r="AA962" s="51"/>
      <c r="AB962" s="51"/>
      <c r="AC962" s="51"/>
      <c r="AD962" s="51"/>
      <c r="AE962" s="51"/>
      <c r="AF962" s="51"/>
      <c r="AG962" s="51"/>
    </row>
    <row r="963" spans="1:33" ht="15.75" customHeight="1">
      <c r="A963" s="51"/>
      <c r="B963" s="51"/>
      <c r="C963" s="51"/>
      <c r="D963" s="51"/>
      <c r="E963" s="51"/>
      <c r="F963" s="51"/>
      <c r="G963" s="51"/>
      <c r="H963" s="51"/>
      <c r="I963" s="51"/>
      <c r="J963" s="55"/>
      <c r="K963" s="55"/>
      <c r="L963" s="55"/>
      <c r="M963" s="55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82"/>
      <c r="Z963" s="51"/>
      <c r="AA963" s="51"/>
      <c r="AB963" s="51"/>
      <c r="AC963" s="51"/>
      <c r="AD963" s="51"/>
      <c r="AE963" s="51"/>
      <c r="AF963" s="51"/>
      <c r="AG963" s="51"/>
    </row>
    <row r="964" spans="1:33" ht="15.75" customHeight="1">
      <c r="A964" s="51"/>
      <c r="B964" s="51"/>
      <c r="C964" s="51"/>
      <c r="D964" s="51"/>
      <c r="E964" s="51"/>
      <c r="F964" s="51"/>
      <c r="G964" s="51"/>
      <c r="H964" s="51"/>
      <c r="I964" s="51"/>
      <c r="J964" s="55"/>
      <c r="K964" s="55"/>
      <c r="L964" s="55"/>
      <c r="M964" s="55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82"/>
      <c r="Z964" s="51"/>
      <c r="AA964" s="51"/>
      <c r="AB964" s="51"/>
      <c r="AC964" s="51"/>
      <c r="AD964" s="51"/>
      <c r="AE964" s="51"/>
      <c r="AF964" s="51"/>
      <c r="AG964" s="51"/>
    </row>
    <row r="965" spans="1:33" ht="15.75" customHeight="1">
      <c r="A965" s="51"/>
      <c r="B965" s="51"/>
      <c r="C965" s="51"/>
      <c r="D965" s="51"/>
      <c r="E965" s="51"/>
      <c r="F965" s="51"/>
      <c r="G965" s="51"/>
      <c r="H965" s="51"/>
      <c r="I965" s="51"/>
      <c r="J965" s="55"/>
      <c r="K965" s="55"/>
      <c r="L965" s="55"/>
      <c r="M965" s="55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82"/>
      <c r="Z965" s="51"/>
      <c r="AA965" s="51"/>
      <c r="AB965" s="51"/>
      <c r="AC965" s="51"/>
      <c r="AD965" s="51"/>
      <c r="AE965" s="51"/>
      <c r="AF965" s="51"/>
      <c r="AG965" s="51"/>
    </row>
    <row r="966" spans="1:33" ht="15.75" customHeight="1">
      <c r="A966" s="51"/>
      <c r="B966" s="51"/>
      <c r="C966" s="51"/>
      <c r="D966" s="51"/>
      <c r="E966" s="51"/>
      <c r="F966" s="51"/>
      <c r="G966" s="51"/>
      <c r="H966" s="51"/>
      <c r="I966" s="51"/>
      <c r="J966" s="55"/>
      <c r="K966" s="55"/>
      <c r="L966" s="55"/>
      <c r="M966" s="55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82"/>
      <c r="Z966" s="51"/>
      <c r="AA966" s="51"/>
      <c r="AB966" s="51"/>
      <c r="AC966" s="51"/>
      <c r="AD966" s="51"/>
      <c r="AE966" s="51"/>
      <c r="AF966" s="51"/>
      <c r="AG966" s="51"/>
    </row>
    <row r="967" spans="1:33" ht="15.75" customHeight="1">
      <c r="A967" s="51"/>
      <c r="B967" s="51"/>
      <c r="C967" s="51"/>
      <c r="D967" s="51"/>
      <c r="E967" s="51"/>
      <c r="F967" s="51"/>
      <c r="G967" s="51"/>
      <c r="H967" s="51"/>
      <c r="I967" s="51"/>
      <c r="J967" s="55"/>
      <c r="K967" s="55"/>
      <c r="L967" s="55"/>
      <c r="M967" s="55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82"/>
      <c r="Z967" s="51"/>
      <c r="AA967" s="51"/>
      <c r="AB967" s="51"/>
      <c r="AC967" s="51"/>
      <c r="AD967" s="51"/>
      <c r="AE967" s="51"/>
      <c r="AF967" s="51"/>
      <c r="AG967" s="51"/>
    </row>
    <row r="968" spans="1:33" ht="15.75" customHeight="1">
      <c r="A968" s="51"/>
      <c r="B968" s="51"/>
      <c r="C968" s="51"/>
      <c r="D968" s="51"/>
      <c r="E968" s="51"/>
      <c r="F968" s="51"/>
      <c r="G968" s="51"/>
      <c r="H968" s="51"/>
      <c r="I968" s="51"/>
      <c r="J968" s="55"/>
      <c r="K968" s="55"/>
      <c r="L968" s="55"/>
      <c r="M968" s="55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82"/>
      <c r="Z968" s="51"/>
      <c r="AA968" s="51"/>
      <c r="AB968" s="51"/>
      <c r="AC968" s="51"/>
      <c r="AD968" s="51"/>
      <c r="AE968" s="51"/>
      <c r="AF968" s="51"/>
      <c r="AG968" s="51"/>
    </row>
    <row r="969" spans="1:33" ht="15.75" customHeight="1">
      <c r="A969" s="51"/>
      <c r="B969" s="51"/>
      <c r="C969" s="51"/>
      <c r="D969" s="51"/>
      <c r="E969" s="51"/>
      <c r="F969" s="51"/>
      <c r="G969" s="51"/>
      <c r="H969" s="51"/>
      <c r="I969" s="51"/>
      <c r="J969" s="55"/>
      <c r="K969" s="55"/>
      <c r="L969" s="55"/>
      <c r="M969" s="55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82"/>
      <c r="Z969" s="51"/>
      <c r="AA969" s="51"/>
      <c r="AB969" s="51"/>
      <c r="AC969" s="51"/>
      <c r="AD969" s="51"/>
      <c r="AE969" s="51"/>
      <c r="AF969" s="51"/>
      <c r="AG969" s="51"/>
    </row>
    <row r="970" spans="1:33" ht="15.75" customHeight="1">
      <c r="A970" s="51"/>
      <c r="B970" s="51"/>
      <c r="C970" s="51"/>
      <c r="D970" s="51"/>
      <c r="E970" s="51"/>
      <c r="F970" s="51"/>
      <c r="G970" s="51"/>
      <c r="H970" s="51"/>
      <c r="I970" s="51"/>
      <c r="J970" s="55"/>
      <c r="K970" s="55"/>
      <c r="L970" s="55"/>
      <c r="M970" s="55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82"/>
      <c r="Z970" s="51"/>
      <c r="AA970" s="51"/>
      <c r="AB970" s="51"/>
      <c r="AC970" s="51"/>
      <c r="AD970" s="51"/>
      <c r="AE970" s="51"/>
      <c r="AF970" s="51"/>
      <c r="AG970" s="51"/>
    </row>
    <row r="971" spans="1:33" ht="15.75" customHeight="1">
      <c r="A971" s="51"/>
      <c r="B971" s="51"/>
      <c r="C971" s="51"/>
      <c r="D971" s="51"/>
      <c r="E971" s="51"/>
      <c r="F971" s="51"/>
      <c r="G971" s="51"/>
      <c r="H971" s="51"/>
      <c r="I971" s="51"/>
      <c r="J971" s="55"/>
      <c r="K971" s="55"/>
      <c r="L971" s="55"/>
      <c r="M971" s="55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82"/>
      <c r="Z971" s="51"/>
      <c r="AA971" s="51"/>
      <c r="AB971" s="51"/>
      <c r="AC971" s="51"/>
      <c r="AD971" s="51"/>
      <c r="AE971" s="51"/>
      <c r="AF971" s="51"/>
      <c r="AG971" s="51"/>
    </row>
    <row r="972" spans="1:33" ht="15.75" customHeight="1">
      <c r="A972" s="51"/>
      <c r="B972" s="51"/>
      <c r="C972" s="51"/>
      <c r="D972" s="51"/>
      <c r="E972" s="51"/>
      <c r="F972" s="51"/>
      <c r="G972" s="51"/>
      <c r="H972" s="51"/>
      <c r="I972" s="51"/>
      <c r="J972" s="55"/>
      <c r="K972" s="55"/>
      <c r="L972" s="55"/>
      <c r="M972" s="55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82"/>
      <c r="Z972" s="51"/>
      <c r="AA972" s="51"/>
      <c r="AB972" s="51"/>
      <c r="AC972" s="51"/>
      <c r="AD972" s="51"/>
      <c r="AE972" s="51"/>
      <c r="AF972" s="51"/>
      <c r="AG972" s="51"/>
    </row>
    <row r="973" spans="1:33" ht="15.75" customHeight="1">
      <c r="A973" s="51"/>
      <c r="B973" s="51"/>
      <c r="C973" s="51"/>
      <c r="D973" s="51"/>
      <c r="E973" s="51"/>
      <c r="F973" s="51"/>
      <c r="G973" s="51"/>
      <c r="H973" s="51"/>
      <c r="I973" s="51"/>
      <c r="J973" s="55"/>
      <c r="K973" s="55"/>
      <c r="L973" s="55"/>
      <c r="M973" s="55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82"/>
      <c r="Z973" s="51"/>
      <c r="AA973" s="51"/>
      <c r="AB973" s="51"/>
      <c r="AC973" s="51"/>
      <c r="AD973" s="51"/>
      <c r="AE973" s="51"/>
      <c r="AF973" s="51"/>
      <c r="AG973" s="51"/>
    </row>
    <row r="974" spans="1:33" ht="15.75" customHeight="1">
      <c r="A974" s="51"/>
      <c r="B974" s="51"/>
      <c r="C974" s="51"/>
      <c r="D974" s="51"/>
      <c r="E974" s="51"/>
      <c r="F974" s="51"/>
      <c r="G974" s="51"/>
      <c r="H974" s="51"/>
      <c r="I974" s="51"/>
      <c r="J974" s="55"/>
      <c r="K974" s="55"/>
      <c r="L974" s="55"/>
      <c r="M974" s="55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82"/>
      <c r="Z974" s="51"/>
      <c r="AA974" s="51"/>
      <c r="AB974" s="51"/>
      <c r="AC974" s="51"/>
      <c r="AD974" s="51"/>
      <c r="AE974" s="51"/>
      <c r="AF974" s="51"/>
      <c r="AG974" s="51"/>
    </row>
    <row r="975" spans="1:33" ht="15.75" customHeight="1">
      <c r="A975" s="51"/>
      <c r="B975" s="51"/>
      <c r="C975" s="51"/>
      <c r="D975" s="51"/>
      <c r="E975" s="51"/>
      <c r="F975" s="51"/>
      <c r="G975" s="51"/>
      <c r="H975" s="51"/>
      <c r="I975" s="51"/>
      <c r="J975" s="55"/>
      <c r="K975" s="55"/>
      <c r="L975" s="55"/>
      <c r="M975" s="55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82"/>
      <c r="Z975" s="51"/>
      <c r="AA975" s="51"/>
      <c r="AB975" s="51"/>
      <c r="AC975" s="51"/>
      <c r="AD975" s="51"/>
      <c r="AE975" s="51"/>
      <c r="AF975" s="51"/>
      <c r="AG975" s="51"/>
    </row>
    <row r="976" spans="1:33" ht="15.75" customHeight="1">
      <c r="A976" s="51"/>
      <c r="B976" s="51"/>
      <c r="C976" s="51"/>
      <c r="D976" s="51"/>
      <c r="E976" s="51"/>
      <c r="F976" s="51"/>
      <c r="G976" s="51"/>
      <c r="H976" s="51"/>
      <c r="I976" s="51"/>
      <c r="J976" s="55"/>
      <c r="K976" s="55"/>
      <c r="L976" s="55"/>
      <c r="M976" s="55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82"/>
      <c r="Z976" s="51"/>
      <c r="AA976" s="51"/>
      <c r="AB976" s="51"/>
      <c r="AC976" s="51"/>
      <c r="AD976" s="51"/>
      <c r="AE976" s="51"/>
      <c r="AF976" s="51"/>
      <c r="AG976" s="51"/>
    </row>
    <row r="977" spans="1:33" ht="15.75" customHeight="1">
      <c r="A977" s="51"/>
      <c r="B977" s="51"/>
      <c r="C977" s="51"/>
      <c r="D977" s="51"/>
      <c r="E977" s="51"/>
      <c r="F977" s="51"/>
      <c r="G977" s="51"/>
      <c r="H977" s="51"/>
      <c r="I977" s="51"/>
      <c r="J977" s="55"/>
      <c r="K977" s="55"/>
      <c r="L977" s="55"/>
      <c r="M977" s="55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82"/>
      <c r="Z977" s="51"/>
      <c r="AA977" s="51"/>
      <c r="AB977" s="51"/>
      <c r="AC977" s="51"/>
      <c r="AD977" s="51"/>
      <c r="AE977" s="51"/>
      <c r="AF977" s="51"/>
      <c r="AG977" s="51"/>
    </row>
    <row r="978" spans="1:33" ht="15.75" customHeight="1">
      <c r="A978" s="51"/>
      <c r="B978" s="51"/>
      <c r="C978" s="51"/>
      <c r="D978" s="51"/>
      <c r="E978" s="51"/>
      <c r="F978" s="51"/>
      <c r="G978" s="51"/>
      <c r="H978" s="51"/>
      <c r="I978" s="51"/>
      <c r="J978" s="55"/>
      <c r="K978" s="55"/>
      <c r="L978" s="55"/>
      <c r="M978" s="55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82"/>
      <c r="Z978" s="51"/>
      <c r="AA978" s="51"/>
      <c r="AB978" s="51"/>
      <c r="AC978" s="51"/>
      <c r="AD978" s="51"/>
      <c r="AE978" s="51"/>
      <c r="AF978" s="51"/>
      <c r="AG978" s="51"/>
    </row>
    <row r="979" spans="1:33" ht="15.75" customHeight="1">
      <c r="A979" s="51"/>
      <c r="B979" s="51"/>
      <c r="C979" s="51"/>
      <c r="D979" s="51"/>
      <c r="E979" s="51"/>
      <c r="F979" s="51"/>
      <c r="G979" s="51"/>
      <c r="H979" s="51"/>
      <c r="I979" s="51"/>
      <c r="J979" s="55"/>
      <c r="K979" s="55"/>
      <c r="L979" s="55"/>
      <c r="M979" s="55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82"/>
      <c r="Z979" s="51"/>
      <c r="AA979" s="51"/>
      <c r="AB979" s="51"/>
      <c r="AC979" s="51"/>
      <c r="AD979" s="51"/>
      <c r="AE979" s="51"/>
      <c r="AF979" s="51"/>
      <c r="AG979" s="51"/>
    </row>
    <row r="980" spans="1:33" ht="15.75" customHeight="1">
      <c r="A980" s="51"/>
      <c r="B980" s="51"/>
      <c r="C980" s="51"/>
      <c r="D980" s="51"/>
      <c r="E980" s="51"/>
      <c r="F980" s="51"/>
      <c r="G980" s="51"/>
      <c r="H980" s="51"/>
      <c r="I980" s="51"/>
      <c r="J980" s="55"/>
      <c r="K980" s="55"/>
      <c r="L980" s="55"/>
      <c r="M980" s="55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82"/>
      <c r="Z980" s="51"/>
      <c r="AA980" s="51"/>
      <c r="AB980" s="51"/>
      <c r="AC980" s="51"/>
      <c r="AD980" s="51"/>
      <c r="AE980" s="51"/>
      <c r="AF980" s="51"/>
      <c r="AG980" s="51"/>
    </row>
    <row r="981" spans="1:33" ht="15.75" customHeight="1">
      <c r="A981" s="51"/>
      <c r="B981" s="51"/>
      <c r="C981" s="51"/>
      <c r="D981" s="51"/>
      <c r="E981" s="51"/>
      <c r="F981" s="51"/>
      <c r="G981" s="51"/>
      <c r="H981" s="51"/>
      <c r="I981" s="51"/>
      <c r="J981" s="55"/>
      <c r="K981" s="55"/>
      <c r="L981" s="55"/>
      <c r="M981" s="55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82"/>
      <c r="Z981" s="51"/>
      <c r="AA981" s="51"/>
      <c r="AB981" s="51"/>
      <c r="AC981" s="51"/>
      <c r="AD981" s="51"/>
      <c r="AE981" s="51"/>
      <c r="AF981" s="51"/>
      <c r="AG981" s="51"/>
    </row>
    <row r="982" spans="1:33" ht="15.75" customHeight="1">
      <c r="A982" s="51"/>
      <c r="B982" s="51"/>
      <c r="C982" s="51"/>
      <c r="D982" s="51"/>
      <c r="E982" s="51"/>
      <c r="F982" s="51"/>
      <c r="G982" s="51"/>
      <c r="H982" s="51"/>
      <c r="I982" s="51"/>
      <c r="J982" s="55"/>
      <c r="K982" s="55"/>
      <c r="L982" s="55"/>
      <c r="M982" s="55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82"/>
      <c r="Z982" s="51"/>
      <c r="AA982" s="51"/>
      <c r="AB982" s="51"/>
      <c r="AC982" s="51"/>
      <c r="AD982" s="51"/>
      <c r="AE982" s="51"/>
      <c r="AF982" s="51"/>
      <c r="AG982" s="51"/>
    </row>
    <row r="983" spans="1:33" ht="15.75" customHeight="1">
      <c r="A983" s="51"/>
      <c r="B983" s="51"/>
      <c r="C983" s="51"/>
      <c r="D983" s="51"/>
      <c r="E983" s="51"/>
      <c r="F983" s="51"/>
      <c r="G983" s="51"/>
      <c r="H983" s="51"/>
      <c r="I983" s="51"/>
      <c r="J983" s="55"/>
      <c r="K983" s="55"/>
      <c r="L983" s="55"/>
      <c r="M983" s="55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82"/>
      <c r="Z983" s="51"/>
      <c r="AA983" s="51"/>
      <c r="AB983" s="51"/>
      <c r="AC983" s="51"/>
      <c r="AD983" s="51"/>
      <c r="AE983" s="51"/>
      <c r="AF983" s="51"/>
      <c r="AG983" s="51"/>
    </row>
    <row r="984" spans="1:33" ht="15.75" customHeight="1">
      <c r="A984" s="51"/>
      <c r="B984" s="51"/>
      <c r="C984" s="51"/>
      <c r="D984" s="51"/>
      <c r="E984" s="51"/>
      <c r="F984" s="51"/>
      <c r="G984" s="51"/>
      <c r="H984" s="51"/>
      <c r="I984" s="51"/>
      <c r="J984" s="55"/>
      <c r="K984" s="55"/>
      <c r="L984" s="55"/>
      <c r="M984" s="55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82"/>
      <c r="Z984" s="51"/>
      <c r="AA984" s="51"/>
      <c r="AB984" s="51"/>
      <c r="AC984" s="51"/>
      <c r="AD984" s="51"/>
      <c r="AE984" s="51"/>
      <c r="AF984" s="51"/>
      <c r="AG984" s="51"/>
    </row>
    <row r="985" spans="1:33" ht="15.75" customHeight="1">
      <c r="A985" s="51"/>
      <c r="B985" s="51"/>
      <c r="C985" s="51"/>
      <c r="D985" s="51"/>
      <c r="E985" s="51"/>
      <c r="F985" s="51"/>
      <c r="G985" s="51"/>
      <c r="H985" s="51"/>
      <c r="I985" s="51"/>
      <c r="J985" s="55"/>
      <c r="K985" s="55"/>
      <c r="L985" s="55"/>
      <c r="M985" s="55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82"/>
      <c r="Z985" s="51"/>
      <c r="AA985" s="51"/>
      <c r="AB985" s="51"/>
      <c r="AC985" s="51"/>
      <c r="AD985" s="51"/>
      <c r="AE985" s="51"/>
      <c r="AF985" s="51"/>
      <c r="AG985" s="51"/>
    </row>
    <row r="986" spans="1:33" ht="15.75" customHeight="1">
      <c r="A986" s="51"/>
      <c r="B986" s="51"/>
      <c r="C986" s="51"/>
      <c r="D986" s="51"/>
      <c r="E986" s="51"/>
      <c r="F986" s="51"/>
      <c r="G986" s="51"/>
      <c r="H986" s="51"/>
      <c r="I986" s="51"/>
      <c r="J986" s="55"/>
      <c r="K986" s="55"/>
      <c r="L986" s="55"/>
      <c r="M986" s="55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82"/>
      <c r="Z986" s="51"/>
      <c r="AA986" s="51"/>
      <c r="AB986" s="51"/>
      <c r="AC986" s="51"/>
      <c r="AD986" s="51"/>
      <c r="AE986" s="51"/>
      <c r="AF986" s="51"/>
      <c r="AG986" s="51"/>
    </row>
    <row r="987" spans="1:33" ht="15.75" customHeight="1">
      <c r="A987" s="51"/>
      <c r="B987" s="51"/>
      <c r="C987" s="51"/>
      <c r="D987" s="51"/>
      <c r="E987" s="51"/>
      <c r="F987" s="51"/>
      <c r="G987" s="51"/>
      <c r="H987" s="51"/>
      <c r="I987" s="51"/>
      <c r="J987" s="55"/>
      <c r="K987" s="55"/>
      <c r="L987" s="55"/>
      <c r="M987" s="55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82"/>
      <c r="Z987" s="51"/>
      <c r="AA987" s="51"/>
      <c r="AB987" s="51"/>
      <c r="AC987" s="51"/>
      <c r="AD987" s="51"/>
      <c r="AE987" s="51"/>
      <c r="AF987" s="51"/>
      <c r="AG987" s="51"/>
    </row>
    <row r="988" spans="1:33" ht="15.75" customHeight="1">
      <c r="A988" s="51"/>
      <c r="B988" s="51"/>
      <c r="C988" s="51"/>
      <c r="D988" s="51"/>
      <c r="E988" s="51"/>
      <c r="F988" s="51"/>
      <c r="G988" s="51"/>
      <c r="H988" s="51"/>
      <c r="I988" s="51"/>
      <c r="J988" s="55"/>
      <c r="K988" s="55"/>
      <c r="L988" s="55"/>
      <c r="M988" s="55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82"/>
      <c r="Z988" s="51"/>
      <c r="AA988" s="51"/>
      <c r="AB988" s="51"/>
      <c r="AC988" s="51"/>
      <c r="AD988" s="51"/>
      <c r="AE988" s="51"/>
      <c r="AF988" s="51"/>
      <c r="AG988" s="51"/>
    </row>
    <row r="989" spans="1:33" ht="15.75" customHeight="1">
      <c r="A989" s="51"/>
      <c r="B989" s="51"/>
      <c r="C989" s="51"/>
      <c r="D989" s="51"/>
      <c r="E989" s="51"/>
      <c r="F989" s="51"/>
      <c r="G989" s="51"/>
      <c r="H989" s="51"/>
      <c r="I989" s="51"/>
      <c r="J989" s="55"/>
      <c r="K989" s="55"/>
      <c r="L989" s="55"/>
      <c r="M989" s="55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82"/>
      <c r="Z989" s="51"/>
      <c r="AA989" s="51"/>
      <c r="AB989" s="51"/>
      <c r="AC989" s="51"/>
      <c r="AD989" s="51"/>
      <c r="AE989" s="51"/>
      <c r="AF989" s="51"/>
      <c r="AG989" s="51"/>
    </row>
    <row r="990" spans="1:33" ht="15.75" customHeight="1">
      <c r="A990" s="51"/>
      <c r="B990" s="51"/>
      <c r="C990" s="51"/>
      <c r="D990" s="51"/>
      <c r="E990" s="51"/>
      <c r="F990" s="51"/>
      <c r="G990" s="51"/>
      <c r="H990" s="51"/>
      <c r="I990" s="51"/>
      <c r="J990" s="55"/>
      <c r="K990" s="55"/>
      <c r="L990" s="55"/>
      <c r="M990" s="55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82"/>
      <c r="Z990" s="51"/>
      <c r="AA990" s="51"/>
      <c r="AB990" s="51"/>
      <c r="AC990" s="51"/>
      <c r="AD990" s="51"/>
      <c r="AE990" s="51"/>
      <c r="AF990" s="51"/>
      <c r="AG990" s="51"/>
    </row>
    <row r="991" spans="1:33" ht="15.75" customHeight="1">
      <c r="A991" s="51"/>
      <c r="B991" s="51"/>
      <c r="C991" s="51"/>
      <c r="D991" s="51"/>
      <c r="E991" s="51"/>
      <c r="F991" s="51"/>
      <c r="G991" s="51"/>
      <c r="H991" s="51"/>
      <c r="I991" s="51"/>
      <c r="J991" s="55"/>
      <c r="K991" s="55"/>
      <c r="L991" s="55"/>
      <c r="M991" s="55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82"/>
      <c r="Z991" s="51"/>
      <c r="AA991" s="51"/>
      <c r="AB991" s="51"/>
      <c r="AC991" s="51"/>
      <c r="AD991" s="51"/>
      <c r="AE991" s="51"/>
      <c r="AF991" s="51"/>
      <c r="AG991" s="51"/>
    </row>
    <row r="992" spans="1:33" ht="15.75" customHeight="1">
      <c r="A992" s="51"/>
      <c r="B992" s="51"/>
      <c r="C992" s="51"/>
      <c r="D992" s="51"/>
      <c r="E992" s="51"/>
      <c r="F992" s="51"/>
      <c r="G992" s="51"/>
      <c r="H992" s="51"/>
      <c r="I992" s="51"/>
      <c r="J992" s="55"/>
      <c r="K992" s="55"/>
      <c r="L992" s="55"/>
      <c r="M992" s="55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82"/>
      <c r="Z992" s="51"/>
      <c r="AA992" s="51"/>
      <c r="AB992" s="51"/>
      <c r="AC992" s="51"/>
      <c r="AD992" s="51"/>
      <c r="AE992" s="51"/>
      <c r="AF992" s="51"/>
      <c r="AG992" s="51"/>
    </row>
    <row r="993" spans="1:33" ht="15.75" customHeight="1">
      <c r="A993" s="51"/>
      <c r="B993" s="51"/>
      <c r="C993" s="51"/>
      <c r="D993" s="51"/>
      <c r="E993" s="51"/>
      <c r="F993" s="51"/>
      <c r="G993" s="51"/>
      <c r="H993" s="51"/>
      <c r="I993" s="51"/>
      <c r="J993" s="55"/>
      <c r="K993" s="55"/>
      <c r="L993" s="55"/>
      <c r="M993" s="55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82"/>
      <c r="Z993" s="51"/>
      <c r="AA993" s="51"/>
      <c r="AB993" s="51"/>
      <c r="AC993" s="51"/>
      <c r="AD993" s="51"/>
      <c r="AE993" s="51"/>
      <c r="AF993" s="51"/>
      <c r="AG993" s="51"/>
    </row>
    <row r="994" spans="1:33" ht="15.75" customHeight="1">
      <c r="A994" s="51"/>
      <c r="B994" s="51"/>
      <c r="C994" s="51"/>
      <c r="D994" s="51"/>
      <c r="E994" s="51"/>
      <c r="F994" s="51"/>
      <c r="G994" s="51"/>
      <c r="H994" s="51"/>
      <c r="I994" s="51"/>
      <c r="J994" s="55"/>
      <c r="K994" s="55"/>
      <c r="L994" s="55"/>
      <c r="M994" s="55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82"/>
      <c r="Z994" s="51"/>
      <c r="AA994" s="51"/>
      <c r="AB994" s="51"/>
      <c r="AC994" s="51"/>
      <c r="AD994" s="51"/>
      <c r="AE994" s="51"/>
      <c r="AF994" s="51"/>
      <c r="AG994" s="51"/>
    </row>
    <row r="995" spans="1:33" ht="15.75" customHeight="1">
      <c r="A995" s="51"/>
      <c r="B995" s="51"/>
      <c r="C995" s="51"/>
      <c r="D995" s="51"/>
      <c r="E995" s="51"/>
      <c r="F995" s="51"/>
      <c r="G995" s="51"/>
      <c r="H995" s="51"/>
      <c r="I995" s="51"/>
      <c r="J995" s="55"/>
      <c r="K995" s="55"/>
      <c r="L995" s="55"/>
      <c r="M995" s="55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82"/>
      <c r="Z995" s="51"/>
      <c r="AA995" s="51"/>
      <c r="AB995" s="51"/>
      <c r="AC995" s="51"/>
      <c r="AD995" s="51"/>
      <c r="AE995" s="51"/>
      <c r="AF995" s="51"/>
      <c r="AG995" s="51"/>
    </row>
    <row r="996" spans="1:33" ht="15.75" customHeight="1">
      <c r="A996" s="51"/>
      <c r="B996" s="51"/>
      <c r="C996" s="51"/>
      <c r="D996" s="51"/>
      <c r="E996" s="51"/>
      <c r="F996" s="51"/>
      <c r="G996" s="51"/>
      <c r="H996" s="51"/>
      <c r="I996" s="51"/>
      <c r="J996" s="55"/>
      <c r="K996" s="55"/>
      <c r="L996" s="55"/>
      <c r="M996" s="55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82"/>
      <c r="Z996" s="51"/>
      <c r="AA996" s="51"/>
      <c r="AB996" s="51"/>
      <c r="AC996" s="51"/>
      <c r="AD996" s="51"/>
      <c r="AE996" s="51"/>
      <c r="AF996" s="51"/>
      <c r="AG996" s="51"/>
    </row>
    <row r="997" spans="1:33" ht="15.75" customHeight="1">
      <c r="A997" s="51"/>
      <c r="B997" s="51"/>
      <c r="C997" s="51"/>
      <c r="D997" s="51"/>
      <c r="E997" s="51"/>
      <c r="F997" s="51"/>
      <c r="G997" s="51"/>
      <c r="H997" s="51"/>
      <c r="I997" s="51"/>
      <c r="J997" s="55"/>
      <c r="K997" s="55"/>
      <c r="L997" s="55"/>
      <c r="M997" s="55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82"/>
      <c r="Z997" s="51"/>
      <c r="AA997" s="51"/>
      <c r="AB997" s="51"/>
      <c r="AC997" s="51"/>
      <c r="AD997" s="51"/>
      <c r="AE997" s="51"/>
      <c r="AF997" s="51"/>
      <c r="AG997" s="51"/>
    </row>
    <row r="998" spans="1:33" ht="15.75" customHeight="1">
      <c r="A998" s="51"/>
      <c r="B998" s="51"/>
      <c r="C998" s="51"/>
      <c r="D998" s="51"/>
      <c r="E998" s="51"/>
      <c r="F998" s="51"/>
      <c r="G998" s="51"/>
      <c r="H998" s="51"/>
      <c r="I998" s="51"/>
      <c r="J998" s="55"/>
      <c r="K998" s="55"/>
      <c r="L998" s="55"/>
      <c r="M998" s="55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82"/>
      <c r="Z998" s="51"/>
      <c r="AA998" s="51"/>
      <c r="AB998" s="51"/>
      <c r="AC998" s="51"/>
      <c r="AD998" s="51"/>
      <c r="AE998" s="51"/>
      <c r="AF998" s="51"/>
      <c r="AG998" s="51"/>
    </row>
    <row r="999" spans="1:33" ht="15.75" customHeight="1">
      <c r="A999" s="51"/>
      <c r="B999" s="51"/>
      <c r="C999" s="51"/>
      <c r="D999" s="51"/>
      <c r="E999" s="51"/>
      <c r="F999" s="51"/>
      <c r="G999" s="51"/>
      <c r="H999" s="51"/>
      <c r="I999" s="51"/>
      <c r="J999" s="55"/>
      <c r="K999" s="55"/>
      <c r="L999" s="55"/>
      <c r="M999" s="55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82"/>
      <c r="Z999" s="51"/>
      <c r="AA999" s="51"/>
      <c r="AB999" s="51"/>
      <c r="AC999" s="51"/>
      <c r="AD999" s="51"/>
      <c r="AE999" s="51"/>
      <c r="AF999" s="51"/>
      <c r="AG999" s="51"/>
    </row>
    <row r="1000" spans="1:33" ht="15.75" customHeight="1">
      <c r="A1000" s="51"/>
      <c r="B1000" s="51"/>
      <c r="C1000" s="51"/>
      <c r="D1000" s="51"/>
      <c r="E1000" s="51"/>
      <c r="F1000" s="51"/>
      <c r="G1000" s="51"/>
      <c r="H1000" s="51"/>
      <c r="I1000" s="51"/>
      <c r="J1000" s="55"/>
      <c r="K1000" s="55"/>
      <c r="L1000" s="55"/>
      <c r="M1000" s="55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82"/>
      <c r="Z1000" s="51"/>
      <c r="AA1000" s="51"/>
      <c r="AB1000" s="51"/>
      <c r="AC1000" s="51"/>
      <c r="AD1000" s="51"/>
      <c r="AE1000" s="51"/>
      <c r="AF1000" s="51"/>
      <c r="AG1000" s="51"/>
    </row>
    <row r="1001" spans="1:33" ht="15.75" customHeight="1">
      <c r="A1001" s="51"/>
      <c r="B1001" s="51"/>
      <c r="C1001" s="51"/>
      <c r="D1001" s="51"/>
      <c r="E1001" s="51"/>
      <c r="F1001" s="51"/>
      <c r="G1001" s="51"/>
      <c r="H1001" s="51"/>
      <c r="I1001" s="51"/>
      <c r="J1001" s="55"/>
      <c r="K1001" s="55"/>
      <c r="L1001" s="55"/>
      <c r="M1001" s="55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82"/>
      <c r="Z1001" s="51"/>
      <c r="AA1001" s="51"/>
      <c r="AB1001" s="51"/>
      <c r="AC1001" s="51"/>
      <c r="AD1001" s="51"/>
      <c r="AE1001" s="51"/>
      <c r="AF1001" s="51"/>
      <c r="AG1001" s="51"/>
    </row>
    <row r="1002" spans="1:33" ht="15.75" customHeight="1">
      <c r="A1002" s="51"/>
      <c r="B1002" s="51"/>
      <c r="C1002" s="51"/>
      <c r="D1002" s="51"/>
      <c r="E1002" s="51"/>
      <c r="F1002" s="51"/>
      <c r="G1002" s="51"/>
      <c r="H1002" s="51"/>
      <c r="I1002" s="51"/>
      <c r="J1002" s="55"/>
      <c r="K1002" s="55"/>
      <c r="L1002" s="55"/>
      <c r="M1002" s="55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82"/>
      <c r="Z1002" s="51"/>
      <c r="AA1002" s="51"/>
      <c r="AB1002" s="51"/>
      <c r="AC1002" s="51"/>
      <c r="AD1002" s="51"/>
      <c r="AE1002" s="51"/>
      <c r="AF1002" s="51"/>
      <c r="AG1002" s="51"/>
    </row>
    <row r="1003" spans="1:33" ht="15.75" customHeight="1">
      <c r="A1003" s="51"/>
      <c r="B1003" s="51"/>
      <c r="C1003" s="51"/>
      <c r="D1003" s="51"/>
      <c r="E1003" s="51"/>
      <c r="F1003" s="51"/>
      <c r="G1003" s="51"/>
      <c r="H1003" s="51"/>
      <c r="I1003" s="51"/>
      <c r="J1003" s="55"/>
      <c r="K1003" s="55"/>
      <c r="L1003" s="55"/>
      <c r="M1003" s="55"/>
      <c r="N1003" s="51"/>
      <c r="O1003" s="51"/>
      <c r="P1003" s="51"/>
      <c r="Q1003" s="51"/>
      <c r="R1003" s="51"/>
      <c r="S1003" s="51"/>
      <c r="T1003" s="51"/>
      <c r="U1003" s="51"/>
      <c r="V1003" s="51"/>
      <c r="W1003" s="51"/>
      <c r="X1003" s="51"/>
      <c r="Y1003" s="82"/>
      <c r="Z1003" s="51"/>
      <c r="AA1003" s="51"/>
      <c r="AB1003" s="51"/>
      <c r="AC1003" s="51"/>
      <c r="AD1003" s="51"/>
      <c r="AE1003" s="51"/>
      <c r="AF1003" s="51"/>
      <c r="AG1003" s="51"/>
    </row>
    <row r="1004" spans="1:33" ht="15.75" customHeight="1">
      <c r="A1004" s="51"/>
      <c r="B1004" s="51"/>
      <c r="C1004" s="51"/>
      <c r="D1004" s="51"/>
      <c r="E1004" s="51"/>
      <c r="F1004" s="51"/>
      <c r="G1004" s="51"/>
      <c r="H1004" s="51"/>
      <c r="I1004" s="51"/>
      <c r="J1004" s="55"/>
      <c r="K1004" s="55"/>
      <c r="L1004" s="55"/>
      <c r="M1004" s="55"/>
      <c r="N1004" s="51"/>
      <c r="O1004" s="51"/>
      <c r="P1004" s="51"/>
      <c r="Q1004" s="51"/>
      <c r="R1004" s="51"/>
      <c r="S1004" s="51"/>
      <c r="T1004" s="51"/>
      <c r="U1004" s="51"/>
      <c r="V1004" s="51"/>
      <c r="W1004" s="51"/>
      <c r="X1004" s="51"/>
      <c r="Y1004" s="82"/>
      <c r="Z1004" s="51"/>
      <c r="AA1004" s="51"/>
      <c r="AB1004" s="51"/>
      <c r="AC1004" s="51"/>
      <c r="AD1004" s="51"/>
      <c r="AE1004" s="51"/>
      <c r="AF1004" s="51"/>
      <c r="AG1004" s="51"/>
    </row>
    <row r="1005" spans="1:33" ht="15.75" customHeight="1">
      <c r="A1005" s="51"/>
      <c r="B1005" s="51"/>
      <c r="C1005" s="51"/>
      <c r="D1005" s="51"/>
      <c r="E1005" s="51"/>
      <c r="F1005" s="51"/>
      <c r="G1005" s="51"/>
      <c r="H1005" s="51"/>
      <c r="I1005" s="51"/>
      <c r="J1005" s="55"/>
      <c r="K1005" s="55"/>
      <c r="L1005" s="55"/>
      <c r="M1005" s="55"/>
      <c r="N1005" s="51"/>
      <c r="O1005" s="51"/>
      <c r="P1005" s="51"/>
      <c r="Q1005" s="51"/>
      <c r="R1005" s="51"/>
      <c r="S1005" s="51"/>
      <c r="T1005" s="51"/>
      <c r="U1005" s="51"/>
      <c r="V1005" s="51"/>
      <c r="W1005" s="51"/>
      <c r="X1005" s="51"/>
      <c r="Y1005" s="82"/>
      <c r="Z1005" s="51"/>
      <c r="AA1005" s="51"/>
      <c r="AB1005" s="51"/>
      <c r="AC1005" s="51"/>
      <c r="AD1005" s="51"/>
      <c r="AE1005" s="51"/>
      <c r="AF1005" s="51"/>
      <c r="AG1005" s="51"/>
    </row>
  </sheetData>
  <autoFilter ref="A2:M506">
    <sortState ref="A152:M183">
      <sortCondition descending="1" ref="J2:J506"/>
    </sortState>
  </autoFilter>
  <mergeCells count="1">
    <mergeCell ref="A1:D1"/>
  </mergeCells>
  <conditionalFormatting sqref="M3:M146 M152:M506">
    <cfRule type="expression" dxfId="6" priority="7">
      <formula>IF(OR(E3=3691,E3=3692,E3=3693,E3=3694),1,0)</formula>
    </cfRule>
  </conditionalFormatting>
  <conditionalFormatting sqref="M147">
    <cfRule type="expression" dxfId="5" priority="5">
      <formula>IF(OR(E147=3691,E147=3692,E147=3693,E147=3694),1,0)</formula>
    </cfRule>
  </conditionalFormatting>
  <conditionalFormatting sqref="M148">
    <cfRule type="expression" dxfId="4" priority="4">
      <formula>IF(OR(E148=3691,E148=3692,E148=3693,E148=3694),1,0)</formula>
    </cfRule>
  </conditionalFormatting>
  <conditionalFormatting sqref="M149">
    <cfRule type="expression" dxfId="3" priority="3">
      <formula>IF(OR(E149=3691,E149=3692,E149=3693,E149=3694),1,0)</formula>
    </cfRule>
  </conditionalFormatting>
  <conditionalFormatting sqref="M150">
    <cfRule type="expression" dxfId="2" priority="2">
      <formula>IF(OR(E150=3691,E150=3692,E150=3693,E150=3694),1,0)</formula>
    </cfRule>
  </conditionalFormatting>
  <conditionalFormatting sqref="M151">
    <cfRule type="expression" dxfId="1" priority="1">
      <formula>IF(OR(E151=3691,E151=3692,E151=3693,E151=3694),1,0)</formula>
    </cfRule>
  </conditionalFormatting>
  <dataValidations count="4">
    <dataValidation type="list" allowBlank="1" showInputMessage="1" showErrorMessage="1" prompt="Molimo odaberite vrijednost iz padajućeg izbornika!" sqref="E3:E506">
      <formula1>$V$5:$V$129</formula1>
    </dataValidation>
    <dataValidation type="decimal" allowBlank="1" showInputMessage="1" showErrorMessage="1" prompt="GREŠKA - U ovo polje je dozvoljen unos samo brojčanih vrijednosti (bez decimala!)" sqref="J3:L506">
      <formula1>0</formula1>
      <formula2>10000000000</formula2>
    </dataValidation>
    <dataValidation type="list" allowBlank="1" showInputMessage="1" showErrorMessage="1" prompt="Molimo odaberite vrijednost iz padajućeg izbornika!" sqref="C3:C506">
      <formula1>$S$6:$S$24</formula1>
    </dataValidation>
    <dataValidation type="list" allowBlank="1" showInputMessage="1" showErrorMessage="1" prompt="Molimo odaberite vrijednost iz padajućeg izbornika!" sqref="G3:G506">
      <formula1>$AB$6:$AB$332</formula1>
    </dataValidation>
  </dataValidations>
  <pageMargins left="0.70866141732283472" right="0.70866141732283472" top="0.74803149606299213" bottom="0.74803149606299213" header="0" footer="0"/>
  <pageSetup paperSize="9"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IF(OR(E3=3691,E3=3692,E3=3693,E3=3694),'KORISNICI DP'!$D$4:$D$614,$M$1)</xm:f>
          </x14:formula1>
          <xm:sqref>M3:M506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95"/>
  <sheetViews>
    <sheetView showGridLines="0" workbookViewId="0">
      <pane ySplit="2" topLeftCell="A3" activePane="bottomLeft" state="frozen"/>
      <selection pane="bottomLeft" activeCell="P293" sqref="A1:P293"/>
    </sheetView>
  </sheetViews>
  <sheetFormatPr defaultColWidth="14.42578125" defaultRowHeight="15" customHeight="1"/>
  <cols>
    <col min="1" max="1" width="8" customWidth="1"/>
    <col min="2" max="2" width="13.28515625" customWidth="1"/>
    <col min="3" max="3" width="9.28515625" customWidth="1"/>
    <col min="4" max="4" width="12.5703125" customWidth="1"/>
    <col min="5" max="5" width="13.28515625" customWidth="1"/>
    <col min="6" max="6" width="30.28515625" customWidth="1"/>
    <col min="7" max="7" width="6.140625" customWidth="1"/>
    <col min="8" max="10" width="13.42578125" customWidth="1"/>
    <col min="11" max="11" width="28.28515625" customWidth="1"/>
    <col min="12" max="13" width="9.5703125" customWidth="1"/>
    <col min="14" max="14" width="15.140625" customWidth="1"/>
    <col min="15" max="15" width="14.85546875" customWidth="1"/>
    <col min="16" max="16" width="36.42578125" customWidth="1"/>
    <col min="17" max="17" width="9.140625" customWidth="1"/>
    <col min="18" max="21" width="9.140625" hidden="1" customWidth="1"/>
    <col min="22" max="22" width="46.5703125" hidden="1" customWidth="1"/>
    <col min="23" max="24" width="9.140625" hidden="1" customWidth="1"/>
    <col min="25" max="25" width="58.85546875" hidden="1" customWidth="1"/>
    <col min="26" max="29" width="9.140625" hidden="1" customWidth="1"/>
    <col min="30" max="30" width="14.7109375" hidden="1" customWidth="1"/>
    <col min="31" max="33" width="8.7109375" hidden="1" customWidth="1"/>
  </cols>
  <sheetData>
    <row r="1" spans="1:33" ht="35.25" customHeight="1">
      <c r="A1" s="311" t="s">
        <v>1389</v>
      </c>
      <c r="B1" s="307"/>
      <c r="C1" s="54" t="str">
        <f>IF(OR('OPĆI DIO'!A3="odaberite -",'OPĆI DIO'!A3=""),"Molimo odaberite proračunskog korisnika na radnom listu Opći podaci!","")</f>
        <v>Molimo odaberite proračunskog korisnika na radnom listu Opći podaci!</v>
      </c>
      <c r="D1" s="51"/>
      <c r="E1" s="51"/>
      <c r="F1" s="51"/>
      <c r="G1" s="51"/>
      <c r="H1" s="55"/>
      <c r="I1" s="55"/>
      <c r="J1" s="23" t="s">
        <v>56</v>
      </c>
      <c r="K1" s="55"/>
      <c r="L1" s="55"/>
      <c r="M1" s="55"/>
      <c r="N1" s="55"/>
      <c r="O1" s="55"/>
      <c r="P1" s="55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2" spans="1:33" ht="60">
      <c r="A2" s="57" t="s">
        <v>619</v>
      </c>
      <c r="B2" s="56" t="s">
        <v>472</v>
      </c>
      <c r="C2" s="57" t="s">
        <v>473</v>
      </c>
      <c r="D2" s="56" t="s">
        <v>474</v>
      </c>
      <c r="E2" s="57" t="s">
        <v>1390</v>
      </c>
      <c r="F2" s="56" t="s">
        <v>621</v>
      </c>
      <c r="G2" s="87" t="s">
        <v>622</v>
      </c>
      <c r="H2" s="58" t="s">
        <v>475</v>
      </c>
      <c r="I2" s="58" t="s">
        <v>61</v>
      </c>
      <c r="J2" s="58" t="s">
        <v>62</v>
      </c>
      <c r="K2" s="88" t="s">
        <v>1391</v>
      </c>
      <c r="L2" s="88" t="s">
        <v>1392</v>
      </c>
      <c r="M2" s="88" t="s">
        <v>1393</v>
      </c>
      <c r="N2" s="88" t="s">
        <v>1394</v>
      </c>
      <c r="O2" s="88" t="s">
        <v>1395</v>
      </c>
      <c r="P2" s="59" t="s">
        <v>623</v>
      </c>
      <c r="Q2" s="51"/>
      <c r="R2" s="60" t="s">
        <v>477</v>
      </c>
      <c r="S2" s="60" t="s">
        <v>478</v>
      </c>
      <c r="T2" s="83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>
      <c r="A3" s="84">
        <v>51</v>
      </c>
      <c r="B3" s="79" t="str">
        <f t="shared" ref="B3:B501" si="0">IFERROR(VLOOKUP(A3,$U$6:$V$23,2,FALSE),"")</f>
        <v>Pomoći EU</v>
      </c>
      <c r="C3" s="84">
        <v>3111</v>
      </c>
      <c r="D3" s="79" t="str">
        <f t="shared" ref="D3:D501" si="1">IFERROR(VLOOKUP(C3,$X$5:$Z$129,2,FALSE),"")</f>
        <v>Plaće za redovan rad</v>
      </c>
      <c r="E3" s="84" t="s">
        <v>1396</v>
      </c>
      <c r="F3" s="79" t="str">
        <f t="shared" ref="F3:F501" si="2">IFERROR(VLOOKUP(E3,$AD$6:$AE$1090,2,FALSE),"")</f>
        <v>AIDAInnova- Napredak i inovacije za detektore</v>
      </c>
      <c r="G3" s="79" t="str">
        <f t="shared" ref="G3:G501" si="3">IFERROR(VLOOKUP(E3,$AD$6:$AG$1090,4,FALSE),"")</f>
        <v>0150</v>
      </c>
      <c r="H3" s="67">
        <v>22546</v>
      </c>
      <c r="I3" s="67">
        <v>22546</v>
      </c>
      <c r="J3" s="67">
        <v>11273</v>
      </c>
      <c r="K3" s="89" t="s">
        <v>1397</v>
      </c>
      <c r="L3" s="90">
        <v>44287</v>
      </c>
      <c r="M3" s="90">
        <v>45747</v>
      </c>
      <c r="N3" s="89" t="s">
        <v>1398</v>
      </c>
      <c r="O3" s="73" t="s">
        <v>1397</v>
      </c>
      <c r="P3" s="68"/>
      <c r="Q3" s="51"/>
      <c r="R3" s="51" t="str">
        <f t="shared" ref="R3:R501" si="4">LEFT(C3,3)</f>
        <v>311</v>
      </c>
      <c r="S3" s="51" t="str">
        <f t="shared" ref="S3:S501" si="5">LEFT(C3,2)</f>
        <v>31</v>
      </c>
      <c r="T3" s="51" t="str">
        <f t="shared" ref="T3:T501" si="6">MID(G3,2,2)</f>
        <v>15</v>
      </c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</row>
    <row r="4" spans="1:33">
      <c r="A4" s="84">
        <v>51</v>
      </c>
      <c r="B4" s="79" t="str">
        <f t="shared" si="0"/>
        <v>Pomoći EU</v>
      </c>
      <c r="C4" s="84">
        <v>3132</v>
      </c>
      <c r="D4" s="79" t="str">
        <f t="shared" si="1"/>
        <v>Doprinosi za obvezno zdravstveno osiguranje</v>
      </c>
      <c r="E4" s="84" t="s">
        <v>1396</v>
      </c>
      <c r="F4" s="79" t="str">
        <f t="shared" si="2"/>
        <v>AIDAInnova- Napredak i inovacije za detektore</v>
      </c>
      <c r="G4" s="79" t="str">
        <f t="shared" si="3"/>
        <v>0150</v>
      </c>
      <c r="H4" s="67">
        <v>3758</v>
      </c>
      <c r="I4" s="67">
        <v>3758</v>
      </c>
      <c r="J4" s="67">
        <v>1879</v>
      </c>
      <c r="K4" s="89" t="s">
        <v>1397</v>
      </c>
      <c r="L4" s="90">
        <v>44287</v>
      </c>
      <c r="M4" s="90">
        <v>45747</v>
      </c>
      <c r="N4" s="89" t="s">
        <v>1398</v>
      </c>
      <c r="O4" s="73" t="s">
        <v>1397</v>
      </c>
      <c r="P4" s="68"/>
      <c r="Q4" s="51"/>
      <c r="R4" s="51" t="str">
        <f t="shared" si="4"/>
        <v>313</v>
      </c>
      <c r="S4" s="51" t="str">
        <f t="shared" si="5"/>
        <v>31</v>
      </c>
      <c r="T4" s="51" t="str">
        <f t="shared" si="6"/>
        <v>15</v>
      </c>
      <c r="U4" s="51"/>
      <c r="V4" s="51"/>
      <c r="W4" s="51"/>
      <c r="X4" s="85"/>
      <c r="Y4" s="85"/>
      <c r="Z4" s="51"/>
      <c r="AA4" s="51"/>
      <c r="AB4" s="51"/>
      <c r="AC4" s="51"/>
      <c r="AD4" s="51"/>
      <c r="AE4" s="51"/>
      <c r="AF4" s="51"/>
      <c r="AG4" s="51"/>
    </row>
    <row r="5" spans="1:33">
      <c r="A5" s="84">
        <v>51</v>
      </c>
      <c r="B5" s="79" t="str">
        <f t="shared" si="0"/>
        <v>Pomoći EU</v>
      </c>
      <c r="C5" s="84">
        <v>3211</v>
      </c>
      <c r="D5" s="79" t="str">
        <f t="shared" si="1"/>
        <v>Službena putovanja</v>
      </c>
      <c r="E5" s="84" t="s">
        <v>1396</v>
      </c>
      <c r="F5" s="79" t="str">
        <f t="shared" si="2"/>
        <v>AIDAInnova- Napredak i inovacije za detektore</v>
      </c>
      <c r="G5" s="79" t="str">
        <f t="shared" si="3"/>
        <v>0150</v>
      </c>
      <c r="H5" s="67">
        <v>2505</v>
      </c>
      <c r="I5" s="67">
        <v>2505</v>
      </c>
      <c r="J5" s="67">
        <v>1253</v>
      </c>
      <c r="K5" s="89" t="s">
        <v>1397</v>
      </c>
      <c r="L5" s="90">
        <v>44287</v>
      </c>
      <c r="M5" s="90">
        <v>45747</v>
      </c>
      <c r="N5" s="89" t="s">
        <v>1398</v>
      </c>
      <c r="O5" s="73" t="s">
        <v>1397</v>
      </c>
      <c r="P5" s="68"/>
      <c r="Q5" s="51"/>
      <c r="R5" s="51" t="str">
        <f t="shared" si="4"/>
        <v>321</v>
      </c>
      <c r="S5" s="51" t="str">
        <f t="shared" si="5"/>
        <v>32</v>
      </c>
      <c r="T5" s="51" t="str">
        <f t="shared" si="6"/>
        <v>15</v>
      </c>
      <c r="U5" s="51" t="s">
        <v>471</v>
      </c>
      <c r="V5" s="51" t="s">
        <v>472</v>
      </c>
      <c r="W5" s="51"/>
      <c r="X5" s="51">
        <v>3111</v>
      </c>
      <c r="Y5" s="51" t="s">
        <v>626</v>
      </c>
      <c r="Z5" s="51"/>
      <c r="AA5" s="51" t="str">
        <f t="shared" ref="AA5:AA129" si="7">LEFT(X5,2)</f>
        <v>31</v>
      </c>
      <c r="AB5" s="51" t="str">
        <f t="shared" ref="AB5:AB129" si="8">LEFT(X5,3)</f>
        <v>311</v>
      </c>
      <c r="AC5" s="51"/>
      <c r="AD5" s="51" t="s">
        <v>627</v>
      </c>
      <c r="AE5" s="51" t="s">
        <v>621</v>
      </c>
      <c r="AF5" s="51"/>
      <c r="AG5" s="51"/>
    </row>
    <row r="6" spans="1:33">
      <c r="A6" s="84">
        <v>51</v>
      </c>
      <c r="B6" s="79" t="str">
        <f t="shared" si="0"/>
        <v>Pomoći EU</v>
      </c>
      <c r="C6" s="84">
        <v>3222</v>
      </c>
      <c r="D6" s="79" t="str">
        <f t="shared" si="1"/>
        <v>Materijal i sirovine</v>
      </c>
      <c r="E6" s="84" t="s">
        <v>1396</v>
      </c>
      <c r="F6" s="79" t="str">
        <f t="shared" si="2"/>
        <v>AIDAInnova- Napredak i inovacije za detektore</v>
      </c>
      <c r="G6" s="79" t="str">
        <f t="shared" si="3"/>
        <v>0150</v>
      </c>
      <c r="H6" s="67">
        <v>6263</v>
      </c>
      <c r="I6" s="67">
        <v>6263</v>
      </c>
      <c r="J6" s="67">
        <v>3131</v>
      </c>
      <c r="K6" s="89" t="s">
        <v>1397</v>
      </c>
      <c r="L6" s="90">
        <v>44287</v>
      </c>
      <c r="M6" s="90">
        <v>45747</v>
      </c>
      <c r="N6" s="89" t="s">
        <v>1398</v>
      </c>
      <c r="O6" s="73" t="s">
        <v>1397</v>
      </c>
      <c r="P6" s="68"/>
      <c r="Q6" s="51"/>
      <c r="R6" s="51" t="str">
        <f t="shared" si="4"/>
        <v>322</v>
      </c>
      <c r="S6" s="51" t="str">
        <f t="shared" si="5"/>
        <v>32</v>
      </c>
      <c r="T6" s="51" t="str">
        <f t="shared" si="6"/>
        <v>15</v>
      </c>
      <c r="U6" s="51">
        <v>11</v>
      </c>
      <c r="V6" s="51" t="s">
        <v>487</v>
      </c>
      <c r="W6" s="51"/>
      <c r="X6" s="51">
        <v>3112</v>
      </c>
      <c r="Y6" s="51" t="s">
        <v>628</v>
      </c>
      <c r="Z6" s="51"/>
      <c r="AA6" s="51" t="str">
        <f t="shared" si="7"/>
        <v>31</v>
      </c>
      <c r="AB6" s="51" t="str">
        <f t="shared" si="8"/>
        <v>311</v>
      </c>
      <c r="AC6" s="51"/>
      <c r="AD6" s="51" t="s">
        <v>1399</v>
      </c>
      <c r="AE6" s="51" t="s">
        <v>1399</v>
      </c>
      <c r="AF6" s="51" t="s">
        <v>1399</v>
      </c>
      <c r="AG6" s="51" t="s">
        <v>1399</v>
      </c>
    </row>
    <row r="7" spans="1:33">
      <c r="A7" s="84">
        <v>51</v>
      </c>
      <c r="B7" s="79" t="str">
        <f t="shared" si="0"/>
        <v>Pomoći EU</v>
      </c>
      <c r="C7" s="84">
        <v>3299</v>
      </c>
      <c r="D7" s="79" t="str">
        <f t="shared" si="1"/>
        <v>Ostali nespomenuti rashodi poslovanja</v>
      </c>
      <c r="E7" s="84" t="s">
        <v>1396</v>
      </c>
      <c r="F7" s="79" t="str">
        <f t="shared" si="2"/>
        <v>AIDAInnova- Napredak i inovacije za detektore</v>
      </c>
      <c r="G7" s="79" t="str">
        <f t="shared" si="3"/>
        <v>0150</v>
      </c>
      <c r="H7" s="67">
        <v>20667</v>
      </c>
      <c r="I7" s="67">
        <v>20667</v>
      </c>
      <c r="J7" s="67">
        <v>10334</v>
      </c>
      <c r="K7" s="89" t="s">
        <v>1397</v>
      </c>
      <c r="L7" s="90">
        <v>44287</v>
      </c>
      <c r="M7" s="90">
        <v>45747</v>
      </c>
      <c r="N7" s="89" t="s">
        <v>1398</v>
      </c>
      <c r="O7" s="73" t="s">
        <v>1397</v>
      </c>
      <c r="P7" s="68"/>
      <c r="Q7" s="51"/>
      <c r="R7" s="51" t="str">
        <f t="shared" si="4"/>
        <v>329</v>
      </c>
      <c r="S7" s="51" t="str">
        <f t="shared" si="5"/>
        <v>32</v>
      </c>
      <c r="T7" s="51" t="str">
        <f t="shared" si="6"/>
        <v>15</v>
      </c>
      <c r="U7" s="51">
        <v>12</v>
      </c>
      <c r="V7" s="51" t="s">
        <v>489</v>
      </c>
      <c r="W7" s="51"/>
      <c r="X7" s="51">
        <v>3113</v>
      </c>
      <c r="Y7" s="51" t="s">
        <v>631</v>
      </c>
      <c r="Z7" s="51"/>
      <c r="AA7" s="51" t="str">
        <f t="shared" si="7"/>
        <v>31</v>
      </c>
      <c r="AB7" s="51" t="str">
        <f t="shared" si="8"/>
        <v>311</v>
      </c>
      <c r="AC7" s="51"/>
      <c r="AD7" s="51" t="s">
        <v>1400</v>
      </c>
      <c r="AE7" s="51" t="s">
        <v>1401</v>
      </c>
      <c r="AF7" s="51" t="str">
        <f t="shared" ref="AF7:AF1090" si="9">LEFT(AD7,7)</f>
        <v>K578051</v>
      </c>
      <c r="AG7" s="51" t="str">
        <f>VLOOKUP(AF7,AKT!$C$4:$E$324,3,FALSE)</f>
        <v>0150</v>
      </c>
    </row>
    <row r="8" spans="1:33">
      <c r="A8" s="84">
        <v>51</v>
      </c>
      <c r="B8" s="79" t="str">
        <f t="shared" si="0"/>
        <v>Pomoći EU</v>
      </c>
      <c r="C8" s="84">
        <v>4224</v>
      </c>
      <c r="D8" s="79" t="str">
        <f t="shared" si="1"/>
        <v>Medicinska i laboratorijska oprema</v>
      </c>
      <c r="E8" s="84" t="s">
        <v>1396</v>
      </c>
      <c r="F8" s="79" t="str">
        <f t="shared" si="2"/>
        <v>AIDAInnova- Napredak i inovacije za detektore</v>
      </c>
      <c r="G8" s="79" t="str">
        <f t="shared" si="3"/>
        <v>0150</v>
      </c>
      <c r="H8" s="67">
        <v>6889</v>
      </c>
      <c r="I8" s="67">
        <v>6889</v>
      </c>
      <c r="J8" s="67">
        <v>3445</v>
      </c>
      <c r="K8" s="89" t="s">
        <v>1397</v>
      </c>
      <c r="L8" s="90">
        <v>44287</v>
      </c>
      <c r="M8" s="90">
        <v>45747</v>
      </c>
      <c r="N8" s="89" t="s">
        <v>1398</v>
      </c>
      <c r="O8" s="73" t="s">
        <v>1397</v>
      </c>
      <c r="P8" s="68"/>
      <c r="Q8" s="51"/>
      <c r="R8" s="51" t="str">
        <f t="shared" si="4"/>
        <v>422</v>
      </c>
      <c r="S8" s="51" t="str">
        <f t="shared" si="5"/>
        <v>42</v>
      </c>
      <c r="T8" s="51" t="str">
        <f t="shared" si="6"/>
        <v>15</v>
      </c>
      <c r="U8" s="51">
        <v>31</v>
      </c>
      <c r="V8" s="51" t="s">
        <v>490</v>
      </c>
      <c r="W8" s="51"/>
      <c r="X8" s="51">
        <v>3114</v>
      </c>
      <c r="Y8" s="51" t="s">
        <v>638</v>
      </c>
      <c r="Z8" s="51"/>
      <c r="AA8" s="51" t="str">
        <f t="shared" si="7"/>
        <v>31</v>
      </c>
      <c r="AB8" s="51" t="str">
        <f t="shared" si="8"/>
        <v>311</v>
      </c>
      <c r="AC8" s="51"/>
      <c r="AD8" s="51" t="s">
        <v>1402</v>
      </c>
      <c r="AE8" s="51" t="s">
        <v>1403</v>
      </c>
      <c r="AF8" s="51" t="str">
        <f t="shared" si="9"/>
        <v>K578051</v>
      </c>
      <c r="AG8" s="51" t="str">
        <f>VLOOKUP(AF8,AKT!$C$4:$E$324,3,FALSE)</f>
        <v>0150</v>
      </c>
    </row>
    <row r="9" spans="1:33">
      <c r="A9" s="84">
        <v>51</v>
      </c>
      <c r="B9" s="79" t="str">
        <f t="shared" si="0"/>
        <v>Pomoći EU</v>
      </c>
      <c r="C9" s="84">
        <v>3111</v>
      </c>
      <c r="D9" s="79" t="str">
        <f t="shared" si="1"/>
        <v>Plaće za redovan rad</v>
      </c>
      <c r="E9" s="84" t="s">
        <v>1404</v>
      </c>
      <c r="F9" s="79" t="str">
        <f t="shared" si="2"/>
        <v>AIMed - Antimikrobne integrirane metodologije za ortopedske primjene</v>
      </c>
      <c r="G9" s="79" t="str">
        <f t="shared" si="3"/>
        <v>0150</v>
      </c>
      <c r="H9" s="67">
        <v>23704</v>
      </c>
      <c r="I9" s="67">
        <v>0</v>
      </c>
      <c r="J9" s="67">
        <v>0</v>
      </c>
      <c r="K9" s="89" t="s">
        <v>1405</v>
      </c>
      <c r="L9" s="90">
        <v>43831</v>
      </c>
      <c r="M9" s="90">
        <v>45291</v>
      </c>
      <c r="N9" s="89" t="s">
        <v>1398</v>
      </c>
      <c r="O9" s="73" t="s">
        <v>1405</v>
      </c>
      <c r="P9" s="68"/>
      <c r="Q9" s="51"/>
      <c r="R9" s="51" t="str">
        <f t="shared" si="4"/>
        <v>311</v>
      </c>
      <c r="S9" s="51" t="str">
        <f t="shared" si="5"/>
        <v>31</v>
      </c>
      <c r="T9" s="51" t="str">
        <f t="shared" si="6"/>
        <v>15</v>
      </c>
      <c r="U9" s="69">
        <v>41</v>
      </c>
      <c r="V9" s="69" t="s">
        <v>492</v>
      </c>
      <c r="W9" s="51"/>
      <c r="X9" s="51">
        <v>3121</v>
      </c>
      <c r="Y9" s="51" t="s">
        <v>645</v>
      </c>
      <c r="Z9" s="51"/>
      <c r="AA9" s="51" t="str">
        <f t="shared" si="7"/>
        <v>31</v>
      </c>
      <c r="AB9" s="51" t="str">
        <f t="shared" si="8"/>
        <v>312</v>
      </c>
      <c r="AC9" s="51"/>
      <c r="AD9" s="51" t="s">
        <v>1406</v>
      </c>
      <c r="AE9" s="51" t="s">
        <v>1407</v>
      </c>
      <c r="AF9" s="51" t="str">
        <f t="shared" si="9"/>
        <v>K578051</v>
      </c>
      <c r="AG9" s="51" t="str">
        <f>VLOOKUP(AF9,AKT!$C$4:$E$324,3,FALSE)</f>
        <v>0150</v>
      </c>
    </row>
    <row r="10" spans="1:33">
      <c r="A10" s="84">
        <v>51</v>
      </c>
      <c r="B10" s="79" t="str">
        <f t="shared" si="0"/>
        <v>Pomoći EU</v>
      </c>
      <c r="C10" s="84">
        <v>3132</v>
      </c>
      <c r="D10" s="79" t="str">
        <f t="shared" si="1"/>
        <v>Doprinosi za obvezno zdravstveno osiguranje</v>
      </c>
      <c r="E10" s="84" t="s">
        <v>1404</v>
      </c>
      <c r="F10" s="79" t="str">
        <f t="shared" si="2"/>
        <v>AIMed - Antimikrobne integrirane metodologije za ortopedske primjene</v>
      </c>
      <c r="G10" s="79" t="str">
        <f t="shared" si="3"/>
        <v>0150</v>
      </c>
      <c r="H10" s="67">
        <v>3951</v>
      </c>
      <c r="I10" s="67">
        <v>0</v>
      </c>
      <c r="J10" s="67">
        <v>0</v>
      </c>
      <c r="K10" s="89" t="s">
        <v>1405</v>
      </c>
      <c r="L10" s="90">
        <v>43831</v>
      </c>
      <c r="M10" s="90">
        <v>45291</v>
      </c>
      <c r="N10" s="89" t="s">
        <v>1398</v>
      </c>
      <c r="O10" s="73" t="s">
        <v>1405</v>
      </c>
      <c r="P10" s="68"/>
      <c r="Q10" s="51"/>
      <c r="R10" s="51" t="str">
        <f t="shared" si="4"/>
        <v>313</v>
      </c>
      <c r="S10" s="51" t="str">
        <f t="shared" si="5"/>
        <v>31</v>
      </c>
      <c r="T10" s="51" t="str">
        <f t="shared" si="6"/>
        <v>15</v>
      </c>
      <c r="U10" s="51">
        <v>43</v>
      </c>
      <c r="V10" s="51" t="s">
        <v>495</v>
      </c>
      <c r="W10" s="51"/>
      <c r="X10" s="51">
        <v>3132</v>
      </c>
      <c r="Y10" s="51" t="s">
        <v>651</v>
      </c>
      <c r="Z10" s="51"/>
      <c r="AA10" s="51" t="str">
        <f t="shared" si="7"/>
        <v>31</v>
      </c>
      <c r="AB10" s="51" t="str">
        <f t="shared" si="8"/>
        <v>313</v>
      </c>
      <c r="AC10" s="51"/>
      <c r="AD10" s="51" t="s">
        <v>1408</v>
      </c>
      <c r="AE10" s="51" t="s">
        <v>1409</v>
      </c>
      <c r="AF10" s="51" t="str">
        <f t="shared" si="9"/>
        <v>K578051</v>
      </c>
      <c r="AG10" s="51" t="str">
        <f>VLOOKUP(AF10,AKT!$C$4:$E$324,3,FALSE)</f>
        <v>0150</v>
      </c>
    </row>
    <row r="11" spans="1:33">
      <c r="A11" s="84">
        <v>51</v>
      </c>
      <c r="B11" s="79" t="str">
        <f t="shared" si="0"/>
        <v>Pomoći EU</v>
      </c>
      <c r="C11" s="84">
        <v>3211</v>
      </c>
      <c r="D11" s="79" t="str">
        <f t="shared" si="1"/>
        <v>Službena putovanja</v>
      </c>
      <c r="E11" s="84" t="s">
        <v>1404</v>
      </c>
      <c r="F11" s="79" t="str">
        <f t="shared" si="2"/>
        <v>AIMed - Antimikrobne integrirane metodologije za ortopedske primjene</v>
      </c>
      <c r="G11" s="79" t="str">
        <f t="shared" si="3"/>
        <v>0150</v>
      </c>
      <c r="H11" s="67">
        <v>2634</v>
      </c>
      <c r="I11" s="67">
        <v>0</v>
      </c>
      <c r="J11" s="67">
        <v>0</v>
      </c>
      <c r="K11" s="89" t="s">
        <v>1405</v>
      </c>
      <c r="L11" s="90">
        <v>43831</v>
      </c>
      <c r="M11" s="90">
        <v>45291</v>
      </c>
      <c r="N11" s="89" t="s">
        <v>1398</v>
      </c>
      <c r="O11" s="73" t="s">
        <v>1405</v>
      </c>
      <c r="P11" s="68"/>
      <c r="Q11" s="51"/>
      <c r="R11" s="51" t="str">
        <f t="shared" si="4"/>
        <v>321</v>
      </c>
      <c r="S11" s="51" t="str">
        <f t="shared" si="5"/>
        <v>32</v>
      </c>
      <c r="T11" s="51" t="str">
        <f t="shared" si="6"/>
        <v>15</v>
      </c>
      <c r="U11" s="51">
        <v>51</v>
      </c>
      <c r="V11" s="51" t="s">
        <v>497</v>
      </c>
      <c r="W11" s="51"/>
      <c r="X11" s="51">
        <v>3211</v>
      </c>
      <c r="Y11" s="51" t="s">
        <v>655</v>
      </c>
      <c r="Z11" s="51"/>
      <c r="AA11" s="51" t="str">
        <f t="shared" si="7"/>
        <v>32</v>
      </c>
      <c r="AB11" s="51" t="str">
        <f t="shared" si="8"/>
        <v>321</v>
      </c>
      <c r="AC11" s="51"/>
      <c r="AD11" s="51" t="s">
        <v>1410</v>
      </c>
      <c r="AE11" s="51" t="s">
        <v>1411</v>
      </c>
      <c r="AF11" s="51" t="str">
        <f t="shared" si="9"/>
        <v>K578051</v>
      </c>
      <c r="AG11" s="51" t="str">
        <f>VLOOKUP(AF11,AKT!$C$4:$E$324,3,FALSE)</f>
        <v>0150</v>
      </c>
    </row>
    <row r="12" spans="1:33">
      <c r="A12" s="84">
        <v>51</v>
      </c>
      <c r="B12" s="79" t="str">
        <f t="shared" si="0"/>
        <v>Pomoći EU</v>
      </c>
      <c r="C12" s="84">
        <v>3222</v>
      </c>
      <c r="D12" s="79" t="str">
        <f t="shared" si="1"/>
        <v>Materijal i sirovine</v>
      </c>
      <c r="E12" s="84" t="s">
        <v>1404</v>
      </c>
      <c r="F12" s="79" t="str">
        <f t="shared" si="2"/>
        <v>AIMed - Antimikrobne integrirane metodologije za ortopedske primjene</v>
      </c>
      <c r="G12" s="79" t="str">
        <f t="shared" si="3"/>
        <v>0150</v>
      </c>
      <c r="H12" s="67">
        <v>6584</v>
      </c>
      <c r="I12" s="67">
        <v>0</v>
      </c>
      <c r="J12" s="67">
        <v>0</v>
      </c>
      <c r="K12" s="89" t="s">
        <v>1405</v>
      </c>
      <c r="L12" s="90">
        <v>43831</v>
      </c>
      <c r="M12" s="90">
        <v>45291</v>
      </c>
      <c r="N12" s="89" t="s">
        <v>1398</v>
      </c>
      <c r="O12" s="73" t="s">
        <v>1405</v>
      </c>
      <c r="P12" s="68"/>
      <c r="Q12" s="51"/>
      <c r="R12" s="51" t="str">
        <f t="shared" si="4"/>
        <v>322</v>
      </c>
      <c r="S12" s="51" t="str">
        <f t="shared" si="5"/>
        <v>32</v>
      </c>
      <c r="T12" s="51" t="str">
        <f t="shared" si="6"/>
        <v>15</v>
      </c>
      <c r="U12" s="51">
        <v>52</v>
      </c>
      <c r="V12" s="51" t="s">
        <v>499</v>
      </c>
      <c r="W12" s="51"/>
      <c r="X12" s="51">
        <v>3212</v>
      </c>
      <c r="Y12" s="51" t="s">
        <v>659</v>
      </c>
      <c r="Z12" s="51"/>
      <c r="AA12" s="51" t="str">
        <f t="shared" si="7"/>
        <v>32</v>
      </c>
      <c r="AB12" s="51" t="str">
        <f t="shared" si="8"/>
        <v>321</v>
      </c>
      <c r="AC12" s="51"/>
      <c r="AD12" s="51" t="s">
        <v>1412</v>
      </c>
      <c r="AE12" s="51" t="s">
        <v>1413</v>
      </c>
      <c r="AF12" s="51" t="str">
        <f t="shared" si="9"/>
        <v>K578051</v>
      </c>
      <c r="AG12" s="51" t="str">
        <f>VLOOKUP(AF12,AKT!$C$4:$E$324,3,FALSE)</f>
        <v>0150</v>
      </c>
    </row>
    <row r="13" spans="1:33">
      <c r="A13" s="84">
        <v>51</v>
      </c>
      <c r="B13" s="79" t="str">
        <f t="shared" si="0"/>
        <v>Pomoći EU</v>
      </c>
      <c r="C13" s="84">
        <v>3299</v>
      </c>
      <c r="D13" s="79" t="str">
        <f t="shared" si="1"/>
        <v>Ostali nespomenuti rashodi poslovanja</v>
      </c>
      <c r="E13" s="84" t="s">
        <v>1404</v>
      </c>
      <c r="F13" s="79" t="str">
        <f t="shared" si="2"/>
        <v>AIMed - Antimikrobne integrirane metodologije za ortopedske primjene</v>
      </c>
      <c r="G13" s="79" t="str">
        <f t="shared" si="3"/>
        <v>0150</v>
      </c>
      <c r="H13" s="67">
        <v>21728</v>
      </c>
      <c r="I13" s="67">
        <v>0</v>
      </c>
      <c r="J13" s="67">
        <v>0</v>
      </c>
      <c r="K13" s="89" t="s">
        <v>1405</v>
      </c>
      <c r="L13" s="90">
        <v>43831</v>
      </c>
      <c r="M13" s="90">
        <v>45291</v>
      </c>
      <c r="N13" s="89" t="s">
        <v>1398</v>
      </c>
      <c r="O13" s="73" t="s">
        <v>1405</v>
      </c>
      <c r="P13" s="68"/>
      <c r="Q13" s="51"/>
      <c r="R13" s="51" t="str">
        <f t="shared" si="4"/>
        <v>329</v>
      </c>
      <c r="S13" s="51" t="str">
        <f t="shared" si="5"/>
        <v>32</v>
      </c>
      <c r="T13" s="51" t="str">
        <f t="shared" si="6"/>
        <v>15</v>
      </c>
      <c r="U13" s="69">
        <v>552</v>
      </c>
      <c r="V13" s="69" t="s">
        <v>503</v>
      </c>
      <c r="W13" s="51"/>
      <c r="X13" s="51">
        <v>3213</v>
      </c>
      <c r="Y13" s="51" t="s">
        <v>662</v>
      </c>
      <c r="Z13" s="51"/>
      <c r="AA13" s="51" t="str">
        <f t="shared" si="7"/>
        <v>32</v>
      </c>
      <c r="AB13" s="51" t="str">
        <f t="shared" si="8"/>
        <v>321</v>
      </c>
      <c r="AC13" s="51"/>
      <c r="AD13" s="51" t="s">
        <v>1414</v>
      </c>
      <c r="AE13" s="51" t="s">
        <v>1415</v>
      </c>
      <c r="AF13" s="51" t="str">
        <f t="shared" si="9"/>
        <v>K578051</v>
      </c>
      <c r="AG13" s="51" t="str">
        <f>VLOOKUP(AF13,AKT!$C$4:$E$324,3,FALSE)</f>
        <v>0150</v>
      </c>
    </row>
    <row r="14" spans="1:33">
      <c r="A14" s="84">
        <v>51</v>
      </c>
      <c r="B14" s="79" t="str">
        <f t="shared" si="0"/>
        <v>Pomoći EU</v>
      </c>
      <c r="C14" s="84">
        <v>4224</v>
      </c>
      <c r="D14" s="79" t="str">
        <f t="shared" si="1"/>
        <v>Medicinska i laboratorijska oprema</v>
      </c>
      <c r="E14" s="84" t="s">
        <v>1404</v>
      </c>
      <c r="F14" s="79" t="str">
        <f t="shared" si="2"/>
        <v>AIMed - Antimikrobne integrirane metodologije za ortopedske primjene</v>
      </c>
      <c r="G14" s="79" t="str">
        <f t="shared" si="3"/>
        <v>0150</v>
      </c>
      <c r="H14" s="67">
        <v>7243</v>
      </c>
      <c r="I14" s="67">
        <v>0</v>
      </c>
      <c r="J14" s="67">
        <v>0</v>
      </c>
      <c r="K14" s="89" t="s">
        <v>1405</v>
      </c>
      <c r="L14" s="90">
        <v>43831</v>
      </c>
      <c r="M14" s="90">
        <v>45291</v>
      </c>
      <c r="N14" s="89" t="s">
        <v>1398</v>
      </c>
      <c r="O14" s="73" t="s">
        <v>1405</v>
      </c>
      <c r="P14" s="68"/>
      <c r="Q14" s="51"/>
      <c r="R14" s="51" t="str">
        <f t="shared" si="4"/>
        <v>422</v>
      </c>
      <c r="S14" s="51" t="str">
        <f t="shared" si="5"/>
        <v>42</v>
      </c>
      <c r="T14" s="51" t="str">
        <f t="shared" si="6"/>
        <v>15</v>
      </c>
      <c r="U14" s="69">
        <v>559</v>
      </c>
      <c r="V14" s="69" t="s">
        <v>506</v>
      </c>
      <c r="W14" s="51"/>
      <c r="X14" s="51">
        <v>3214</v>
      </c>
      <c r="Y14" s="51" t="s">
        <v>665</v>
      </c>
      <c r="Z14" s="51"/>
      <c r="AA14" s="51" t="str">
        <f t="shared" si="7"/>
        <v>32</v>
      </c>
      <c r="AB14" s="51" t="str">
        <f t="shared" si="8"/>
        <v>321</v>
      </c>
      <c r="AC14" s="51"/>
      <c r="AD14" s="51" t="s">
        <v>1416</v>
      </c>
      <c r="AE14" s="51" t="s">
        <v>1417</v>
      </c>
      <c r="AF14" s="51" t="str">
        <f t="shared" si="9"/>
        <v>K578051</v>
      </c>
      <c r="AG14" s="51" t="str">
        <f>VLOOKUP(AF14,AKT!$C$4:$E$324,3,FALSE)</f>
        <v>0150</v>
      </c>
    </row>
    <row r="15" spans="1:33">
      <c r="A15" s="84">
        <v>51</v>
      </c>
      <c r="B15" s="79" t="str">
        <f t="shared" si="0"/>
        <v>Pomoći EU</v>
      </c>
      <c r="C15" s="84">
        <v>3111</v>
      </c>
      <c r="D15" s="79" t="str">
        <f t="shared" si="1"/>
        <v>Plaće za redovan rad</v>
      </c>
      <c r="E15" s="84" t="s">
        <v>1418</v>
      </c>
      <c r="F15" s="79" t="str">
        <f t="shared" si="2"/>
        <v>ERC Synergy Grant ANEUPLOIDY, Molekularno porijeklo aneuploidija u zdravim i oboljelim ljudskim tkivima</v>
      </c>
      <c r="G15" s="79" t="str">
        <f t="shared" si="3"/>
        <v>0150</v>
      </c>
      <c r="H15" s="67">
        <v>213580</v>
      </c>
      <c r="I15" s="67">
        <v>213580</v>
      </c>
      <c r="J15" s="67">
        <v>106790</v>
      </c>
      <c r="K15" s="89" t="s">
        <v>1419</v>
      </c>
      <c r="L15" s="90">
        <v>43922</v>
      </c>
      <c r="M15" s="90">
        <v>46112</v>
      </c>
      <c r="N15" s="89" t="s">
        <v>1398</v>
      </c>
      <c r="O15" s="73" t="s">
        <v>1420</v>
      </c>
      <c r="P15" s="68"/>
      <c r="Q15" s="51"/>
      <c r="R15" s="51" t="str">
        <f t="shared" si="4"/>
        <v>311</v>
      </c>
      <c r="S15" s="51" t="str">
        <f t="shared" si="5"/>
        <v>31</v>
      </c>
      <c r="T15" s="51" t="str">
        <f t="shared" si="6"/>
        <v>15</v>
      </c>
      <c r="U15" s="51">
        <v>561</v>
      </c>
      <c r="V15" s="51" t="s">
        <v>509</v>
      </c>
      <c r="W15" s="51"/>
      <c r="X15" s="51">
        <v>3221</v>
      </c>
      <c r="Y15" s="51" t="s">
        <v>671</v>
      </c>
      <c r="Z15" s="51"/>
      <c r="AA15" s="51" t="str">
        <f t="shared" si="7"/>
        <v>32</v>
      </c>
      <c r="AB15" s="51" t="str">
        <f t="shared" si="8"/>
        <v>322</v>
      </c>
      <c r="AC15" s="51"/>
      <c r="AD15" s="51" t="s">
        <v>1421</v>
      </c>
      <c r="AE15" s="51" t="s">
        <v>1422</v>
      </c>
      <c r="AF15" s="51" t="str">
        <f t="shared" si="9"/>
        <v>K818050</v>
      </c>
      <c r="AG15" s="51" t="str">
        <f>VLOOKUP(AF15,AKT!$C$4:$E$324,3,FALSE)</f>
        <v>0950</v>
      </c>
    </row>
    <row r="16" spans="1:33">
      <c r="A16" s="84">
        <v>51</v>
      </c>
      <c r="B16" s="79" t="str">
        <f t="shared" si="0"/>
        <v>Pomoći EU</v>
      </c>
      <c r="C16" s="84">
        <v>3132</v>
      </c>
      <c r="D16" s="79" t="str">
        <f t="shared" si="1"/>
        <v>Doprinosi za obvezno zdravstveno osiguranje</v>
      </c>
      <c r="E16" s="84" t="s">
        <v>1418</v>
      </c>
      <c r="F16" s="79" t="str">
        <f t="shared" si="2"/>
        <v>ERC Synergy Grant ANEUPLOIDY, Molekularno porijeklo aneuploidija u zdravim i oboljelim ljudskim tkivima</v>
      </c>
      <c r="G16" s="79" t="str">
        <f t="shared" si="3"/>
        <v>0150</v>
      </c>
      <c r="H16" s="67">
        <v>35597</v>
      </c>
      <c r="I16" s="67">
        <v>35597</v>
      </c>
      <c r="J16" s="67">
        <v>17798</v>
      </c>
      <c r="K16" s="89" t="s">
        <v>1419</v>
      </c>
      <c r="L16" s="90">
        <v>43922</v>
      </c>
      <c r="M16" s="90">
        <v>46112</v>
      </c>
      <c r="N16" s="89" t="s">
        <v>1398</v>
      </c>
      <c r="O16" s="73" t="s">
        <v>1420</v>
      </c>
      <c r="P16" s="68"/>
      <c r="Q16" s="51"/>
      <c r="R16" s="51" t="str">
        <f t="shared" si="4"/>
        <v>313</v>
      </c>
      <c r="S16" s="51" t="str">
        <f t="shared" si="5"/>
        <v>31</v>
      </c>
      <c r="T16" s="51" t="str">
        <f t="shared" si="6"/>
        <v>15</v>
      </c>
      <c r="U16" s="51">
        <v>563</v>
      </c>
      <c r="V16" s="51" t="s">
        <v>512</v>
      </c>
      <c r="W16" s="51"/>
      <c r="X16" s="51">
        <v>3222</v>
      </c>
      <c r="Y16" s="51" t="s">
        <v>674</v>
      </c>
      <c r="Z16" s="51"/>
      <c r="AA16" s="51" t="str">
        <f t="shared" si="7"/>
        <v>32</v>
      </c>
      <c r="AB16" s="51" t="str">
        <f t="shared" si="8"/>
        <v>322</v>
      </c>
      <c r="AC16" s="51"/>
      <c r="AD16" s="51" t="s">
        <v>1423</v>
      </c>
      <c r="AE16" s="51" t="s">
        <v>1424</v>
      </c>
      <c r="AF16" s="51" t="str">
        <f t="shared" si="9"/>
        <v>K818050</v>
      </c>
      <c r="AG16" s="51" t="str">
        <f>VLOOKUP(AF16,AKT!$C$4:$E$324,3,FALSE)</f>
        <v>0950</v>
      </c>
    </row>
    <row r="17" spans="1:33">
      <c r="A17" s="84">
        <v>51</v>
      </c>
      <c r="B17" s="79" t="str">
        <f t="shared" si="0"/>
        <v>Pomoći EU</v>
      </c>
      <c r="C17" s="84">
        <v>3211</v>
      </c>
      <c r="D17" s="79" t="str">
        <f t="shared" si="1"/>
        <v>Službena putovanja</v>
      </c>
      <c r="E17" s="84" t="s">
        <v>1418</v>
      </c>
      <c r="F17" s="79" t="str">
        <f t="shared" si="2"/>
        <v>ERC Synergy Grant ANEUPLOIDY, Molekularno porijeklo aneuploidija u zdravim i oboljelim ljudskim tkivima</v>
      </c>
      <c r="G17" s="79" t="str">
        <f t="shared" si="3"/>
        <v>0150</v>
      </c>
      <c r="H17" s="67">
        <v>23731</v>
      </c>
      <c r="I17" s="67">
        <v>23731</v>
      </c>
      <c r="J17" s="67">
        <v>11866</v>
      </c>
      <c r="K17" s="89" t="s">
        <v>1419</v>
      </c>
      <c r="L17" s="90">
        <v>43922</v>
      </c>
      <c r="M17" s="90">
        <v>46112</v>
      </c>
      <c r="N17" s="89" t="s">
        <v>1398</v>
      </c>
      <c r="O17" s="73" t="s">
        <v>1420</v>
      </c>
      <c r="P17" s="68"/>
      <c r="Q17" s="51"/>
      <c r="R17" s="51" t="str">
        <f t="shared" si="4"/>
        <v>321</v>
      </c>
      <c r="S17" s="51" t="str">
        <f t="shared" si="5"/>
        <v>32</v>
      </c>
      <c r="T17" s="51" t="str">
        <f t="shared" si="6"/>
        <v>15</v>
      </c>
      <c r="U17" s="51">
        <v>573</v>
      </c>
      <c r="V17" s="69" t="s">
        <v>515</v>
      </c>
      <c r="W17" s="51"/>
      <c r="X17" s="51">
        <v>3223</v>
      </c>
      <c r="Y17" s="51" t="s">
        <v>681</v>
      </c>
      <c r="Z17" s="51"/>
      <c r="AA17" s="51" t="str">
        <f t="shared" si="7"/>
        <v>32</v>
      </c>
      <c r="AB17" s="51" t="str">
        <f t="shared" si="8"/>
        <v>322</v>
      </c>
      <c r="AC17" s="51"/>
      <c r="AD17" s="51" t="s">
        <v>1425</v>
      </c>
      <c r="AE17" s="51" t="s">
        <v>1426</v>
      </c>
      <c r="AF17" s="51" t="str">
        <f t="shared" si="9"/>
        <v>K818050</v>
      </c>
      <c r="AG17" s="51" t="str">
        <f>VLOOKUP(AF17,AKT!$C$4:$E$324,3,FALSE)</f>
        <v>0950</v>
      </c>
    </row>
    <row r="18" spans="1:33">
      <c r="A18" s="84">
        <v>51</v>
      </c>
      <c r="B18" s="79" t="str">
        <f t="shared" si="0"/>
        <v>Pomoći EU</v>
      </c>
      <c r="C18" s="84">
        <v>3222</v>
      </c>
      <c r="D18" s="79" t="str">
        <f t="shared" si="1"/>
        <v>Materijal i sirovine</v>
      </c>
      <c r="E18" s="84" t="s">
        <v>1418</v>
      </c>
      <c r="F18" s="79" t="str">
        <f t="shared" si="2"/>
        <v>ERC Synergy Grant ANEUPLOIDY, Molekularno porijeklo aneuploidija u zdravim i oboljelim ljudskim tkivima</v>
      </c>
      <c r="G18" s="79" t="str">
        <f t="shared" si="3"/>
        <v>0150</v>
      </c>
      <c r="H18" s="67">
        <v>59328</v>
      </c>
      <c r="I18" s="67">
        <v>59328</v>
      </c>
      <c r="J18" s="67">
        <v>29664</v>
      </c>
      <c r="K18" s="89" t="s">
        <v>1419</v>
      </c>
      <c r="L18" s="90">
        <v>43922</v>
      </c>
      <c r="M18" s="90">
        <v>46112</v>
      </c>
      <c r="N18" s="89" t="s">
        <v>1398</v>
      </c>
      <c r="O18" s="73" t="s">
        <v>1420</v>
      </c>
      <c r="P18" s="68"/>
      <c r="Q18" s="51"/>
      <c r="R18" s="51" t="str">
        <f t="shared" si="4"/>
        <v>322</v>
      </c>
      <c r="S18" s="51" t="str">
        <f t="shared" si="5"/>
        <v>32</v>
      </c>
      <c r="T18" s="51" t="str">
        <f t="shared" si="6"/>
        <v>15</v>
      </c>
      <c r="U18" s="69">
        <v>575</v>
      </c>
      <c r="V18" s="69" t="s">
        <v>518</v>
      </c>
      <c r="W18" s="51"/>
      <c r="X18" s="51">
        <v>3224</v>
      </c>
      <c r="Y18" s="51" t="s">
        <v>684</v>
      </c>
      <c r="Z18" s="51"/>
      <c r="AA18" s="51" t="str">
        <f t="shared" si="7"/>
        <v>32</v>
      </c>
      <c r="AB18" s="51" t="str">
        <f t="shared" si="8"/>
        <v>322</v>
      </c>
      <c r="AC18" s="51"/>
      <c r="AD18" s="51" t="s">
        <v>1427</v>
      </c>
      <c r="AE18" s="51" t="s">
        <v>1428</v>
      </c>
      <c r="AF18" s="51" t="str">
        <f t="shared" si="9"/>
        <v>K818050</v>
      </c>
      <c r="AG18" s="51" t="str">
        <f>VLOOKUP(AF18,AKT!$C$4:$E$324,3,FALSE)</f>
        <v>0950</v>
      </c>
    </row>
    <row r="19" spans="1:33">
      <c r="A19" s="84">
        <v>51</v>
      </c>
      <c r="B19" s="79" t="str">
        <f t="shared" si="0"/>
        <v>Pomoći EU</v>
      </c>
      <c r="C19" s="84">
        <v>3299</v>
      </c>
      <c r="D19" s="79" t="str">
        <f t="shared" si="1"/>
        <v>Ostali nespomenuti rashodi poslovanja</v>
      </c>
      <c r="E19" s="84" t="s">
        <v>1418</v>
      </c>
      <c r="F19" s="79" t="str">
        <f t="shared" si="2"/>
        <v>ERC Synergy Grant ANEUPLOIDY, Molekularno porijeklo aneuploidija u zdravim i oboljelim ljudskim tkivima</v>
      </c>
      <c r="G19" s="79" t="str">
        <f t="shared" si="3"/>
        <v>0150</v>
      </c>
      <c r="H19" s="67">
        <v>195781</v>
      </c>
      <c r="I19" s="67">
        <v>195782</v>
      </c>
      <c r="J19" s="67">
        <v>97891</v>
      </c>
      <c r="K19" s="89" t="s">
        <v>1419</v>
      </c>
      <c r="L19" s="90">
        <v>43922</v>
      </c>
      <c r="M19" s="90">
        <v>46112</v>
      </c>
      <c r="N19" s="89" t="s">
        <v>1398</v>
      </c>
      <c r="O19" s="73" t="s">
        <v>1420</v>
      </c>
      <c r="P19" s="68"/>
      <c r="Q19" s="51"/>
      <c r="R19" s="51" t="str">
        <f t="shared" si="4"/>
        <v>329</v>
      </c>
      <c r="S19" s="51" t="str">
        <f t="shared" si="5"/>
        <v>32</v>
      </c>
      <c r="T19" s="51" t="str">
        <f t="shared" si="6"/>
        <v>15</v>
      </c>
      <c r="U19" s="51">
        <v>576</v>
      </c>
      <c r="V19" s="76" t="s">
        <v>1429</v>
      </c>
      <c r="W19" s="51"/>
      <c r="X19" s="51">
        <v>3225</v>
      </c>
      <c r="Y19" s="51" t="s">
        <v>687</v>
      </c>
      <c r="Z19" s="51"/>
      <c r="AA19" s="51" t="str">
        <f t="shared" si="7"/>
        <v>32</v>
      </c>
      <c r="AB19" s="51" t="str">
        <f t="shared" si="8"/>
        <v>322</v>
      </c>
      <c r="AC19" s="51"/>
      <c r="AD19" s="51" t="s">
        <v>1430</v>
      </c>
      <c r="AE19" s="51" t="s">
        <v>1431</v>
      </c>
      <c r="AF19" s="51" t="str">
        <f t="shared" si="9"/>
        <v>K818050</v>
      </c>
      <c r="AG19" s="51" t="str">
        <f>VLOOKUP(AF19,AKT!$C$4:$E$324,3,FALSE)</f>
        <v>0950</v>
      </c>
    </row>
    <row r="20" spans="1:33">
      <c r="A20" s="84">
        <v>51</v>
      </c>
      <c r="B20" s="79" t="str">
        <f t="shared" si="0"/>
        <v>Pomoći EU</v>
      </c>
      <c r="C20" s="84">
        <v>3693</v>
      </c>
      <c r="D20" s="79" t="str">
        <f t="shared" si="1"/>
        <v>Tekući prijenosi između proračunskih korisnika istog proraču</v>
      </c>
      <c r="E20" s="84" t="s">
        <v>1418</v>
      </c>
      <c r="F20" s="79" t="str">
        <f t="shared" si="2"/>
        <v>ERC Synergy Grant ANEUPLOIDY, Molekularno porijeklo aneuploidija u zdravim i oboljelim ljudskim tkivima</v>
      </c>
      <c r="G20" s="79" t="str">
        <f t="shared" si="3"/>
        <v>0150</v>
      </c>
      <c r="H20" s="67">
        <v>250000</v>
      </c>
      <c r="I20" s="67">
        <v>0</v>
      </c>
      <c r="J20" s="67">
        <v>250000</v>
      </c>
      <c r="K20" s="89" t="s">
        <v>1419</v>
      </c>
      <c r="L20" s="90">
        <v>43922</v>
      </c>
      <c r="M20" s="90">
        <v>46112</v>
      </c>
      <c r="N20" s="89" t="s">
        <v>1398</v>
      </c>
      <c r="O20" s="73" t="s">
        <v>1420</v>
      </c>
      <c r="P20" s="65" t="s">
        <v>1432</v>
      </c>
      <c r="Q20" s="51"/>
      <c r="R20" s="51" t="str">
        <f t="shared" si="4"/>
        <v>369</v>
      </c>
      <c r="S20" s="51" t="str">
        <f t="shared" si="5"/>
        <v>36</v>
      </c>
      <c r="T20" s="51" t="str">
        <f t="shared" si="6"/>
        <v>15</v>
      </c>
      <c r="U20" s="75">
        <v>581</v>
      </c>
      <c r="V20" s="86" t="s">
        <v>522</v>
      </c>
      <c r="W20" s="51"/>
      <c r="X20" s="51">
        <v>3226</v>
      </c>
      <c r="Y20" s="51" t="s">
        <v>690</v>
      </c>
      <c r="Z20" s="51"/>
      <c r="AA20" s="51" t="str">
        <f t="shared" si="7"/>
        <v>32</v>
      </c>
      <c r="AB20" s="51" t="str">
        <f t="shared" si="8"/>
        <v>322</v>
      </c>
      <c r="AC20" s="51"/>
      <c r="AD20" s="51" t="s">
        <v>1433</v>
      </c>
      <c r="AE20" s="51" t="s">
        <v>1434</v>
      </c>
      <c r="AF20" s="51" t="str">
        <f t="shared" si="9"/>
        <v>K818050</v>
      </c>
      <c r="AG20" s="51" t="str">
        <f>VLOOKUP(AF20,AKT!$C$4:$E$324,3,FALSE)</f>
        <v>0950</v>
      </c>
    </row>
    <row r="21" spans="1:33" ht="15.75" customHeight="1">
      <c r="A21" s="84">
        <v>51</v>
      </c>
      <c r="B21" s="79" t="str">
        <f t="shared" si="0"/>
        <v>Pomoći EU</v>
      </c>
      <c r="C21" s="84">
        <v>4224</v>
      </c>
      <c r="D21" s="79" t="str">
        <f t="shared" si="1"/>
        <v>Medicinska i laboratorijska oprema</v>
      </c>
      <c r="E21" s="84" t="s">
        <v>1418</v>
      </c>
      <c r="F21" s="79" t="str">
        <f t="shared" si="2"/>
        <v>ERC Synergy Grant ANEUPLOIDY, Molekularno porijeklo aneuploidija u zdravim i oboljelim ljudskim tkivima</v>
      </c>
      <c r="G21" s="79" t="str">
        <f t="shared" si="3"/>
        <v>0150</v>
      </c>
      <c r="H21" s="67">
        <v>65260</v>
      </c>
      <c r="I21" s="67">
        <v>65260</v>
      </c>
      <c r="J21" s="67">
        <v>32630</v>
      </c>
      <c r="K21" s="89" t="s">
        <v>1419</v>
      </c>
      <c r="L21" s="90">
        <v>43922</v>
      </c>
      <c r="M21" s="90">
        <v>46112</v>
      </c>
      <c r="N21" s="89" t="s">
        <v>1398</v>
      </c>
      <c r="O21" s="73" t="s">
        <v>1420</v>
      </c>
      <c r="P21" s="68"/>
      <c r="Q21" s="51"/>
      <c r="R21" s="51" t="str">
        <f t="shared" si="4"/>
        <v>422</v>
      </c>
      <c r="S21" s="51" t="str">
        <f t="shared" si="5"/>
        <v>42</v>
      </c>
      <c r="T21" s="51" t="str">
        <f t="shared" si="6"/>
        <v>15</v>
      </c>
      <c r="U21" s="51">
        <v>61</v>
      </c>
      <c r="V21" s="51" t="s">
        <v>524</v>
      </c>
      <c r="W21" s="51"/>
      <c r="X21" s="51">
        <v>3227</v>
      </c>
      <c r="Y21" s="51" t="s">
        <v>693</v>
      </c>
      <c r="Z21" s="51"/>
      <c r="AA21" s="51" t="str">
        <f t="shared" si="7"/>
        <v>32</v>
      </c>
      <c r="AB21" s="51" t="str">
        <f t="shared" si="8"/>
        <v>322</v>
      </c>
      <c r="AC21" s="51"/>
      <c r="AD21" s="51" t="s">
        <v>1435</v>
      </c>
      <c r="AE21" s="51" t="s">
        <v>1436</v>
      </c>
      <c r="AF21" s="51" t="str">
        <f t="shared" si="9"/>
        <v>K818050</v>
      </c>
      <c r="AG21" s="51" t="str">
        <f>VLOOKUP(AF21,AKT!$C$4:$E$324,3,FALSE)</f>
        <v>0950</v>
      </c>
    </row>
    <row r="22" spans="1:33" ht="15.75" customHeight="1">
      <c r="A22" s="84">
        <v>51</v>
      </c>
      <c r="B22" s="79" t="str">
        <f t="shared" si="0"/>
        <v>Pomoći EU</v>
      </c>
      <c r="C22" s="84">
        <v>3111</v>
      </c>
      <c r="D22" s="79" t="str">
        <f t="shared" si="1"/>
        <v>Plaće za redovan rad</v>
      </c>
      <c r="E22" s="84" t="s">
        <v>1437</v>
      </c>
      <c r="F22" s="79" t="str">
        <f t="shared" si="2"/>
        <v>DiseaseINgroups- Obrana od bolesti u skupinama: uloga povezanosti, rizik i vrsta patogena</v>
      </c>
      <c r="G22" s="79" t="str">
        <f t="shared" si="3"/>
        <v>0150</v>
      </c>
      <c r="H22" s="67">
        <v>14517</v>
      </c>
      <c r="I22" s="67">
        <v>14517</v>
      </c>
      <c r="J22" s="67">
        <v>0</v>
      </c>
      <c r="K22" s="89" t="s">
        <v>1438</v>
      </c>
      <c r="L22" s="90">
        <v>44470</v>
      </c>
      <c r="M22" s="90">
        <v>45199</v>
      </c>
      <c r="N22" s="89" t="s">
        <v>1398</v>
      </c>
      <c r="O22" s="73" t="s">
        <v>1438</v>
      </c>
      <c r="P22" s="68"/>
      <c r="Q22" s="51"/>
      <c r="R22" s="51" t="str">
        <f t="shared" si="4"/>
        <v>311</v>
      </c>
      <c r="S22" s="51" t="str">
        <f t="shared" si="5"/>
        <v>31</v>
      </c>
      <c r="T22" s="51" t="str">
        <f t="shared" si="6"/>
        <v>15</v>
      </c>
      <c r="U22" s="51">
        <v>71</v>
      </c>
      <c r="V22" s="51" t="s">
        <v>528</v>
      </c>
      <c r="W22" s="51"/>
      <c r="X22" s="51">
        <v>3231</v>
      </c>
      <c r="Y22" s="51" t="s">
        <v>696</v>
      </c>
      <c r="Z22" s="51"/>
      <c r="AA22" s="51" t="str">
        <f t="shared" si="7"/>
        <v>32</v>
      </c>
      <c r="AB22" s="51" t="str">
        <f t="shared" si="8"/>
        <v>323</v>
      </c>
      <c r="AC22" s="51"/>
      <c r="AD22" s="51" t="s">
        <v>1439</v>
      </c>
      <c r="AE22" s="51" t="s">
        <v>1440</v>
      </c>
      <c r="AF22" s="51" t="str">
        <f t="shared" si="9"/>
        <v>K818050</v>
      </c>
      <c r="AG22" s="51" t="str">
        <f>VLOOKUP(AF22,AKT!$C$4:$E$324,3,FALSE)</f>
        <v>0950</v>
      </c>
    </row>
    <row r="23" spans="1:33" ht="15.75" customHeight="1">
      <c r="A23" s="84">
        <v>51</v>
      </c>
      <c r="B23" s="79" t="str">
        <f t="shared" si="0"/>
        <v>Pomoći EU</v>
      </c>
      <c r="C23" s="84">
        <v>3132</v>
      </c>
      <c r="D23" s="79" t="str">
        <f t="shared" si="1"/>
        <v>Doprinosi za obvezno zdravstveno osiguranje</v>
      </c>
      <c r="E23" s="84" t="s">
        <v>1437</v>
      </c>
      <c r="F23" s="79" t="str">
        <f t="shared" si="2"/>
        <v>DiseaseINgroups- Obrana od bolesti u skupinama: uloga povezanosti, rizik i vrsta patogena</v>
      </c>
      <c r="G23" s="79" t="str">
        <f t="shared" si="3"/>
        <v>0150</v>
      </c>
      <c r="H23" s="67">
        <v>2419</v>
      </c>
      <c r="I23" s="67">
        <v>2419</v>
      </c>
      <c r="J23" s="67">
        <v>0</v>
      </c>
      <c r="K23" s="89" t="s">
        <v>1438</v>
      </c>
      <c r="L23" s="90">
        <v>44470</v>
      </c>
      <c r="M23" s="90">
        <v>45199</v>
      </c>
      <c r="N23" s="89" t="s">
        <v>1398</v>
      </c>
      <c r="O23" s="73" t="s">
        <v>1438</v>
      </c>
      <c r="P23" s="68"/>
      <c r="Q23" s="51"/>
      <c r="R23" s="51" t="str">
        <f t="shared" si="4"/>
        <v>313</v>
      </c>
      <c r="S23" s="51" t="str">
        <f t="shared" si="5"/>
        <v>31</v>
      </c>
      <c r="T23" s="51" t="str">
        <f t="shared" si="6"/>
        <v>15</v>
      </c>
      <c r="U23" s="51">
        <v>81</v>
      </c>
      <c r="V23" s="51" t="s">
        <v>531</v>
      </c>
      <c r="W23" s="51"/>
      <c r="X23" s="51">
        <v>3232</v>
      </c>
      <c r="Y23" s="51" t="s">
        <v>699</v>
      </c>
      <c r="Z23" s="51"/>
      <c r="AA23" s="51" t="str">
        <f t="shared" si="7"/>
        <v>32</v>
      </c>
      <c r="AB23" s="51" t="str">
        <f t="shared" si="8"/>
        <v>323</v>
      </c>
      <c r="AC23" s="51"/>
      <c r="AD23" s="51" t="s">
        <v>1441</v>
      </c>
      <c r="AE23" s="51" t="s">
        <v>1442</v>
      </c>
      <c r="AF23" s="51" t="str">
        <f t="shared" si="9"/>
        <v>K818050</v>
      </c>
      <c r="AG23" s="51" t="str">
        <f>VLOOKUP(AF23,AKT!$C$4:$E$324,3,FALSE)</f>
        <v>0950</v>
      </c>
    </row>
    <row r="24" spans="1:33" ht="15.75" customHeight="1">
      <c r="A24" s="84">
        <v>51</v>
      </c>
      <c r="B24" s="79" t="str">
        <f t="shared" si="0"/>
        <v>Pomoći EU</v>
      </c>
      <c r="C24" s="84">
        <v>3211</v>
      </c>
      <c r="D24" s="79" t="str">
        <f t="shared" si="1"/>
        <v>Službena putovanja</v>
      </c>
      <c r="E24" s="84" t="s">
        <v>1437</v>
      </c>
      <c r="F24" s="79" t="str">
        <f t="shared" si="2"/>
        <v>DiseaseINgroups- Obrana od bolesti u skupinama: uloga povezanosti, rizik i vrsta patogena</v>
      </c>
      <c r="G24" s="79" t="str">
        <f t="shared" si="3"/>
        <v>0150</v>
      </c>
      <c r="H24" s="67">
        <v>1613</v>
      </c>
      <c r="I24" s="67">
        <v>1613</v>
      </c>
      <c r="J24" s="67">
        <v>0</v>
      </c>
      <c r="K24" s="89" t="s">
        <v>1438</v>
      </c>
      <c r="L24" s="90">
        <v>44470</v>
      </c>
      <c r="M24" s="90">
        <v>45199</v>
      </c>
      <c r="N24" s="89" t="s">
        <v>1398</v>
      </c>
      <c r="O24" s="73" t="s">
        <v>1438</v>
      </c>
      <c r="P24" s="68"/>
      <c r="Q24" s="51"/>
      <c r="R24" s="51" t="str">
        <f t="shared" si="4"/>
        <v>321</v>
      </c>
      <c r="S24" s="51" t="str">
        <f t="shared" si="5"/>
        <v>32</v>
      </c>
      <c r="T24" s="51" t="str">
        <f t="shared" si="6"/>
        <v>15</v>
      </c>
      <c r="U24" s="91">
        <v>83</v>
      </c>
      <c r="V24" s="91" t="s">
        <v>1443</v>
      </c>
      <c r="W24" s="51"/>
      <c r="X24" s="51">
        <v>3233</v>
      </c>
      <c r="Y24" s="51" t="s">
        <v>702</v>
      </c>
      <c r="Z24" s="51"/>
      <c r="AA24" s="51" t="str">
        <f t="shared" si="7"/>
        <v>32</v>
      </c>
      <c r="AB24" s="51" t="str">
        <f t="shared" si="8"/>
        <v>323</v>
      </c>
      <c r="AC24" s="51"/>
      <c r="AD24" s="51" t="s">
        <v>1444</v>
      </c>
      <c r="AE24" s="51" t="s">
        <v>1445</v>
      </c>
      <c r="AF24" s="51" t="str">
        <f t="shared" si="9"/>
        <v>K818050</v>
      </c>
      <c r="AG24" s="51" t="str">
        <f>VLOOKUP(AF24,AKT!$C$4:$E$324,3,FALSE)</f>
        <v>0950</v>
      </c>
    </row>
    <row r="25" spans="1:33" ht="15.75" customHeight="1">
      <c r="A25" s="84">
        <v>51</v>
      </c>
      <c r="B25" s="79" t="str">
        <f t="shared" si="0"/>
        <v>Pomoći EU</v>
      </c>
      <c r="C25" s="84">
        <v>3222</v>
      </c>
      <c r="D25" s="79" t="str">
        <f t="shared" si="1"/>
        <v>Materijal i sirovine</v>
      </c>
      <c r="E25" s="84" t="s">
        <v>1437</v>
      </c>
      <c r="F25" s="79" t="str">
        <f t="shared" si="2"/>
        <v>DiseaseINgroups- Obrana od bolesti u skupinama: uloga povezanosti, rizik i vrsta patogena</v>
      </c>
      <c r="G25" s="79" t="str">
        <f t="shared" si="3"/>
        <v>0150</v>
      </c>
      <c r="H25" s="67">
        <v>4032</v>
      </c>
      <c r="I25" s="67">
        <v>4032</v>
      </c>
      <c r="J25" s="67">
        <v>0</v>
      </c>
      <c r="K25" s="89" t="s">
        <v>1438</v>
      </c>
      <c r="L25" s="90">
        <v>44470</v>
      </c>
      <c r="M25" s="90">
        <v>45199</v>
      </c>
      <c r="N25" s="89" t="s">
        <v>1398</v>
      </c>
      <c r="O25" s="73" t="s">
        <v>1438</v>
      </c>
      <c r="P25" s="68"/>
      <c r="Q25" s="51"/>
      <c r="R25" s="51" t="str">
        <f t="shared" si="4"/>
        <v>322</v>
      </c>
      <c r="S25" s="51" t="str">
        <f t="shared" si="5"/>
        <v>32</v>
      </c>
      <c r="T25" s="51" t="str">
        <f t="shared" si="6"/>
        <v>15</v>
      </c>
      <c r="U25" s="51"/>
      <c r="V25" s="51"/>
      <c r="W25" s="51"/>
      <c r="X25" s="51">
        <v>3234</v>
      </c>
      <c r="Y25" s="51" t="s">
        <v>707</v>
      </c>
      <c r="Z25" s="51"/>
      <c r="AA25" s="51" t="str">
        <f t="shared" si="7"/>
        <v>32</v>
      </c>
      <c r="AB25" s="51" t="str">
        <f t="shared" si="8"/>
        <v>323</v>
      </c>
      <c r="AC25" s="51"/>
      <c r="AD25" s="51" t="s">
        <v>1446</v>
      </c>
      <c r="AE25" s="51" t="s">
        <v>1447</v>
      </c>
      <c r="AF25" s="51" t="str">
        <f t="shared" si="9"/>
        <v>K818050</v>
      </c>
      <c r="AG25" s="51" t="str">
        <f>VLOOKUP(AF25,AKT!$C$4:$E$324,3,FALSE)</f>
        <v>0950</v>
      </c>
    </row>
    <row r="26" spans="1:33" ht="15.75" customHeight="1">
      <c r="A26" s="84">
        <v>51</v>
      </c>
      <c r="B26" s="79" t="str">
        <f t="shared" si="0"/>
        <v>Pomoći EU</v>
      </c>
      <c r="C26" s="84">
        <v>3299</v>
      </c>
      <c r="D26" s="79" t="str">
        <f t="shared" si="1"/>
        <v>Ostali nespomenuti rashodi poslovanja</v>
      </c>
      <c r="E26" s="84" t="s">
        <v>1437</v>
      </c>
      <c r="F26" s="79" t="str">
        <f t="shared" si="2"/>
        <v>DiseaseINgroups- Obrana od bolesti u skupinama: uloga povezanosti, rizik i vrsta patogena</v>
      </c>
      <c r="G26" s="79" t="str">
        <f t="shared" si="3"/>
        <v>0150</v>
      </c>
      <c r="H26" s="67">
        <v>13307</v>
      </c>
      <c r="I26" s="67">
        <v>13307</v>
      </c>
      <c r="J26" s="67">
        <v>0</v>
      </c>
      <c r="K26" s="89" t="s">
        <v>1438</v>
      </c>
      <c r="L26" s="90">
        <v>44470</v>
      </c>
      <c r="M26" s="90">
        <v>45199</v>
      </c>
      <c r="N26" s="89" t="s">
        <v>1398</v>
      </c>
      <c r="O26" s="73" t="s">
        <v>1438</v>
      </c>
      <c r="P26" s="68"/>
      <c r="Q26" s="51"/>
      <c r="R26" s="51" t="str">
        <f t="shared" si="4"/>
        <v>329</v>
      </c>
      <c r="S26" s="51" t="str">
        <f t="shared" si="5"/>
        <v>32</v>
      </c>
      <c r="T26" s="51" t="str">
        <f t="shared" si="6"/>
        <v>15</v>
      </c>
      <c r="U26" s="51"/>
      <c r="V26" s="51"/>
      <c r="W26" s="51"/>
      <c r="X26" s="51">
        <v>3235</v>
      </c>
      <c r="Y26" s="51" t="s">
        <v>710</v>
      </c>
      <c r="Z26" s="51"/>
      <c r="AA26" s="51" t="str">
        <f t="shared" si="7"/>
        <v>32</v>
      </c>
      <c r="AB26" s="51" t="str">
        <f t="shared" si="8"/>
        <v>323</v>
      </c>
      <c r="AC26" s="51"/>
      <c r="AD26" s="51" t="s">
        <v>1448</v>
      </c>
      <c r="AE26" s="51" t="s">
        <v>1449</v>
      </c>
      <c r="AF26" s="51" t="str">
        <f t="shared" si="9"/>
        <v>K818050</v>
      </c>
      <c r="AG26" s="51" t="str">
        <f>VLOOKUP(AF26,AKT!$C$4:$E$324,3,FALSE)</f>
        <v>0950</v>
      </c>
    </row>
    <row r="27" spans="1:33" ht="15.75" customHeight="1">
      <c r="A27" s="84">
        <v>51</v>
      </c>
      <c r="B27" s="79" t="str">
        <f t="shared" si="0"/>
        <v>Pomoći EU</v>
      </c>
      <c r="C27" s="84">
        <v>4224</v>
      </c>
      <c r="D27" s="79" t="str">
        <f t="shared" si="1"/>
        <v>Medicinska i laboratorijska oprema</v>
      </c>
      <c r="E27" s="84" t="s">
        <v>1437</v>
      </c>
      <c r="F27" s="79" t="str">
        <f t="shared" si="2"/>
        <v>DiseaseINgroups- Obrana od bolesti u skupinama: uloga povezanosti, rizik i vrsta patogena</v>
      </c>
      <c r="G27" s="79" t="str">
        <f t="shared" si="3"/>
        <v>0150</v>
      </c>
      <c r="H27" s="67">
        <v>4436</v>
      </c>
      <c r="I27" s="67">
        <v>4436</v>
      </c>
      <c r="J27" s="67">
        <v>0</v>
      </c>
      <c r="K27" s="89" t="s">
        <v>1438</v>
      </c>
      <c r="L27" s="90">
        <v>44470</v>
      </c>
      <c r="M27" s="90">
        <v>45199</v>
      </c>
      <c r="N27" s="89" t="s">
        <v>1398</v>
      </c>
      <c r="O27" s="73" t="s">
        <v>1438</v>
      </c>
      <c r="P27" s="68"/>
      <c r="Q27" s="51"/>
      <c r="R27" s="51" t="str">
        <f t="shared" si="4"/>
        <v>422</v>
      </c>
      <c r="S27" s="51" t="str">
        <f t="shared" si="5"/>
        <v>42</v>
      </c>
      <c r="T27" s="51" t="str">
        <f t="shared" si="6"/>
        <v>15</v>
      </c>
      <c r="U27" s="51"/>
      <c r="V27" s="51"/>
      <c r="W27" s="51"/>
      <c r="X27" s="51">
        <v>3236</v>
      </c>
      <c r="Y27" s="51" t="s">
        <v>713</v>
      </c>
      <c r="Z27" s="51"/>
      <c r="AA27" s="51" t="str">
        <f t="shared" si="7"/>
        <v>32</v>
      </c>
      <c r="AB27" s="51" t="str">
        <f t="shared" si="8"/>
        <v>323</v>
      </c>
      <c r="AC27" s="51"/>
      <c r="AD27" s="51" t="s">
        <v>1450</v>
      </c>
      <c r="AE27" s="51" t="s">
        <v>1451</v>
      </c>
      <c r="AF27" s="51" t="str">
        <f t="shared" si="9"/>
        <v>K818050</v>
      </c>
      <c r="AG27" s="51" t="str">
        <f>VLOOKUP(AF27,AKT!$C$4:$E$324,3,FALSE)</f>
        <v>0950</v>
      </c>
    </row>
    <row r="28" spans="1:33" ht="15.75" customHeight="1">
      <c r="A28" s="84">
        <v>51</v>
      </c>
      <c r="B28" s="79" t="str">
        <f t="shared" si="0"/>
        <v>Pomoći EU</v>
      </c>
      <c r="C28" s="84">
        <v>3111</v>
      </c>
      <c r="D28" s="79" t="str">
        <f t="shared" si="1"/>
        <v>Plaće za redovan rad</v>
      </c>
      <c r="E28" s="84" t="s">
        <v>1452</v>
      </c>
      <c r="F28" s="79" t="str">
        <f t="shared" si="2"/>
        <v>ENTRANCE- učinkovitost ispitivanja na temu rizika  prelaska teretnih granica bez ometanja poslovanja</v>
      </c>
      <c r="G28" s="79" t="str">
        <f t="shared" si="3"/>
        <v>0150</v>
      </c>
      <c r="H28" s="67">
        <v>21118</v>
      </c>
      <c r="I28" s="67">
        <v>0</v>
      </c>
      <c r="J28" s="67">
        <v>0</v>
      </c>
      <c r="K28" s="89" t="s">
        <v>1453</v>
      </c>
      <c r="L28" s="90">
        <v>44105</v>
      </c>
      <c r="M28" s="90">
        <v>45199</v>
      </c>
      <c r="N28" s="89" t="s">
        <v>1398</v>
      </c>
      <c r="O28" s="73" t="s">
        <v>1453</v>
      </c>
      <c r="P28" s="68"/>
      <c r="Q28" s="51"/>
      <c r="R28" s="51" t="str">
        <f t="shared" si="4"/>
        <v>311</v>
      </c>
      <c r="S28" s="51" t="str">
        <f t="shared" si="5"/>
        <v>31</v>
      </c>
      <c r="T28" s="51" t="str">
        <f t="shared" si="6"/>
        <v>15</v>
      </c>
      <c r="U28" s="51"/>
      <c r="V28" s="51"/>
      <c r="W28" s="51"/>
      <c r="X28" s="51">
        <v>3237</v>
      </c>
      <c r="Y28" s="51" t="s">
        <v>716</v>
      </c>
      <c r="Z28" s="51"/>
      <c r="AA28" s="51" t="str">
        <f t="shared" si="7"/>
        <v>32</v>
      </c>
      <c r="AB28" s="51" t="str">
        <f t="shared" si="8"/>
        <v>323</v>
      </c>
      <c r="AC28" s="51"/>
      <c r="AD28" s="51" t="s">
        <v>1454</v>
      </c>
      <c r="AE28" s="51" t="s">
        <v>1455</v>
      </c>
      <c r="AF28" s="51" t="str">
        <f t="shared" si="9"/>
        <v>K818050</v>
      </c>
      <c r="AG28" s="51" t="str">
        <f>VLOOKUP(AF28,AKT!$C$4:$E$324,3,FALSE)</f>
        <v>0950</v>
      </c>
    </row>
    <row r="29" spans="1:33" ht="15.75" customHeight="1">
      <c r="A29" s="84">
        <v>51</v>
      </c>
      <c r="B29" s="79" t="str">
        <f t="shared" si="0"/>
        <v>Pomoći EU</v>
      </c>
      <c r="C29" s="84">
        <v>3132</v>
      </c>
      <c r="D29" s="79" t="str">
        <f t="shared" si="1"/>
        <v>Doprinosi za obvezno zdravstveno osiguranje</v>
      </c>
      <c r="E29" s="84" t="s">
        <v>1452</v>
      </c>
      <c r="F29" s="79" t="str">
        <f t="shared" si="2"/>
        <v>ENTRANCE- učinkovitost ispitivanja na temu rizika  prelaska teretnih granica bez ometanja poslovanja</v>
      </c>
      <c r="G29" s="79" t="str">
        <f t="shared" si="3"/>
        <v>0150</v>
      </c>
      <c r="H29" s="67">
        <v>3520</v>
      </c>
      <c r="I29" s="67">
        <v>0</v>
      </c>
      <c r="J29" s="67">
        <v>0</v>
      </c>
      <c r="K29" s="89" t="s">
        <v>1453</v>
      </c>
      <c r="L29" s="90">
        <v>44105</v>
      </c>
      <c r="M29" s="90">
        <v>45199</v>
      </c>
      <c r="N29" s="89" t="s">
        <v>1398</v>
      </c>
      <c r="O29" s="73" t="s">
        <v>1453</v>
      </c>
      <c r="P29" s="68"/>
      <c r="Q29" s="51"/>
      <c r="R29" s="51" t="str">
        <f t="shared" si="4"/>
        <v>313</v>
      </c>
      <c r="S29" s="51" t="str">
        <f t="shared" si="5"/>
        <v>31</v>
      </c>
      <c r="T29" s="51" t="str">
        <f t="shared" si="6"/>
        <v>15</v>
      </c>
      <c r="U29" s="51"/>
      <c r="V29" s="51"/>
      <c r="W29" s="51"/>
      <c r="X29" s="51">
        <v>3238</v>
      </c>
      <c r="Y29" s="51" t="s">
        <v>719</v>
      </c>
      <c r="Z29" s="51"/>
      <c r="AA29" s="51" t="str">
        <f t="shared" si="7"/>
        <v>32</v>
      </c>
      <c r="AB29" s="51" t="str">
        <f t="shared" si="8"/>
        <v>323</v>
      </c>
      <c r="AC29" s="51"/>
      <c r="AD29" s="51" t="s">
        <v>1456</v>
      </c>
      <c r="AE29" s="51" t="s">
        <v>1457</v>
      </c>
      <c r="AF29" s="51" t="str">
        <f t="shared" si="9"/>
        <v>K818050</v>
      </c>
      <c r="AG29" s="51" t="str">
        <f>VLOOKUP(AF29,AKT!$C$4:$E$324,3,FALSE)</f>
        <v>0950</v>
      </c>
    </row>
    <row r="30" spans="1:33" ht="15.75" customHeight="1">
      <c r="A30" s="84">
        <v>51</v>
      </c>
      <c r="B30" s="79" t="str">
        <f t="shared" si="0"/>
        <v>Pomoći EU</v>
      </c>
      <c r="C30" s="84">
        <v>3211</v>
      </c>
      <c r="D30" s="79" t="str">
        <f t="shared" si="1"/>
        <v>Službena putovanja</v>
      </c>
      <c r="E30" s="84" t="s">
        <v>1452</v>
      </c>
      <c r="F30" s="79" t="str">
        <f t="shared" si="2"/>
        <v>ENTRANCE- učinkovitost ispitivanja na temu rizika  prelaska teretnih granica bez ometanja poslovanja</v>
      </c>
      <c r="G30" s="79" t="str">
        <f t="shared" si="3"/>
        <v>0150</v>
      </c>
      <c r="H30" s="67">
        <v>2346</v>
      </c>
      <c r="I30" s="67">
        <v>0</v>
      </c>
      <c r="J30" s="67">
        <v>0</v>
      </c>
      <c r="K30" s="89" t="s">
        <v>1453</v>
      </c>
      <c r="L30" s="90">
        <v>44105</v>
      </c>
      <c r="M30" s="90">
        <v>45199</v>
      </c>
      <c r="N30" s="89" t="s">
        <v>1398</v>
      </c>
      <c r="O30" s="73" t="s">
        <v>1453</v>
      </c>
      <c r="P30" s="68"/>
      <c r="Q30" s="51"/>
      <c r="R30" s="51" t="str">
        <f t="shared" si="4"/>
        <v>321</v>
      </c>
      <c r="S30" s="51" t="str">
        <f t="shared" si="5"/>
        <v>32</v>
      </c>
      <c r="T30" s="51" t="str">
        <f t="shared" si="6"/>
        <v>15</v>
      </c>
      <c r="U30" s="51"/>
      <c r="V30" s="51"/>
      <c r="W30" s="51"/>
      <c r="X30" s="51">
        <v>3239</v>
      </c>
      <c r="Y30" s="51" t="s">
        <v>722</v>
      </c>
      <c r="Z30" s="51"/>
      <c r="AA30" s="51" t="str">
        <f t="shared" si="7"/>
        <v>32</v>
      </c>
      <c r="AB30" s="51" t="str">
        <f t="shared" si="8"/>
        <v>323</v>
      </c>
      <c r="AC30" s="51"/>
      <c r="AD30" s="51" t="s">
        <v>1458</v>
      </c>
      <c r="AE30" s="51" t="s">
        <v>1459</v>
      </c>
      <c r="AF30" s="51" t="str">
        <f t="shared" si="9"/>
        <v>K818050</v>
      </c>
      <c r="AG30" s="51" t="str">
        <f>VLOOKUP(AF30,AKT!$C$4:$E$324,3,FALSE)</f>
        <v>0950</v>
      </c>
    </row>
    <row r="31" spans="1:33" ht="15.75" customHeight="1">
      <c r="A31" s="84">
        <v>51</v>
      </c>
      <c r="B31" s="79" t="str">
        <f t="shared" si="0"/>
        <v>Pomoći EU</v>
      </c>
      <c r="C31" s="84">
        <v>3222</v>
      </c>
      <c r="D31" s="79" t="str">
        <f t="shared" si="1"/>
        <v>Materijal i sirovine</v>
      </c>
      <c r="E31" s="84" t="s">
        <v>1452</v>
      </c>
      <c r="F31" s="79" t="str">
        <f t="shared" si="2"/>
        <v>ENTRANCE- učinkovitost ispitivanja na temu rizika  prelaska teretnih granica bez ometanja poslovanja</v>
      </c>
      <c r="G31" s="79" t="str">
        <f t="shared" si="3"/>
        <v>0150</v>
      </c>
      <c r="H31" s="67">
        <v>5866</v>
      </c>
      <c r="I31" s="67">
        <v>0</v>
      </c>
      <c r="J31" s="67">
        <v>0</v>
      </c>
      <c r="K31" s="89" t="s">
        <v>1453</v>
      </c>
      <c r="L31" s="90">
        <v>44105</v>
      </c>
      <c r="M31" s="90">
        <v>45199</v>
      </c>
      <c r="N31" s="89" t="s">
        <v>1398</v>
      </c>
      <c r="O31" s="73" t="s">
        <v>1453</v>
      </c>
      <c r="P31" s="68"/>
      <c r="Q31" s="51"/>
      <c r="R31" s="51" t="str">
        <f t="shared" si="4"/>
        <v>322</v>
      </c>
      <c r="S31" s="51" t="str">
        <f t="shared" si="5"/>
        <v>32</v>
      </c>
      <c r="T31" s="51" t="str">
        <f t="shared" si="6"/>
        <v>15</v>
      </c>
      <c r="U31" s="51"/>
      <c r="V31" s="51"/>
      <c r="W31" s="51"/>
      <c r="X31" s="51">
        <v>3241</v>
      </c>
      <c r="Y31" s="51" t="s">
        <v>725</v>
      </c>
      <c r="Z31" s="51"/>
      <c r="AA31" s="51" t="str">
        <f t="shared" si="7"/>
        <v>32</v>
      </c>
      <c r="AB31" s="51" t="str">
        <f t="shared" si="8"/>
        <v>324</v>
      </c>
      <c r="AC31" s="51"/>
      <c r="AD31" s="51" t="s">
        <v>1460</v>
      </c>
      <c r="AE31" s="51" t="s">
        <v>1461</v>
      </c>
      <c r="AF31" s="51" t="str">
        <f t="shared" si="9"/>
        <v>K818050</v>
      </c>
      <c r="AG31" s="51" t="str">
        <f>VLOOKUP(AF31,AKT!$C$4:$E$324,3,FALSE)</f>
        <v>0950</v>
      </c>
    </row>
    <row r="32" spans="1:33" ht="15.75" customHeight="1">
      <c r="A32" s="84">
        <v>51</v>
      </c>
      <c r="B32" s="79" t="str">
        <f t="shared" si="0"/>
        <v>Pomoći EU</v>
      </c>
      <c r="C32" s="84">
        <v>3299</v>
      </c>
      <c r="D32" s="79" t="str">
        <f t="shared" si="1"/>
        <v>Ostali nespomenuti rashodi poslovanja</v>
      </c>
      <c r="E32" s="84" t="s">
        <v>1452</v>
      </c>
      <c r="F32" s="79" t="str">
        <f t="shared" si="2"/>
        <v>ENTRANCE- učinkovitost ispitivanja na temu rizika  prelaska teretnih granica bez ometanja poslovanja</v>
      </c>
      <c r="G32" s="79" t="str">
        <f t="shared" si="3"/>
        <v>0150</v>
      </c>
      <c r="H32" s="67">
        <v>19358</v>
      </c>
      <c r="I32" s="67">
        <v>0</v>
      </c>
      <c r="J32" s="67">
        <v>0</v>
      </c>
      <c r="K32" s="89" t="s">
        <v>1453</v>
      </c>
      <c r="L32" s="90">
        <v>44105</v>
      </c>
      <c r="M32" s="90">
        <v>45199</v>
      </c>
      <c r="N32" s="89" t="s">
        <v>1398</v>
      </c>
      <c r="O32" s="73" t="s">
        <v>1453</v>
      </c>
      <c r="P32" s="68"/>
      <c r="Q32" s="51"/>
      <c r="R32" s="51" t="str">
        <f t="shared" si="4"/>
        <v>329</v>
      </c>
      <c r="S32" s="51" t="str">
        <f t="shared" si="5"/>
        <v>32</v>
      </c>
      <c r="T32" s="51" t="str">
        <f t="shared" si="6"/>
        <v>15</v>
      </c>
      <c r="U32" s="51"/>
      <c r="V32" s="51"/>
      <c r="W32" s="51"/>
      <c r="X32" s="51">
        <v>3291</v>
      </c>
      <c r="Y32" s="51" t="s">
        <v>728</v>
      </c>
      <c r="Z32" s="51"/>
      <c r="AA32" s="51" t="str">
        <f t="shared" si="7"/>
        <v>32</v>
      </c>
      <c r="AB32" s="51" t="str">
        <f t="shared" si="8"/>
        <v>329</v>
      </c>
      <c r="AC32" s="51"/>
      <c r="AD32" s="51" t="s">
        <v>1462</v>
      </c>
      <c r="AE32" s="51" t="s">
        <v>1463</v>
      </c>
      <c r="AF32" s="51" t="str">
        <f t="shared" si="9"/>
        <v>K818050</v>
      </c>
      <c r="AG32" s="51" t="str">
        <f>VLOOKUP(AF32,AKT!$C$4:$E$324,3,FALSE)</f>
        <v>0950</v>
      </c>
    </row>
    <row r="33" spans="1:33" ht="15.75" customHeight="1">
      <c r="A33" s="84">
        <v>51</v>
      </c>
      <c r="B33" s="79" t="str">
        <f t="shared" si="0"/>
        <v>Pomoći EU</v>
      </c>
      <c r="C33" s="84">
        <v>4224</v>
      </c>
      <c r="D33" s="79" t="str">
        <f t="shared" si="1"/>
        <v>Medicinska i laboratorijska oprema</v>
      </c>
      <c r="E33" s="84" t="s">
        <v>1452</v>
      </c>
      <c r="F33" s="79" t="str">
        <f t="shared" si="2"/>
        <v>ENTRANCE- učinkovitost ispitivanja na temu rizika  prelaska teretnih granica bez ometanja poslovanja</v>
      </c>
      <c r="G33" s="79" t="str">
        <f t="shared" si="3"/>
        <v>0150</v>
      </c>
      <c r="H33" s="67">
        <v>6453</v>
      </c>
      <c r="I33" s="67">
        <v>0</v>
      </c>
      <c r="J33" s="67">
        <v>0</v>
      </c>
      <c r="K33" s="89" t="s">
        <v>1453</v>
      </c>
      <c r="L33" s="90">
        <v>44105</v>
      </c>
      <c r="M33" s="90">
        <v>45199</v>
      </c>
      <c r="N33" s="89" t="s">
        <v>1398</v>
      </c>
      <c r="O33" s="73" t="s">
        <v>1453</v>
      </c>
      <c r="P33" s="68"/>
      <c r="Q33" s="51"/>
      <c r="R33" s="51" t="str">
        <f t="shared" si="4"/>
        <v>422</v>
      </c>
      <c r="S33" s="51" t="str">
        <f t="shared" si="5"/>
        <v>42</v>
      </c>
      <c r="T33" s="51" t="str">
        <f t="shared" si="6"/>
        <v>15</v>
      </c>
      <c r="U33" s="51"/>
      <c r="V33" s="51"/>
      <c r="W33" s="51"/>
      <c r="X33" s="51">
        <v>3292</v>
      </c>
      <c r="Y33" s="51" t="s">
        <v>731</v>
      </c>
      <c r="Z33" s="51"/>
      <c r="AA33" s="51" t="str">
        <f t="shared" si="7"/>
        <v>32</v>
      </c>
      <c r="AB33" s="51" t="str">
        <f t="shared" si="8"/>
        <v>329</v>
      </c>
      <c r="AC33" s="51"/>
      <c r="AD33" s="51" t="s">
        <v>1464</v>
      </c>
      <c r="AE33" s="51" t="s">
        <v>1465</v>
      </c>
      <c r="AF33" s="51" t="str">
        <f t="shared" si="9"/>
        <v>K818050</v>
      </c>
      <c r="AG33" s="51" t="str">
        <f>VLOOKUP(AF33,AKT!$C$4:$E$324,3,FALSE)</f>
        <v>0950</v>
      </c>
    </row>
    <row r="34" spans="1:33" ht="15.75" customHeight="1">
      <c r="A34" s="84">
        <v>51</v>
      </c>
      <c r="B34" s="79" t="str">
        <f t="shared" si="0"/>
        <v>Pomoći EU</v>
      </c>
      <c r="C34" s="84">
        <v>3111</v>
      </c>
      <c r="D34" s="79" t="str">
        <f t="shared" si="1"/>
        <v>Plaće za redovan rad</v>
      </c>
      <c r="E34" s="84" t="s">
        <v>1466</v>
      </c>
      <c r="F34" s="79" t="str">
        <f t="shared" si="2"/>
        <v>EURAMED rocc-n-roll- primjena i koncept zaštite od zračenja: strateški plan istraživanjai međusobno povezivanje sa aspektima topline i digitalizacije</v>
      </c>
      <c r="G34" s="79" t="str">
        <f t="shared" si="3"/>
        <v>0150</v>
      </c>
      <c r="H34" s="67">
        <v>2149</v>
      </c>
      <c r="I34" s="67">
        <v>0</v>
      </c>
      <c r="J34" s="67">
        <v>0</v>
      </c>
      <c r="K34" s="89" t="s">
        <v>1467</v>
      </c>
      <c r="L34" s="90">
        <v>44075</v>
      </c>
      <c r="M34" s="90">
        <v>45169</v>
      </c>
      <c r="N34" s="89" t="s">
        <v>1398</v>
      </c>
      <c r="O34" s="73" t="s">
        <v>1467</v>
      </c>
      <c r="P34" s="68"/>
      <c r="Q34" s="51"/>
      <c r="R34" s="51" t="str">
        <f t="shared" si="4"/>
        <v>311</v>
      </c>
      <c r="S34" s="51" t="str">
        <f t="shared" si="5"/>
        <v>31</v>
      </c>
      <c r="T34" s="51" t="str">
        <f t="shared" si="6"/>
        <v>15</v>
      </c>
      <c r="U34" s="51"/>
      <c r="V34" s="51"/>
      <c r="W34" s="51"/>
      <c r="X34" s="51">
        <v>3293</v>
      </c>
      <c r="Y34" s="51" t="s">
        <v>734</v>
      </c>
      <c r="Z34" s="51"/>
      <c r="AA34" s="51" t="str">
        <f t="shared" si="7"/>
        <v>32</v>
      </c>
      <c r="AB34" s="51" t="str">
        <f t="shared" si="8"/>
        <v>329</v>
      </c>
      <c r="AC34" s="51"/>
      <c r="AD34" s="51" t="s">
        <v>1468</v>
      </c>
      <c r="AE34" s="51" t="s">
        <v>1469</v>
      </c>
      <c r="AF34" s="51" t="str">
        <f t="shared" si="9"/>
        <v>K818050</v>
      </c>
      <c r="AG34" s="51" t="str">
        <f>VLOOKUP(AF34,AKT!$C$4:$E$324,3,FALSE)</f>
        <v>0950</v>
      </c>
    </row>
    <row r="35" spans="1:33" ht="15.75" customHeight="1">
      <c r="A35" s="84">
        <v>51</v>
      </c>
      <c r="B35" s="79" t="str">
        <f t="shared" si="0"/>
        <v>Pomoći EU</v>
      </c>
      <c r="C35" s="84">
        <v>3132</v>
      </c>
      <c r="D35" s="79" t="str">
        <f t="shared" si="1"/>
        <v>Doprinosi za obvezno zdravstveno osiguranje</v>
      </c>
      <c r="E35" s="84" t="s">
        <v>1466</v>
      </c>
      <c r="F35" s="79" t="str">
        <f t="shared" si="2"/>
        <v>EURAMED rocc-n-roll- primjena i koncept zaštite od zračenja: strateški plan istraživanjai međusobno povezivanje sa aspektima topline i digitalizacije</v>
      </c>
      <c r="G35" s="79" t="str">
        <f t="shared" si="3"/>
        <v>0150</v>
      </c>
      <c r="H35" s="67">
        <v>358</v>
      </c>
      <c r="I35" s="67">
        <v>0</v>
      </c>
      <c r="J35" s="67">
        <v>0</v>
      </c>
      <c r="K35" s="89" t="s">
        <v>1467</v>
      </c>
      <c r="L35" s="90">
        <v>44075</v>
      </c>
      <c r="M35" s="90">
        <v>45169</v>
      </c>
      <c r="N35" s="89" t="s">
        <v>1398</v>
      </c>
      <c r="O35" s="73" t="s">
        <v>1467</v>
      </c>
      <c r="P35" s="68"/>
      <c r="Q35" s="51"/>
      <c r="R35" s="51" t="str">
        <f t="shared" si="4"/>
        <v>313</v>
      </c>
      <c r="S35" s="51" t="str">
        <f t="shared" si="5"/>
        <v>31</v>
      </c>
      <c r="T35" s="51" t="str">
        <f t="shared" si="6"/>
        <v>15</v>
      </c>
      <c r="U35" s="51"/>
      <c r="V35" s="51"/>
      <c r="W35" s="51"/>
      <c r="X35" s="51">
        <v>3293</v>
      </c>
      <c r="Y35" s="51" t="s">
        <v>737</v>
      </c>
      <c r="Z35" s="51"/>
      <c r="AA35" s="51" t="str">
        <f t="shared" si="7"/>
        <v>32</v>
      </c>
      <c r="AB35" s="51" t="str">
        <f t="shared" si="8"/>
        <v>329</v>
      </c>
      <c r="AC35" s="51"/>
      <c r="AD35" s="51" t="s">
        <v>1470</v>
      </c>
      <c r="AE35" s="51" t="s">
        <v>1471</v>
      </c>
      <c r="AF35" s="51" t="str">
        <f t="shared" si="9"/>
        <v>K818050</v>
      </c>
      <c r="AG35" s="51" t="str">
        <f>VLOOKUP(AF35,AKT!$C$4:$E$324,3,FALSE)</f>
        <v>0950</v>
      </c>
    </row>
    <row r="36" spans="1:33" ht="15.75" customHeight="1">
      <c r="A36" s="84">
        <v>51</v>
      </c>
      <c r="B36" s="79" t="str">
        <f t="shared" si="0"/>
        <v>Pomoći EU</v>
      </c>
      <c r="C36" s="84">
        <v>3211</v>
      </c>
      <c r="D36" s="79" t="str">
        <f t="shared" si="1"/>
        <v>Službena putovanja</v>
      </c>
      <c r="E36" s="84" t="s">
        <v>1466</v>
      </c>
      <c r="F36" s="79" t="str">
        <f t="shared" si="2"/>
        <v>EURAMED rocc-n-roll- primjena i koncept zaštite od zračenja: strateški plan istraživanjai međusobno povezivanje sa aspektima topline i digitalizacije</v>
      </c>
      <c r="G36" s="79" t="str">
        <f t="shared" si="3"/>
        <v>0150</v>
      </c>
      <c r="H36" s="67">
        <v>239</v>
      </c>
      <c r="I36" s="67">
        <v>0</v>
      </c>
      <c r="J36" s="67">
        <v>0</v>
      </c>
      <c r="K36" s="89" t="s">
        <v>1467</v>
      </c>
      <c r="L36" s="90">
        <v>44075</v>
      </c>
      <c r="M36" s="90">
        <v>45169</v>
      </c>
      <c r="N36" s="89" t="s">
        <v>1398</v>
      </c>
      <c r="O36" s="73" t="s">
        <v>1467</v>
      </c>
      <c r="P36" s="68"/>
      <c r="Q36" s="51"/>
      <c r="R36" s="51" t="str">
        <f t="shared" si="4"/>
        <v>321</v>
      </c>
      <c r="S36" s="51" t="str">
        <f t="shared" si="5"/>
        <v>32</v>
      </c>
      <c r="T36" s="51" t="str">
        <f t="shared" si="6"/>
        <v>15</v>
      </c>
      <c r="U36" s="51"/>
      <c r="V36" s="51"/>
      <c r="W36" s="51"/>
      <c r="X36" s="51">
        <v>3294</v>
      </c>
      <c r="Y36" s="51" t="s">
        <v>740</v>
      </c>
      <c r="Z36" s="51"/>
      <c r="AA36" s="51" t="str">
        <f t="shared" si="7"/>
        <v>32</v>
      </c>
      <c r="AB36" s="51" t="str">
        <f t="shared" si="8"/>
        <v>329</v>
      </c>
      <c r="AC36" s="51"/>
      <c r="AD36" s="51" t="s">
        <v>1472</v>
      </c>
      <c r="AE36" s="51" t="s">
        <v>1473</v>
      </c>
      <c r="AF36" s="51" t="str">
        <f t="shared" si="9"/>
        <v>K818050</v>
      </c>
      <c r="AG36" s="51" t="str">
        <f>VLOOKUP(AF36,AKT!$C$4:$E$324,3,FALSE)</f>
        <v>0950</v>
      </c>
    </row>
    <row r="37" spans="1:33" ht="15.75" customHeight="1">
      <c r="A37" s="84">
        <v>51</v>
      </c>
      <c r="B37" s="79" t="str">
        <f t="shared" si="0"/>
        <v>Pomoći EU</v>
      </c>
      <c r="C37" s="84">
        <v>3222</v>
      </c>
      <c r="D37" s="79" t="str">
        <f t="shared" si="1"/>
        <v>Materijal i sirovine</v>
      </c>
      <c r="E37" s="84" t="s">
        <v>1466</v>
      </c>
      <c r="F37" s="79" t="str">
        <f t="shared" si="2"/>
        <v>EURAMED rocc-n-roll- primjena i koncept zaštite od zračenja: strateški plan istraživanjai međusobno povezivanje sa aspektima topline i digitalizacije</v>
      </c>
      <c r="G37" s="79" t="str">
        <f t="shared" si="3"/>
        <v>0150</v>
      </c>
      <c r="H37" s="67">
        <v>597</v>
      </c>
      <c r="I37" s="67">
        <v>0</v>
      </c>
      <c r="J37" s="67">
        <v>0</v>
      </c>
      <c r="K37" s="89" t="s">
        <v>1467</v>
      </c>
      <c r="L37" s="90">
        <v>44075</v>
      </c>
      <c r="M37" s="90">
        <v>45169</v>
      </c>
      <c r="N37" s="89" t="s">
        <v>1398</v>
      </c>
      <c r="O37" s="73" t="s">
        <v>1467</v>
      </c>
      <c r="P37" s="68"/>
      <c r="Q37" s="51"/>
      <c r="R37" s="51" t="str">
        <f t="shared" si="4"/>
        <v>322</v>
      </c>
      <c r="S37" s="51" t="str">
        <f t="shared" si="5"/>
        <v>32</v>
      </c>
      <c r="T37" s="51" t="str">
        <f t="shared" si="6"/>
        <v>15</v>
      </c>
      <c r="U37" s="51"/>
      <c r="V37" s="51"/>
      <c r="W37" s="51"/>
      <c r="X37" s="51">
        <v>3295</v>
      </c>
      <c r="Y37" s="51" t="s">
        <v>743</v>
      </c>
      <c r="Z37" s="51"/>
      <c r="AA37" s="51" t="str">
        <f t="shared" si="7"/>
        <v>32</v>
      </c>
      <c r="AB37" s="51" t="str">
        <f t="shared" si="8"/>
        <v>329</v>
      </c>
      <c r="AC37" s="51"/>
      <c r="AD37" s="51" t="s">
        <v>1474</v>
      </c>
      <c r="AE37" s="51" t="s">
        <v>1475</v>
      </c>
      <c r="AF37" s="51" t="str">
        <f t="shared" si="9"/>
        <v>A679071</v>
      </c>
      <c r="AG37" s="51" t="str">
        <f>VLOOKUP(AF37,AKT!$C$4:$E$324,3,FALSE)</f>
        <v>0942</v>
      </c>
    </row>
    <row r="38" spans="1:33" ht="15.75" customHeight="1">
      <c r="A38" s="84">
        <v>51</v>
      </c>
      <c r="B38" s="79" t="str">
        <f t="shared" si="0"/>
        <v>Pomoći EU</v>
      </c>
      <c r="C38" s="84">
        <v>3299</v>
      </c>
      <c r="D38" s="79" t="str">
        <f t="shared" si="1"/>
        <v>Ostali nespomenuti rashodi poslovanja</v>
      </c>
      <c r="E38" s="84" t="s">
        <v>1466</v>
      </c>
      <c r="F38" s="79" t="str">
        <f t="shared" si="2"/>
        <v>EURAMED rocc-n-roll- primjena i koncept zaštite od zračenja: strateški plan istraživanjai međusobno povezivanje sa aspektima topline i digitalizacije</v>
      </c>
      <c r="G38" s="79" t="str">
        <f t="shared" si="3"/>
        <v>0150</v>
      </c>
      <c r="H38" s="67">
        <v>1969</v>
      </c>
      <c r="I38" s="67">
        <v>0</v>
      </c>
      <c r="J38" s="67">
        <v>0</v>
      </c>
      <c r="K38" s="89" t="s">
        <v>1467</v>
      </c>
      <c r="L38" s="90">
        <v>44075</v>
      </c>
      <c r="M38" s="90">
        <v>45169</v>
      </c>
      <c r="N38" s="89" t="s">
        <v>1398</v>
      </c>
      <c r="O38" s="73" t="s">
        <v>1467</v>
      </c>
      <c r="P38" s="68"/>
      <c r="Q38" s="51"/>
      <c r="R38" s="51" t="str">
        <f t="shared" si="4"/>
        <v>329</v>
      </c>
      <c r="S38" s="51" t="str">
        <f t="shared" si="5"/>
        <v>32</v>
      </c>
      <c r="T38" s="51" t="str">
        <f t="shared" si="6"/>
        <v>15</v>
      </c>
      <c r="U38" s="51"/>
      <c r="V38" s="51"/>
      <c r="W38" s="51"/>
      <c r="X38" s="51">
        <v>3296</v>
      </c>
      <c r="Y38" s="51" t="s">
        <v>746</v>
      </c>
      <c r="Z38" s="51"/>
      <c r="AA38" s="51" t="str">
        <f t="shared" si="7"/>
        <v>32</v>
      </c>
      <c r="AB38" s="51" t="str">
        <f t="shared" si="8"/>
        <v>329</v>
      </c>
      <c r="AC38" s="51"/>
      <c r="AD38" s="51" t="s">
        <v>1476</v>
      </c>
      <c r="AE38" s="51" t="s">
        <v>1477</v>
      </c>
      <c r="AF38" s="51" t="str">
        <f t="shared" si="9"/>
        <v>A679071</v>
      </c>
      <c r="AG38" s="51" t="str">
        <f>VLOOKUP(AF38,AKT!$C$4:$E$324,3,FALSE)</f>
        <v>0942</v>
      </c>
    </row>
    <row r="39" spans="1:33" ht="15.75" customHeight="1">
      <c r="A39" s="84">
        <v>51</v>
      </c>
      <c r="B39" s="79" t="str">
        <f t="shared" si="0"/>
        <v>Pomoći EU</v>
      </c>
      <c r="C39" s="84">
        <v>4224</v>
      </c>
      <c r="D39" s="79" t="str">
        <f t="shared" si="1"/>
        <v>Medicinska i laboratorijska oprema</v>
      </c>
      <c r="E39" s="84" t="s">
        <v>1466</v>
      </c>
      <c r="F39" s="79" t="str">
        <f t="shared" si="2"/>
        <v>EURAMED rocc-n-roll- primjena i koncept zaštite od zračenja: strateški plan istraživanjai međusobno povezivanje sa aspektima topline i digitalizacije</v>
      </c>
      <c r="G39" s="79" t="str">
        <f t="shared" si="3"/>
        <v>0150</v>
      </c>
      <c r="H39" s="67">
        <v>656</v>
      </c>
      <c r="I39" s="67">
        <v>0</v>
      </c>
      <c r="J39" s="67">
        <v>0</v>
      </c>
      <c r="K39" s="89" t="s">
        <v>1467</v>
      </c>
      <c r="L39" s="90">
        <v>44075</v>
      </c>
      <c r="M39" s="90">
        <v>45169</v>
      </c>
      <c r="N39" s="89" t="s">
        <v>1398</v>
      </c>
      <c r="O39" s="73" t="s">
        <v>1467</v>
      </c>
      <c r="P39" s="68"/>
      <c r="Q39" s="51"/>
      <c r="R39" s="51" t="str">
        <f t="shared" si="4"/>
        <v>422</v>
      </c>
      <c r="S39" s="51" t="str">
        <f t="shared" si="5"/>
        <v>42</v>
      </c>
      <c r="T39" s="51" t="str">
        <f t="shared" si="6"/>
        <v>15</v>
      </c>
      <c r="U39" s="51"/>
      <c r="V39" s="51"/>
      <c r="W39" s="51"/>
      <c r="X39" s="51">
        <v>3299</v>
      </c>
      <c r="Y39" s="51" t="s">
        <v>752</v>
      </c>
      <c r="Z39" s="51"/>
      <c r="AA39" s="51" t="str">
        <f t="shared" si="7"/>
        <v>32</v>
      </c>
      <c r="AB39" s="51" t="str">
        <f t="shared" si="8"/>
        <v>329</v>
      </c>
      <c r="AC39" s="51"/>
      <c r="AD39" s="51" t="s">
        <v>1478</v>
      </c>
      <c r="AE39" s="51" t="s">
        <v>1479</v>
      </c>
      <c r="AF39" s="51" t="str">
        <f t="shared" si="9"/>
        <v>A679071</v>
      </c>
      <c r="AG39" s="51" t="str">
        <f>VLOOKUP(AF39,AKT!$C$4:$E$324,3,FALSE)</f>
        <v>0942</v>
      </c>
    </row>
    <row r="40" spans="1:33" ht="15.75" customHeight="1">
      <c r="A40" s="84">
        <v>51</v>
      </c>
      <c r="B40" s="79" t="str">
        <f t="shared" si="0"/>
        <v>Pomoći EU</v>
      </c>
      <c r="C40" s="84">
        <v>3111</v>
      </c>
      <c r="D40" s="79" t="str">
        <f t="shared" si="1"/>
        <v>Plaće za redovan rad</v>
      </c>
      <c r="E40" s="84" t="s">
        <v>1480</v>
      </c>
      <c r="F40" s="79" t="str">
        <f t="shared" si="2"/>
        <v>FunTomP - Funkcionalizirani proizvodi od rajčice</v>
      </c>
      <c r="G40" s="79" t="str">
        <f t="shared" si="3"/>
        <v>0150</v>
      </c>
      <c r="H40" s="67">
        <v>18759</v>
      </c>
      <c r="I40" s="67">
        <v>18759</v>
      </c>
      <c r="J40" s="67">
        <v>9379</v>
      </c>
      <c r="K40" s="89" t="s">
        <v>1481</v>
      </c>
      <c r="L40" s="90">
        <v>44317</v>
      </c>
      <c r="M40" s="90">
        <v>45777</v>
      </c>
      <c r="N40" s="89" t="s">
        <v>1398</v>
      </c>
      <c r="O40" s="73" t="s">
        <v>1481</v>
      </c>
      <c r="P40" s="68"/>
      <c r="Q40" s="51"/>
      <c r="R40" s="51" t="str">
        <f t="shared" si="4"/>
        <v>311</v>
      </c>
      <c r="S40" s="51" t="str">
        <f t="shared" si="5"/>
        <v>31</v>
      </c>
      <c r="T40" s="51" t="str">
        <f t="shared" si="6"/>
        <v>15</v>
      </c>
      <c r="U40" s="51"/>
      <c r="V40" s="51"/>
      <c r="W40" s="51"/>
      <c r="X40" s="51">
        <v>3411</v>
      </c>
      <c r="Y40" s="51" t="s">
        <v>753</v>
      </c>
      <c r="Z40" s="51"/>
      <c r="AA40" s="51" t="str">
        <f t="shared" si="7"/>
        <v>34</v>
      </c>
      <c r="AB40" s="51" t="str">
        <f t="shared" si="8"/>
        <v>341</v>
      </c>
      <c r="AC40" s="51"/>
      <c r="AD40" s="51" t="s">
        <v>1482</v>
      </c>
      <c r="AE40" s="51" t="s">
        <v>1483</v>
      </c>
      <c r="AF40" s="51" t="str">
        <f t="shared" si="9"/>
        <v>A679071</v>
      </c>
      <c r="AG40" s="51" t="str">
        <f>VLOOKUP(AF40,AKT!$C$4:$E$324,3,FALSE)</f>
        <v>0942</v>
      </c>
    </row>
    <row r="41" spans="1:33" ht="15.75" customHeight="1">
      <c r="A41" s="84">
        <v>51</v>
      </c>
      <c r="B41" s="79" t="str">
        <f t="shared" si="0"/>
        <v>Pomoći EU</v>
      </c>
      <c r="C41" s="84">
        <v>3132</v>
      </c>
      <c r="D41" s="79" t="str">
        <f t="shared" si="1"/>
        <v>Doprinosi za obvezno zdravstveno osiguranje</v>
      </c>
      <c r="E41" s="84" t="s">
        <v>1480</v>
      </c>
      <c r="F41" s="79" t="str">
        <f t="shared" si="2"/>
        <v>FunTomP - Funkcionalizirani proizvodi od rajčice</v>
      </c>
      <c r="G41" s="79" t="str">
        <f t="shared" si="3"/>
        <v>0150</v>
      </c>
      <c r="H41" s="67">
        <v>3126</v>
      </c>
      <c r="I41" s="67">
        <v>3126</v>
      </c>
      <c r="J41" s="67">
        <v>1563</v>
      </c>
      <c r="K41" s="89" t="s">
        <v>1481</v>
      </c>
      <c r="L41" s="90">
        <v>44317</v>
      </c>
      <c r="M41" s="90">
        <v>45777</v>
      </c>
      <c r="N41" s="89" t="s">
        <v>1398</v>
      </c>
      <c r="O41" s="73" t="s">
        <v>1481</v>
      </c>
      <c r="P41" s="68"/>
      <c r="Q41" s="51"/>
      <c r="R41" s="51" t="str">
        <f t="shared" si="4"/>
        <v>313</v>
      </c>
      <c r="S41" s="51" t="str">
        <f t="shared" si="5"/>
        <v>31</v>
      </c>
      <c r="T41" s="51" t="str">
        <f t="shared" si="6"/>
        <v>15</v>
      </c>
      <c r="U41" s="51"/>
      <c r="V41" s="51"/>
      <c r="W41" s="51"/>
      <c r="X41" s="51">
        <v>3422</v>
      </c>
      <c r="Y41" s="51" t="s">
        <v>756</v>
      </c>
      <c r="Z41" s="51"/>
      <c r="AA41" s="51" t="str">
        <f t="shared" si="7"/>
        <v>34</v>
      </c>
      <c r="AB41" s="51" t="str">
        <f t="shared" si="8"/>
        <v>342</v>
      </c>
      <c r="AC41" s="51"/>
      <c r="AD41" s="51" t="s">
        <v>1484</v>
      </c>
      <c r="AE41" s="51" t="s">
        <v>1485</v>
      </c>
      <c r="AF41" s="51" t="str">
        <f t="shared" si="9"/>
        <v>A679071</v>
      </c>
      <c r="AG41" s="51" t="str">
        <f>VLOOKUP(AF41,AKT!$C$4:$E$324,3,FALSE)</f>
        <v>0942</v>
      </c>
    </row>
    <row r="42" spans="1:33" ht="15.75" customHeight="1">
      <c r="A42" s="84">
        <v>51</v>
      </c>
      <c r="B42" s="79" t="str">
        <f t="shared" si="0"/>
        <v>Pomoći EU</v>
      </c>
      <c r="C42" s="84">
        <v>3211</v>
      </c>
      <c r="D42" s="79" t="str">
        <f t="shared" si="1"/>
        <v>Službena putovanja</v>
      </c>
      <c r="E42" s="84" t="s">
        <v>1480</v>
      </c>
      <c r="F42" s="79" t="str">
        <f t="shared" si="2"/>
        <v>FunTomP - Funkcionalizirani proizvodi od rajčice</v>
      </c>
      <c r="G42" s="79" t="str">
        <f t="shared" si="3"/>
        <v>0150</v>
      </c>
      <c r="H42" s="67">
        <v>2084</v>
      </c>
      <c r="I42" s="67">
        <v>2084</v>
      </c>
      <c r="J42" s="67">
        <v>1042</v>
      </c>
      <c r="K42" s="89" t="s">
        <v>1481</v>
      </c>
      <c r="L42" s="90">
        <v>44317</v>
      </c>
      <c r="M42" s="90">
        <v>45777</v>
      </c>
      <c r="N42" s="89" t="s">
        <v>1398</v>
      </c>
      <c r="O42" s="73" t="s">
        <v>1481</v>
      </c>
      <c r="P42" s="68"/>
      <c r="Q42" s="51"/>
      <c r="R42" s="51" t="str">
        <f t="shared" si="4"/>
        <v>321</v>
      </c>
      <c r="S42" s="51" t="str">
        <f t="shared" si="5"/>
        <v>32</v>
      </c>
      <c r="T42" s="51" t="str">
        <f t="shared" si="6"/>
        <v>15</v>
      </c>
      <c r="U42" s="51"/>
      <c r="V42" s="51"/>
      <c r="W42" s="51"/>
      <c r="X42" s="51">
        <v>3423</v>
      </c>
      <c r="Y42" s="51" t="s">
        <v>756</v>
      </c>
      <c r="Z42" s="51"/>
      <c r="AA42" s="51" t="str">
        <f t="shared" si="7"/>
        <v>34</v>
      </c>
      <c r="AB42" s="51" t="str">
        <f t="shared" si="8"/>
        <v>342</v>
      </c>
      <c r="AC42" s="51"/>
      <c r="AD42" s="51" t="s">
        <v>1486</v>
      </c>
      <c r="AE42" s="51" t="s">
        <v>1487</v>
      </c>
      <c r="AF42" s="51" t="str">
        <f t="shared" si="9"/>
        <v>A679071</v>
      </c>
      <c r="AG42" s="51" t="str">
        <f>VLOOKUP(AF42,AKT!$C$4:$E$324,3,FALSE)</f>
        <v>0942</v>
      </c>
    </row>
    <row r="43" spans="1:33" ht="15.75" customHeight="1">
      <c r="A43" s="84">
        <v>51</v>
      </c>
      <c r="B43" s="79" t="str">
        <f t="shared" si="0"/>
        <v>Pomoći EU</v>
      </c>
      <c r="C43" s="84">
        <v>3222</v>
      </c>
      <c r="D43" s="79" t="str">
        <f t="shared" si="1"/>
        <v>Materijal i sirovine</v>
      </c>
      <c r="E43" s="84" t="s">
        <v>1480</v>
      </c>
      <c r="F43" s="79" t="str">
        <f t="shared" si="2"/>
        <v>FunTomP - Funkcionalizirani proizvodi od rajčice</v>
      </c>
      <c r="G43" s="79" t="str">
        <f t="shared" si="3"/>
        <v>0150</v>
      </c>
      <c r="H43" s="67">
        <v>5211</v>
      </c>
      <c r="I43" s="67">
        <v>5211</v>
      </c>
      <c r="J43" s="67">
        <v>2605</v>
      </c>
      <c r="K43" s="89" t="s">
        <v>1481</v>
      </c>
      <c r="L43" s="90">
        <v>44317</v>
      </c>
      <c r="M43" s="90">
        <v>45777</v>
      </c>
      <c r="N43" s="89" t="s">
        <v>1398</v>
      </c>
      <c r="O43" s="73" t="s">
        <v>1481</v>
      </c>
      <c r="P43" s="68"/>
      <c r="Q43" s="51"/>
      <c r="R43" s="51" t="str">
        <f t="shared" si="4"/>
        <v>322</v>
      </c>
      <c r="S43" s="51" t="str">
        <f t="shared" si="5"/>
        <v>32</v>
      </c>
      <c r="T43" s="51" t="str">
        <f t="shared" si="6"/>
        <v>15</v>
      </c>
      <c r="U43" s="51"/>
      <c r="V43" s="51"/>
      <c r="W43" s="51"/>
      <c r="X43" s="51">
        <v>3427</v>
      </c>
      <c r="Y43" s="51" t="s">
        <v>761</v>
      </c>
      <c r="Z43" s="51"/>
      <c r="AA43" s="51" t="str">
        <f t="shared" si="7"/>
        <v>34</v>
      </c>
      <c r="AB43" s="51" t="str">
        <f t="shared" si="8"/>
        <v>342</v>
      </c>
      <c r="AC43" s="51"/>
      <c r="AD43" s="51" t="s">
        <v>1488</v>
      </c>
      <c r="AE43" s="51" t="s">
        <v>1489</v>
      </c>
      <c r="AF43" s="51" t="str">
        <f t="shared" si="9"/>
        <v>A679071</v>
      </c>
      <c r="AG43" s="51" t="str">
        <f>VLOOKUP(AF43,AKT!$C$4:$E$324,3,FALSE)</f>
        <v>0942</v>
      </c>
    </row>
    <row r="44" spans="1:33" ht="15.75" customHeight="1">
      <c r="A44" s="84">
        <v>51</v>
      </c>
      <c r="B44" s="79" t="str">
        <f t="shared" si="0"/>
        <v>Pomoći EU</v>
      </c>
      <c r="C44" s="84">
        <v>3299</v>
      </c>
      <c r="D44" s="79" t="str">
        <f t="shared" si="1"/>
        <v>Ostali nespomenuti rashodi poslovanja</v>
      </c>
      <c r="E44" s="84" t="s">
        <v>1480</v>
      </c>
      <c r="F44" s="79" t="str">
        <f t="shared" si="2"/>
        <v>FunTomP - Funkcionalizirani proizvodi od rajčice</v>
      </c>
      <c r="G44" s="79" t="str">
        <f t="shared" si="3"/>
        <v>0150</v>
      </c>
      <c r="H44" s="67">
        <v>17195</v>
      </c>
      <c r="I44" s="67">
        <v>17195</v>
      </c>
      <c r="J44" s="67">
        <v>8598</v>
      </c>
      <c r="K44" s="89" t="s">
        <v>1481</v>
      </c>
      <c r="L44" s="90">
        <v>44317</v>
      </c>
      <c r="M44" s="90">
        <v>45777</v>
      </c>
      <c r="N44" s="89" t="s">
        <v>1398</v>
      </c>
      <c r="O44" s="73" t="s">
        <v>1481</v>
      </c>
      <c r="P44" s="68"/>
      <c r="Q44" s="51"/>
      <c r="R44" s="51" t="str">
        <f t="shared" si="4"/>
        <v>329</v>
      </c>
      <c r="S44" s="51" t="str">
        <f t="shared" si="5"/>
        <v>32</v>
      </c>
      <c r="T44" s="51" t="str">
        <f t="shared" si="6"/>
        <v>15</v>
      </c>
      <c r="U44" s="51"/>
      <c r="V44" s="51"/>
      <c r="W44" s="51"/>
      <c r="X44" s="51">
        <v>3431</v>
      </c>
      <c r="Y44" s="51" t="s">
        <v>763</v>
      </c>
      <c r="Z44" s="51"/>
      <c r="AA44" s="51" t="str">
        <f t="shared" si="7"/>
        <v>34</v>
      </c>
      <c r="AB44" s="51" t="str">
        <f t="shared" si="8"/>
        <v>343</v>
      </c>
      <c r="AC44" s="51"/>
      <c r="AD44" s="51" t="s">
        <v>1490</v>
      </c>
      <c r="AE44" s="51" t="s">
        <v>1491</v>
      </c>
      <c r="AF44" s="51" t="str">
        <f t="shared" si="9"/>
        <v>A679071</v>
      </c>
      <c r="AG44" s="51" t="str">
        <f>VLOOKUP(AF44,AKT!$C$4:$E$324,3,FALSE)</f>
        <v>0942</v>
      </c>
    </row>
    <row r="45" spans="1:33" ht="15.75" customHeight="1">
      <c r="A45" s="84">
        <v>51</v>
      </c>
      <c r="B45" s="79" t="str">
        <f t="shared" si="0"/>
        <v>Pomoći EU</v>
      </c>
      <c r="C45" s="84">
        <v>4224</v>
      </c>
      <c r="D45" s="79" t="str">
        <f t="shared" si="1"/>
        <v>Medicinska i laboratorijska oprema</v>
      </c>
      <c r="E45" s="84" t="s">
        <v>1480</v>
      </c>
      <c r="F45" s="79" t="str">
        <f t="shared" si="2"/>
        <v>FunTomP - Funkcionalizirani proizvodi od rajčice</v>
      </c>
      <c r="G45" s="79" t="str">
        <f t="shared" si="3"/>
        <v>0150</v>
      </c>
      <c r="H45" s="67">
        <v>5732</v>
      </c>
      <c r="I45" s="67">
        <v>5732</v>
      </c>
      <c r="J45" s="67">
        <v>2866</v>
      </c>
      <c r="K45" s="89" t="s">
        <v>1481</v>
      </c>
      <c r="L45" s="90">
        <v>44317</v>
      </c>
      <c r="M45" s="90">
        <v>45777</v>
      </c>
      <c r="N45" s="89" t="s">
        <v>1398</v>
      </c>
      <c r="O45" s="73" t="s">
        <v>1481</v>
      </c>
      <c r="P45" s="68"/>
      <c r="Q45" s="51"/>
      <c r="R45" s="51" t="str">
        <f t="shared" si="4"/>
        <v>422</v>
      </c>
      <c r="S45" s="51" t="str">
        <f t="shared" si="5"/>
        <v>42</v>
      </c>
      <c r="T45" s="51" t="str">
        <f t="shared" si="6"/>
        <v>15</v>
      </c>
      <c r="U45" s="51"/>
      <c r="V45" s="51"/>
      <c r="W45" s="51"/>
      <c r="X45" s="51">
        <v>3432</v>
      </c>
      <c r="Y45" s="51" t="s">
        <v>766</v>
      </c>
      <c r="Z45" s="51"/>
      <c r="AA45" s="51" t="str">
        <f t="shared" si="7"/>
        <v>34</v>
      </c>
      <c r="AB45" s="51" t="str">
        <f t="shared" si="8"/>
        <v>343</v>
      </c>
      <c r="AC45" s="51"/>
      <c r="AD45" s="51" t="s">
        <v>1492</v>
      </c>
      <c r="AE45" s="51" t="s">
        <v>1493</v>
      </c>
      <c r="AF45" s="51" t="str">
        <f t="shared" si="9"/>
        <v>A679071</v>
      </c>
      <c r="AG45" s="51" t="str">
        <f>VLOOKUP(AF45,AKT!$C$4:$E$324,3,FALSE)</f>
        <v>0942</v>
      </c>
    </row>
    <row r="46" spans="1:33" ht="15.75" customHeight="1">
      <c r="A46" s="84">
        <v>51</v>
      </c>
      <c r="B46" s="79" t="str">
        <f t="shared" si="0"/>
        <v>Pomoći EU</v>
      </c>
      <c r="C46" s="84">
        <v>3111</v>
      </c>
      <c r="D46" s="79" t="str">
        <f t="shared" si="1"/>
        <v>Plaće za redovan rad</v>
      </c>
      <c r="E46" s="84" t="s">
        <v>1494</v>
      </c>
      <c r="F46" s="79" t="str">
        <f t="shared" si="2"/>
        <v>GrindCore - Brušenje uz pomoć tekućine - od temelja do aplikacija</v>
      </c>
      <c r="G46" s="79" t="str">
        <f t="shared" si="3"/>
        <v>0150</v>
      </c>
      <c r="H46" s="67">
        <v>31685</v>
      </c>
      <c r="I46" s="67">
        <v>0</v>
      </c>
      <c r="J46" s="67">
        <v>0</v>
      </c>
      <c r="K46" s="89" t="s">
        <v>1495</v>
      </c>
      <c r="L46" s="90">
        <v>44105</v>
      </c>
      <c r="M46" s="90">
        <v>45199</v>
      </c>
      <c r="N46" s="89" t="s">
        <v>1398</v>
      </c>
      <c r="O46" s="73" t="s">
        <v>1495</v>
      </c>
      <c r="P46" s="68"/>
      <c r="Q46" s="51"/>
      <c r="R46" s="51" t="str">
        <f t="shared" si="4"/>
        <v>311</v>
      </c>
      <c r="S46" s="51" t="str">
        <f t="shared" si="5"/>
        <v>31</v>
      </c>
      <c r="T46" s="51" t="str">
        <f t="shared" si="6"/>
        <v>15</v>
      </c>
      <c r="U46" s="51"/>
      <c r="V46" s="51"/>
      <c r="W46" s="51"/>
      <c r="X46" s="51">
        <v>3433</v>
      </c>
      <c r="Y46" s="51" t="s">
        <v>769</v>
      </c>
      <c r="Z46" s="51"/>
      <c r="AA46" s="51" t="str">
        <f t="shared" si="7"/>
        <v>34</v>
      </c>
      <c r="AB46" s="51" t="str">
        <f t="shared" si="8"/>
        <v>343</v>
      </c>
      <c r="AC46" s="51"/>
      <c r="AD46" s="51" t="s">
        <v>1496</v>
      </c>
      <c r="AE46" s="51" t="s">
        <v>1497</v>
      </c>
      <c r="AF46" s="51" t="str">
        <f t="shared" si="9"/>
        <v>A679071</v>
      </c>
      <c r="AG46" s="51" t="str">
        <f>VLOOKUP(AF46,AKT!$C$4:$E$324,3,FALSE)</f>
        <v>0942</v>
      </c>
    </row>
    <row r="47" spans="1:33" ht="15.75" customHeight="1">
      <c r="A47" s="84">
        <v>51</v>
      </c>
      <c r="B47" s="79" t="str">
        <f t="shared" si="0"/>
        <v>Pomoći EU</v>
      </c>
      <c r="C47" s="84">
        <v>3132</v>
      </c>
      <c r="D47" s="79" t="str">
        <f t="shared" si="1"/>
        <v>Doprinosi za obvezno zdravstveno osiguranje</v>
      </c>
      <c r="E47" s="84" t="s">
        <v>1494</v>
      </c>
      <c r="F47" s="79" t="str">
        <f t="shared" si="2"/>
        <v>GrindCore - Brušenje uz pomoć tekućine - od temelja do aplikacija</v>
      </c>
      <c r="G47" s="79" t="str">
        <f t="shared" si="3"/>
        <v>0150</v>
      </c>
      <c r="H47" s="67">
        <v>5281</v>
      </c>
      <c r="I47" s="67">
        <v>0</v>
      </c>
      <c r="J47" s="67">
        <v>0</v>
      </c>
      <c r="K47" s="89" t="s">
        <v>1495</v>
      </c>
      <c r="L47" s="90">
        <v>44105</v>
      </c>
      <c r="M47" s="90">
        <v>45199</v>
      </c>
      <c r="N47" s="89" t="s">
        <v>1398</v>
      </c>
      <c r="O47" s="73" t="s">
        <v>1495</v>
      </c>
      <c r="P47" s="68"/>
      <c r="Q47" s="51"/>
      <c r="R47" s="51" t="str">
        <f t="shared" si="4"/>
        <v>313</v>
      </c>
      <c r="S47" s="51" t="str">
        <f t="shared" si="5"/>
        <v>31</v>
      </c>
      <c r="T47" s="51" t="str">
        <f t="shared" si="6"/>
        <v>15</v>
      </c>
      <c r="U47" s="51"/>
      <c r="V47" s="51"/>
      <c r="W47" s="51"/>
      <c r="X47" s="51">
        <v>3434</v>
      </c>
      <c r="Y47" s="51" t="s">
        <v>773</v>
      </c>
      <c r="Z47" s="51"/>
      <c r="AA47" s="51" t="str">
        <f t="shared" si="7"/>
        <v>34</v>
      </c>
      <c r="AB47" s="51" t="str">
        <f t="shared" si="8"/>
        <v>343</v>
      </c>
      <c r="AC47" s="51"/>
      <c r="AD47" s="51" t="s">
        <v>1498</v>
      </c>
      <c r="AE47" s="51" t="s">
        <v>1499</v>
      </c>
      <c r="AF47" s="51" t="str">
        <f t="shared" si="9"/>
        <v>A679071</v>
      </c>
      <c r="AG47" s="51" t="str">
        <f>VLOOKUP(AF47,AKT!$C$4:$E$324,3,FALSE)</f>
        <v>0942</v>
      </c>
    </row>
    <row r="48" spans="1:33" ht="15.75" customHeight="1">
      <c r="A48" s="84">
        <v>51</v>
      </c>
      <c r="B48" s="79" t="str">
        <f t="shared" si="0"/>
        <v>Pomoći EU</v>
      </c>
      <c r="C48" s="84">
        <v>3211</v>
      </c>
      <c r="D48" s="79" t="str">
        <f t="shared" si="1"/>
        <v>Službena putovanja</v>
      </c>
      <c r="E48" s="84" t="s">
        <v>1494</v>
      </c>
      <c r="F48" s="79" t="str">
        <f t="shared" si="2"/>
        <v>GrindCore - Brušenje uz pomoć tekućine - od temelja do aplikacija</v>
      </c>
      <c r="G48" s="79" t="str">
        <f t="shared" si="3"/>
        <v>0150</v>
      </c>
      <c r="H48" s="67">
        <v>3521</v>
      </c>
      <c r="I48" s="67">
        <v>0</v>
      </c>
      <c r="J48" s="67">
        <v>0</v>
      </c>
      <c r="K48" s="89" t="s">
        <v>1495</v>
      </c>
      <c r="L48" s="90">
        <v>44105</v>
      </c>
      <c r="M48" s="90">
        <v>45199</v>
      </c>
      <c r="N48" s="89" t="s">
        <v>1398</v>
      </c>
      <c r="O48" s="73" t="s">
        <v>1495</v>
      </c>
      <c r="P48" s="68"/>
      <c r="Q48" s="51"/>
      <c r="R48" s="51" t="str">
        <f t="shared" si="4"/>
        <v>321</v>
      </c>
      <c r="S48" s="51" t="str">
        <f t="shared" si="5"/>
        <v>32</v>
      </c>
      <c r="T48" s="51" t="str">
        <f t="shared" si="6"/>
        <v>15</v>
      </c>
      <c r="U48" s="51"/>
      <c r="V48" s="51"/>
      <c r="W48" s="51"/>
      <c r="X48" s="51">
        <v>3511</v>
      </c>
      <c r="Y48" s="51" t="s">
        <v>776</v>
      </c>
      <c r="Z48" s="51"/>
      <c r="AA48" s="51" t="str">
        <f t="shared" si="7"/>
        <v>35</v>
      </c>
      <c r="AB48" s="51" t="str">
        <f t="shared" si="8"/>
        <v>351</v>
      </c>
      <c r="AC48" s="51"/>
      <c r="AD48" s="51" t="s">
        <v>1500</v>
      </c>
      <c r="AE48" s="51" t="s">
        <v>1501</v>
      </c>
      <c r="AF48" s="51" t="str">
        <f t="shared" si="9"/>
        <v>A679071</v>
      </c>
      <c r="AG48" s="51" t="str">
        <f>VLOOKUP(AF48,AKT!$C$4:$E$324,3,FALSE)</f>
        <v>0942</v>
      </c>
    </row>
    <row r="49" spans="1:33" ht="15.75" customHeight="1">
      <c r="A49" s="84">
        <v>51</v>
      </c>
      <c r="B49" s="79" t="str">
        <f t="shared" si="0"/>
        <v>Pomoći EU</v>
      </c>
      <c r="C49" s="84">
        <v>3222</v>
      </c>
      <c r="D49" s="79" t="str">
        <f t="shared" si="1"/>
        <v>Materijal i sirovine</v>
      </c>
      <c r="E49" s="84" t="s">
        <v>1494</v>
      </c>
      <c r="F49" s="79" t="str">
        <f t="shared" si="2"/>
        <v>GrindCore - Brušenje uz pomoć tekućine - od temelja do aplikacija</v>
      </c>
      <c r="G49" s="79" t="str">
        <f t="shared" si="3"/>
        <v>0150</v>
      </c>
      <c r="H49" s="67">
        <v>8802</v>
      </c>
      <c r="I49" s="67">
        <v>0</v>
      </c>
      <c r="J49" s="67">
        <v>0</v>
      </c>
      <c r="K49" s="89" t="s">
        <v>1495</v>
      </c>
      <c r="L49" s="90">
        <v>44105</v>
      </c>
      <c r="M49" s="90">
        <v>45199</v>
      </c>
      <c r="N49" s="89" t="s">
        <v>1398</v>
      </c>
      <c r="O49" s="73" t="s">
        <v>1495</v>
      </c>
      <c r="P49" s="68"/>
      <c r="Q49" s="51"/>
      <c r="R49" s="51" t="str">
        <f t="shared" si="4"/>
        <v>322</v>
      </c>
      <c r="S49" s="51" t="str">
        <f t="shared" si="5"/>
        <v>32</v>
      </c>
      <c r="T49" s="51" t="str">
        <f t="shared" si="6"/>
        <v>15</v>
      </c>
      <c r="U49" s="51"/>
      <c r="V49" s="51"/>
      <c r="W49" s="51"/>
      <c r="X49" s="51">
        <v>3512</v>
      </c>
      <c r="Y49" s="51" t="s">
        <v>780</v>
      </c>
      <c r="Z49" s="51"/>
      <c r="AA49" s="51" t="str">
        <f t="shared" si="7"/>
        <v>35</v>
      </c>
      <c r="AB49" s="51" t="str">
        <f t="shared" si="8"/>
        <v>351</v>
      </c>
      <c r="AC49" s="51"/>
      <c r="AD49" s="51" t="s">
        <v>1502</v>
      </c>
      <c r="AE49" s="51" t="s">
        <v>1503</v>
      </c>
      <c r="AF49" s="51" t="str">
        <f t="shared" si="9"/>
        <v>A679071</v>
      </c>
      <c r="AG49" s="51" t="str">
        <f>VLOOKUP(AF49,AKT!$C$4:$E$324,3,FALSE)</f>
        <v>0942</v>
      </c>
    </row>
    <row r="50" spans="1:33" ht="15.75" customHeight="1">
      <c r="A50" s="84">
        <v>51</v>
      </c>
      <c r="B50" s="79" t="str">
        <f t="shared" si="0"/>
        <v>Pomoći EU</v>
      </c>
      <c r="C50" s="84">
        <v>3299</v>
      </c>
      <c r="D50" s="79" t="str">
        <f t="shared" si="1"/>
        <v>Ostali nespomenuti rashodi poslovanja</v>
      </c>
      <c r="E50" s="84" t="s">
        <v>1494</v>
      </c>
      <c r="F50" s="79" t="str">
        <f t="shared" si="2"/>
        <v>GrindCore - Brušenje uz pomoć tekućine - od temelja do aplikacija</v>
      </c>
      <c r="G50" s="79" t="str">
        <f t="shared" si="3"/>
        <v>0150</v>
      </c>
      <c r="H50" s="67">
        <v>29045</v>
      </c>
      <c r="I50" s="67">
        <v>0</v>
      </c>
      <c r="J50" s="67">
        <v>0</v>
      </c>
      <c r="K50" s="89" t="s">
        <v>1495</v>
      </c>
      <c r="L50" s="90">
        <v>44105</v>
      </c>
      <c r="M50" s="90">
        <v>45199</v>
      </c>
      <c r="N50" s="89" t="s">
        <v>1398</v>
      </c>
      <c r="O50" s="73" t="s">
        <v>1495</v>
      </c>
      <c r="P50" s="68"/>
      <c r="Q50" s="51"/>
      <c r="R50" s="51" t="str">
        <f t="shared" si="4"/>
        <v>329</v>
      </c>
      <c r="S50" s="51" t="str">
        <f t="shared" si="5"/>
        <v>32</v>
      </c>
      <c r="T50" s="51" t="str">
        <f t="shared" si="6"/>
        <v>15</v>
      </c>
      <c r="U50" s="51"/>
      <c r="V50" s="51"/>
      <c r="W50" s="51"/>
      <c r="X50" s="51">
        <v>3522</v>
      </c>
      <c r="Y50" s="51" t="s">
        <v>782</v>
      </c>
      <c r="Z50" s="51"/>
      <c r="AA50" s="51" t="str">
        <f t="shared" si="7"/>
        <v>35</v>
      </c>
      <c r="AB50" s="51" t="str">
        <f t="shared" si="8"/>
        <v>352</v>
      </c>
      <c r="AC50" s="51"/>
      <c r="AD50" s="51" t="s">
        <v>1504</v>
      </c>
      <c r="AE50" s="51" t="s">
        <v>1505</v>
      </c>
      <c r="AF50" s="51" t="str">
        <f t="shared" si="9"/>
        <v>A679071</v>
      </c>
      <c r="AG50" s="51" t="str">
        <f>VLOOKUP(AF50,AKT!$C$4:$E$324,3,FALSE)</f>
        <v>0942</v>
      </c>
    </row>
    <row r="51" spans="1:33" ht="15.75" customHeight="1">
      <c r="A51" s="84">
        <v>51</v>
      </c>
      <c r="B51" s="79" t="str">
        <f t="shared" si="0"/>
        <v>Pomoći EU</v>
      </c>
      <c r="C51" s="84">
        <v>4224</v>
      </c>
      <c r="D51" s="79" t="str">
        <f t="shared" si="1"/>
        <v>Medicinska i laboratorijska oprema</v>
      </c>
      <c r="E51" s="84" t="s">
        <v>1494</v>
      </c>
      <c r="F51" s="79" t="str">
        <f t="shared" si="2"/>
        <v>GrindCore - Brušenje uz pomoć tekućine - od temelja do aplikacija</v>
      </c>
      <c r="G51" s="79" t="str">
        <f t="shared" si="3"/>
        <v>0150</v>
      </c>
      <c r="H51" s="67">
        <v>9682</v>
      </c>
      <c r="I51" s="67">
        <v>0</v>
      </c>
      <c r="J51" s="67">
        <v>0</v>
      </c>
      <c r="K51" s="89" t="s">
        <v>1495</v>
      </c>
      <c r="L51" s="90">
        <v>44105</v>
      </c>
      <c r="M51" s="90">
        <v>45199</v>
      </c>
      <c r="N51" s="89" t="s">
        <v>1398</v>
      </c>
      <c r="O51" s="73" t="s">
        <v>1495</v>
      </c>
      <c r="P51" s="68"/>
      <c r="Q51" s="51"/>
      <c r="R51" s="51" t="str">
        <f t="shared" si="4"/>
        <v>422</v>
      </c>
      <c r="S51" s="51" t="str">
        <f t="shared" si="5"/>
        <v>42</v>
      </c>
      <c r="T51" s="51" t="str">
        <f t="shared" si="6"/>
        <v>15</v>
      </c>
      <c r="U51" s="51"/>
      <c r="V51" s="51"/>
      <c r="W51" s="51"/>
      <c r="X51" s="51">
        <v>3531</v>
      </c>
      <c r="Y51" s="51" t="s">
        <v>785</v>
      </c>
      <c r="Z51" s="51"/>
      <c r="AA51" s="51" t="str">
        <f t="shared" si="7"/>
        <v>35</v>
      </c>
      <c r="AB51" s="51" t="str">
        <f t="shared" si="8"/>
        <v>353</v>
      </c>
      <c r="AC51" s="51"/>
      <c r="AD51" s="51" t="s">
        <v>1506</v>
      </c>
      <c r="AE51" s="51" t="s">
        <v>1507</v>
      </c>
      <c r="AF51" s="51" t="str">
        <f t="shared" si="9"/>
        <v>A679071</v>
      </c>
      <c r="AG51" s="51" t="str">
        <f>VLOOKUP(AF51,AKT!$C$4:$E$324,3,FALSE)</f>
        <v>0942</v>
      </c>
    </row>
    <row r="52" spans="1:33" ht="15.75" customHeight="1">
      <c r="A52" s="84">
        <v>51</v>
      </c>
      <c r="B52" s="79" t="str">
        <f t="shared" si="0"/>
        <v>Pomoći EU</v>
      </c>
      <c r="C52" s="84">
        <v>3111</v>
      </c>
      <c r="D52" s="79" t="str">
        <f t="shared" si="1"/>
        <v>Plaće za redovan rad</v>
      </c>
      <c r="E52" s="84" t="s">
        <v>1508</v>
      </c>
      <c r="F52" s="79" t="str">
        <f t="shared" si="2"/>
        <v>JERICO-DS - Zajednička europska istraživačka infrastruktura obalnih opservatorija</v>
      </c>
      <c r="G52" s="79" t="str">
        <f t="shared" si="3"/>
        <v>0150</v>
      </c>
      <c r="H52" s="67">
        <v>6276</v>
      </c>
      <c r="I52" s="67">
        <v>0</v>
      </c>
      <c r="J52" s="67">
        <v>0</v>
      </c>
      <c r="K52" s="89" t="s">
        <v>1509</v>
      </c>
      <c r="L52" s="90">
        <v>44105</v>
      </c>
      <c r="M52" s="90">
        <v>45199</v>
      </c>
      <c r="N52" s="89" t="s">
        <v>1398</v>
      </c>
      <c r="O52" s="73" t="s">
        <v>1509</v>
      </c>
      <c r="P52" s="68"/>
      <c r="Q52" s="51"/>
      <c r="R52" s="51" t="str">
        <f t="shared" si="4"/>
        <v>311</v>
      </c>
      <c r="S52" s="51" t="str">
        <f t="shared" si="5"/>
        <v>31</v>
      </c>
      <c r="T52" s="51" t="str">
        <f t="shared" si="6"/>
        <v>15</v>
      </c>
      <c r="U52" s="51"/>
      <c r="V52" s="51"/>
      <c r="W52" s="51"/>
      <c r="X52" s="51">
        <v>3611</v>
      </c>
      <c r="Y52" s="51" t="s">
        <v>788</v>
      </c>
      <c r="Z52" s="51"/>
      <c r="AA52" s="51" t="str">
        <f t="shared" si="7"/>
        <v>36</v>
      </c>
      <c r="AB52" s="51" t="str">
        <f t="shared" si="8"/>
        <v>361</v>
      </c>
      <c r="AC52" s="51"/>
      <c r="AD52" s="51" t="s">
        <v>1510</v>
      </c>
      <c r="AE52" s="51" t="s">
        <v>1511</v>
      </c>
      <c r="AF52" s="51" t="str">
        <f t="shared" si="9"/>
        <v>A679071</v>
      </c>
      <c r="AG52" s="51" t="str">
        <f>VLOOKUP(AF52,AKT!$C$4:$E$324,3,FALSE)</f>
        <v>0942</v>
      </c>
    </row>
    <row r="53" spans="1:33" ht="15.75" customHeight="1">
      <c r="A53" s="84">
        <v>51</v>
      </c>
      <c r="B53" s="79" t="str">
        <f t="shared" si="0"/>
        <v>Pomoći EU</v>
      </c>
      <c r="C53" s="84">
        <v>3132</v>
      </c>
      <c r="D53" s="79" t="str">
        <f t="shared" si="1"/>
        <v>Doprinosi za obvezno zdravstveno osiguranje</v>
      </c>
      <c r="E53" s="84" t="s">
        <v>1508</v>
      </c>
      <c r="F53" s="79" t="str">
        <f t="shared" si="2"/>
        <v>JERICO-DS - Zajednička europska istraživačka infrastruktura obalnih opservatorija</v>
      </c>
      <c r="G53" s="79" t="str">
        <f t="shared" si="3"/>
        <v>0150</v>
      </c>
      <c r="H53" s="67">
        <v>1046</v>
      </c>
      <c r="I53" s="67">
        <v>0</v>
      </c>
      <c r="J53" s="67">
        <v>0</v>
      </c>
      <c r="K53" s="89" t="s">
        <v>1509</v>
      </c>
      <c r="L53" s="90">
        <v>44105</v>
      </c>
      <c r="M53" s="90">
        <v>45199</v>
      </c>
      <c r="N53" s="89" t="s">
        <v>1398</v>
      </c>
      <c r="O53" s="73" t="s">
        <v>1509</v>
      </c>
      <c r="P53" s="68"/>
      <c r="Q53" s="51"/>
      <c r="R53" s="51" t="str">
        <f t="shared" si="4"/>
        <v>313</v>
      </c>
      <c r="S53" s="51" t="str">
        <f t="shared" si="5"/>
        <v>31</v>
      </c>
      <c r="T53" s="51" t="str">
        <f t="shared" si="6"/>
        <v>15</v>
      </c>
      <c r="U53" s="51"/>
      <c r="V53" s="51"/>
      <c r="W53" s="51"/>
      <c r="X53" s="51">
        <v>3621</v>
      </c>
      <c r="Y53" s="51" t="s">
        <v>791</v>
      </c>
      <c r="Z53" s="51"/>
      <c r="AA53" s="51" t="str">
        <f t="shared" si="7"/>
        <v>36</v>
      </c>
      <c r="AB53" s="51" t="str">
        <f t="shared" si="8"/>
        <v>362</v>
      </c>
      <c r="AC53" s="51"/>
      <c r="AD53" s="51" t="s">
        <v>1512</v>
      </c>
      <c r="AE53" s="51" t="s">
        <v>1513</v>
      </c>
      <c r="AF53" s="51" t="str">
        <f t="shared" si="9"/>
        <v>A679071</v>
      </c>
      <c r="AG53" s="51" t="str">
        <f>VLOOKUP(AF53,AKT!$C$4:$E$324,3,FALSE)</f>
        <v>0942</v>
      </c>
    </row>
    <row r="54" spans="1:33" ht="15.75" customHeight="1">
      <c r="A54" s="84">
        <v>51</v>
      </c>
      <c r="B54" s="79" t="str">
        <f t="shared" si="0"/>
        <v>Pomoći EU</v>
      </c>
      <c r="C54" s="84">
        <v>3211</v>
      </c>
      <c r="D54" s="79" t="str">
        <f t="shared" si="1"/>
        <v>Službena putovanja</v>
      </c>
      <c r="E54" s="84" t="s">
        <v>1508</v>
      </c>
      <c r="F54" s="79" t="str">
        <f t="shared" si="2"/>
        <v>JERICO-DS - Zajednička europska istraživačka infrastruktura obalnih opservatorija</v>
      </c>
      <c r="G54" s="79" t="str">
        <f t="shared" si="3"/>
        <v>0150</v>
      </c>
      <c r="H54" s="67">
        <v>697</v>
      </c>
      <c r="I54" s="67">
        <v>0</v>
      </c>
      <c r="J54" s="67">
        <v>0</v>
      </c>
      <c r="K54" s="89" t="s">
        <v>1509</v>
      </c>
      <c r="L54" s="90">
        <v>44105</v>
      </c>
      <c r="M54" s="90">
        <v>45199</v>
      </c>
      <c r="N54" s="89" t="s">
        <v>1398</v>
      </c>
      <c r="O54" s="73" t="s">
        <v>1509</v>
      </c>
      <c r="P54" s="68"/>
      <c r="Q54" s="51"/>
      <c r="R54" s="51" t="str">
        <f t="shared" si="4"/>
        <v>321</v>
      </c>
      <c r="S54" s="51" t="str">
        <f t="shared" si="5"/>
        <v>32</v>
      </c>
      <c r="T54" s="51" t="str">
        <f t="shared" si="6"/>
        <v>15</v>
      </c>
      <c r="U54" s="51"/>
      <c r="V54" s="51"/>
      <c r="W54" s="51"/>
      <c r="X54" s="51">
        <v>3631</v>
      </c>
      <c r="Y54" s="51" t="s">
        <v>797</v>
      </c>
      <c r="Z54" s="51"/>
      <c r="AA54" s="51" t="str">
        <f t="shared" si="7"/>
        <v>36</v>
      </c>
      <c r="AB54" s="51" t="str">
        <f t="shared" si="8"/>
        <v>363</v>
      </c>
      <c r="AC54" s="51"/>
      <c r="AD54" s="51" t="s">
        <v>1514</v>
      </c>
      <c r="AE54" s="51" t="s">
        <v>1515</v>
      </c>
      <c r="AF54" s="51" t="str">
        <f t="shared" si="9"/>
        <v>A679071</v>
      </c>
      <c r="AG54" s="51" t="str">
        <f>VLOOKUP(AF54,AKT!$C$4:$E$324,3,FALSE)</f>
        <v>0942</v>
      </c>
    </row>
    <row r="55" spans="1:33" ht="15.75" customHeight="1">
      <c r="A55" s="84">
        <v>51</v>
      </c>
      <c r="B55" s="79" t="str">
        <f t="shared" si="0"/>
        <v>Pomoći EU</v>
      </c>
      <c r="C55" s="84">
        <v>3222</v>
      </c>
      <c r="D55" s="79" t="str">
        <f t="shared" si="1"/>
        <v>Materijal i sirovine</v>
      </c>
      <c r="E55" s="84" t="s">
        <v>1508</v>
      </c>
      <c r="F55" s="79" t="str">
        <f t="shared" si="2"/>
        <v>JERICO-DS - Zajednička europska istraživačka infrastruktura obalnih opservatorija</v>
      </c>
      <c r="G55" s="79" t="str">
        <f t="shared" si="3"/>
        <v>0150</v>
      </c>
      <c r="H55" s="67">
        <v>1743</v>
      </c>
      <c r="I55" s="67">
        <v>0</v>
      </c>
      <c r="J55" s="67">
        <v>0</v>
      </c>
      <c r="K55" s="89" t="s">
        <v>1509</v>
      </c>
      <c r="L55" s="90">
        <v>44105</v>
      </c>
      <c r="M55" s="90">
        <v>45199</v>
      </c>
      <c r="N55" s="89" t="s">
        <v>1398</v>
      </c>
      <c r="O55" s="73" t="s">
        <v>1509</v>
      </c>
      <c r="P55" s="68"/>
      <c r="Q55" s="51"/>
      <c r="R55" s="51" t="str">
        <f t="shared" si="4"/>
        <v>322</v>
      </c>
      <c r="S55" s="51" t="str">
        <f t="shared" si="5"/>
        <v>32</v>
      </c>
      <c r="T55" s="51" t="str">
        <f t="shared" si="6"/>
        <v>15</v>
      </c>
      <c r="U55" s="51"/>
      <c r="V55" s="51"/>
      <c r="W55" s="51"/>
      <c r="X55" s="51">
        <v>3632</v>
      </c>
      <c r="Y55" s="51" t="s">
        <v>800</v>
      </c>
      <c r="Z55" s="51"/>
      <c r="AA55" s="51" t="str">
        <f t="shared" si="7"/>
        <v>36</v>
      </c>
      <c r="AB55" s="51" t="str">
        <f t="shared" si="8"/>
        <v>363</v>
      </c>
      <c r="AC55" s="51"/>
      <c r="AD55" s="51" t="s">
        <v>1516</v>
      </c>
      <c r="AE55" s="51" t="s">
        <v>1517</v>
      </c>
      <c r="AF55" s="51" t="str">
        <f t="shared" si="9"/>
        <v>A679071</v>
      </c>
      <c r="AG55" s="51" t="str">
        <f>VLOOKUP(AF55,AKT!$C$4:$E$324,3,FALSE)</f>
        <v>0942</v>
      </c>
    </row>
    <row r="56" spans="1:33" ht="15.75" customHeight="1">
      <c r="A56" s="84">
        <v>51</v>
      </c>
      <c r="B56" s="79" t="str">
        <f t="shared" si="0"/>
        <v>Pomoći EU</v>
      </c>
      <c r="C56" s="84">
        <v>3299</v>
      </c>
      <c r="D56" s="79" t="str">
        <f t="shared" si="1"/>
        <v>Ostali nespomenuti rashodi poslovanja</v>
      </c>
      <c r="E56" s="84" t="s">
        <v>1508</v>
      </c>
      <c r="F56" s="79" t="str">
        <f t="shared" si="2"/>
        <v>JERICO-DS - Zajednička europska istraživačka infrastruktura obalnih opservatorija</v>
      </c>
      <c r="G56" s="79" t="str">
        <f t="shared" si="3"/>
        <v>0150</v>
      </c>
      <c r="H56" s="67">
        <v>5753</v>
      </c>
      <c r="I56" s="67">
        <v>0</v>
      </c>
      <c r="J56" s="67">
        <v>0</v>
      </c>
      <c r="K56" s="89" t="s">
        <v>1509</v>
      </c>
      <c r="L56" s="90">
        <v>44105</v>
      </c>
      <c r="M56" s="90">
        <v>45199</v>
      </c>
      <c r="N56" s="89" t="s">
        <v>1398</v>
      </c>
      <c r="O56" s="73" t="s">
        <v>1509</v>
      </c>
      <c r="P56" s="68"/>
      <c r="Q56" s="51"/>
      <c r="R56" s="51" t="str">
        <f t="shared" si="4"/>
        <v>329</v>
      </c>
      <c r="S56" s="51" t="str">
        <f t="shared" si="5"/>
        <v>32</v>
      </c>
      <c r="T56" s="51" t="str">
        <f t="shared" si="6"/>
        <v>15</v>
      </c>
      <c r="U56" s="51"/>
      <c r="V56" s="51"/>
      <c r="W56" s="51"/>
      <c r="X56" s="51">
        <v>3661</v>
      </c>
      <c r="Y56" s="51" t="s">
        <v>803</v>
      </c>
      <c r="Z56" s="51"/>
      <c r="AA56" s="51" t="str">
        <f t="shared" si="7"/>
        <v>36</v>
      </c>
      <c r="AB56" s="51" t="str">
        <f t="shared" si="8"/>
        <v>366</v>
      </c>
      <c r="AC56" s="51"/>
      <c r="AD56" s="51" t="s">
        <v>1518</v>
      </c>
      <c r="AE56" s="51" t="s">
        <v>1519</v>
      </c>
      <c r="AF56" s="51" t="str">
        <f t="shared" si="9"/>
        <v>A679071</v>
      </c>
      <c r="AG56" s="51" t="str">
        <f>VLOOKUP(AF56,AKT!$C$4:$E$324,3,FALSE)</f>
        <v>0942</v>
      </c>
    </row>
    <row r="57" spans="1:33" ht="15.75" customHeight="1">
      <c r="A57" s="84">
        <v>51</v>
      </c>
      <c r="B57" s="79" t="str">
        <f t="shared" si="0"/>
        <v>Pomoći EU</v>
      </c>
      <c r="C57" s="84">
        <v>4224</v>
      </c>
      <c r="D57" s="79" t="str">
        <f t="shared" si="1"/>
        <v>Medicinska i laboratorijska oprema</v>
      </c>
      <c r="E57" s="84" t="s">
        <v>1508</v>
      </c>
      <c r="F57" s="79" t="str">
        <f t="shared" si="2"/>
        <v>JERICO-DS - Zajednička europska istraživačka infrastruktura obalnih opservatorija</v>
      </c>
      <c r="G57" s="79" t="str">
        <f t="shared" si="3"/>
        <v>0150</v>
      </c>
      <c r="H57" s="67">
        <v>1918</v>
      </c>
      <c r="I57" s="67">
        <v>0</v>
      </c>
      <c r="J57" s="67">
        <v>0</v>
      </c>
      <c r="K57" s="89" t="s">
        <v>1509</v>
      </c>
      <c r="L57" s="90">
        <v>44105</v>
      </c>
      <c r="M57" s="90">
        <v>45199</v>
      </c>
      <c r="N57" s="89" t="s">
        <v>1398</v>
      </c>
      <c r="O57" s="73" t="s">
        <v>1509</v>
      </c>
      <c r="P57" s="68"/>
      <c r="Q57" s="51"/>
      <c r="R57" s="51" t="str">
        <f t="shared" si="4"/>
        <v>422</v>
      </c>
      <c r="S57" s="51" t="str">
        <f t="shared" si="5"/>
        <v>42</v>
      </c>
      <c r="T57" s="51" t="str">
        <f t="shared" si="6"/>
        <v>15</v>
      </c>
      <c r="U57" s="51"/>
      <c r="V57" s="51"/>
      <c r="W57" s="51"/>
      <c r="X57" s="51">
        <v>3662</v>
      </c>
      <c r="Y57" s="51" t="s">
        <v>806</v>
      </c>
      <c r="Z57" s="51"/>
      <c r="AA57" s="51" t="str">
        <f t="shared" si="7"/>
        <v>36</v>
      </c>
      <c r="AB57" s="51" t="str">
        <f t="shared" si="8"/>
        <v>366</v>
      </c>
      <c r="AC57" s="51"/>
      <c r="AD57" s="51" t="s">
        <v>1520</v>
      </c>
      <c r="AE57" s="51" t="s">
        <v>1521</v>
      </c>
      <c r="AF57" s="51" t="str">
        <f t="shared" si="9"/>
        <v>A679071</v>
      </c>
      <c r="AG57" s="51" t="str">
        <f>VLOOKUP(AF57,AKT!$C$4:$E$324,3,FALSE)</f>
        <v>0942</v>
      </c>
    </row>
    <row r="58" spans="1:33" ht="15.75" customHeight="1">
      <c r="A58" s="84">
        <v>51</v>
      </c>
      <c r="B58" s="79" t="str">
        <f t="shared" si="0"/>
        <v>Pomoći EU</v>
      </c>
      <c r="C58" s="84">
        <v>3111</v>
      </c>
      <c r="D58" s="79" t="str">
        <f t="shared" si="1"/>
        <v>Plaće za redovan rad</v>
      </c>
      <c r="E58" s="84" t="s">
        <v>5365</v>
      </c>
      <c r="F58" s="79" t="s">
        <v>5366</v>
      </c>
      <c r="G58" s="79" t="s">
        <v>641</v>
      </c>
      <c r="H58" s="67">
        <v>10007</v>
      </c>
      <c r="I58" s="67">
        <v>0</v>
      </c>
      <c r="J58" s="67">
        <v>0</v>
      </c>
      <c r="K58" s="89" t="s">
        <v>1522</v>
      </c>
      <c r="L58" s="90">
        <v>43862</v>
      </c>
      <c r="M58" s="90">
        <v>45322</v>
      </c>
      <c r="N58" s="89" t="s">
        <v>1398</v>
      </c>
      <c r="O58" s="73" t="s">
        <v>1523</v>
      </c>
      <c r="P58" s="68"/>
      <c r="Q58" s="51"/>
      <c r="R58" s="51" t="str">
        <f t="shared" si="4"/>
        <v>311</v>
      </c>
      <c r="S58" s="51" t="str">
        <f t="shared" si="5"/>
        <v>31</v>
      </c>
      <c r="T58" s="51" t="str">
        <f t="shared" si="6"/>
        <v>15</v>
      </c>
      <c r="U58" s="51"/>
      <c r="V58" s="51"/>
      <c r="W58" s="51"/>
      <c r="X58" s="51">
        <v>3681</v>
      </c>
      <c r="Y58" s="51" t="s">
        <v>809</v>
      </c>
      <c r="Z58" s="51"/>
      <c r="AA58" s="51" t="str">
        <f t="shared" si="7"/>
        <v>36</v>
      </c>
      <c r="AB58" s="51" t="str">
        <f t="shared" si="8"/>
        <v>368</v>
      </c>
      <c r="AC58" s="51"/>
      <c r="AD58" s="51" t="s">
        <v>1524</v>
      </c>
      <c r="AE58" s="51" t="s">
        <v>1525</v>
      </c>
      <c r="AF58" s="51" t="str">
        <f t="shared" si="9"/>
        <v>A679071</v>
      </c>
      <c r="AG58" s="51" t="str">
        <f>VLOOKUP(AF58,AKT!$C$4:$E$324,3,FALSE)</f>
        <v>0942</v>
      </c>
    </row>
    <row r="59" spans="1:33" ht="15.75" customHeight="1">
      <c r="A59" s="84">
        <v>51</v>
      </c>
      <c r="B59" s="79" t="str">
        <f t="shared" si="0"/>
        <v>Pomoći EU</v>
      </c>
      <c r="C59" s="84">
        <v>3132</v>
      </c>
      <c r="D59" s="79" t="str">
        <f t="shared" si="1"/>
        <v>Doprinosi za obvezno zdravstveno osiguranje</v>
      </c>
      <c r="E59" s="84" t="s">
        <v>5365</v>
      </c>
      <c r="F59" s="79" t="s">
        <v>5366</v>
      </c>
      <c r="G59" s="79" t="s">
        <v>641</v>
      </c>
      <c r="H59" s="67">
        <v>1668</v>
      </c>
      <c r="I59" s="67">
        <v>0</v>
      </c>
      <c r="J59" s="67">
        <v>0</v>
      </c>
      <c r="K59" s="89" t="s">
        <v>1522</v>
      </c>
      <c r="L59" s="90">
        <v>43862</v>
      </c>
      <c r="M59" s="90">
        <v>45322</v>
      </c>
      <c r="N59" s="89" t="s">
        <v>1398</v>
      </c>
      <c r="O59" s="73" t="s">
        <v>1526</v>
      </c>
      <c r="P59" s="68"/>
      <c r="Q59" s="51"/>
      <c r="R59" s="51" t="str">
        <f t="shared" si="4"/>
        <v>313</v>
      </c>
      <c r="S59" s="51" t="str">
        <f t="shared" si="5"/>
        <v>31</v>
      </c>
      <c r="T59" s="51" t="str">
        <f t="shared" si="6"/>
        <v>15</v>
      </c>
      <c r="U59" s="51"/>
      <c r="V59" s="51"/>
      <c r="W59" s="51"/>
      <c r="X59" s="51">
        <v>3682</v>
      </c>
      <c r="Y59" s="51" t="s">
        <v>812</v>
      </c>
      <c r="Z59" s="51"/>
      <c r="AA59" s="51" t="str">
        <f t="shared" si="7"/>
        <v>36</v>
      </c>
      <c r="AB59" s="51" t="str">
        <f t="shared" si="8"/>
        <v>368</v>
      </c>
      <c r="AC59" s="51"/>
      <c r="AD59" s="51" t="s">
        <v>1527</v>
      </c>
      <c r="AE59" s="51" t="s">
        <v>1528</v>
      </c>
      <c r="AF59" s="51" t="str">
        <f t="shared" si="9"/>
        <v>A679071</v>
      </c>
      <c r="AG59" s="51" t="str">
        <f>VLOOKUP(AF59,AKT!$C$4:$E$324,3,FALSE)</f>
        <v>0942</v>
      </c>
    </row>
    <row r="60" spans="1:33" ht="15.75" customHeight="1">
      <c r="A60" s="84">
        <v>51</v>
      </c>
      <c r="B60" s="79" t="str">
        <f t="shared" si="0"/>
        <v>Pomoći EU</v>
      </c>
      <c r="C60" s="84">
        <v>3211</v>
      </c>
      <c r="D60" s="79" t="str">
        <f t="shared" si="1"/>
        <v>Službena putovanja</v>
      </c>
      <c r="E60" s="84" t="s">
        <v>5365</v>
      </c>
      <c r="F60" s="79" t="s">
        <v>5366</v>
      </c>
      <c r="G60" s="79" t="s">
        <v>641</v>
      </c>
      <c r="H60" s="67">
        <v>1112</v>
      </c>
      <c r="I60" s="67">
        <v>0</v>
      </c>
      <c r="J60" s="67">
        <v>0</v>
      </c>
      <c r="K60" s="268" t="s">
        <v>1522</v>
      </c>
      <c r="L60" s="90">
        <v>43862</v>
      </c>
      <c r="M60" s="90">
        <v>45322</v>
      </c>
      <c r="N60" s="89" t="s">
        <v>1398</v>
      </c>
      <c r="O60" s="73" t="s">
        <v>1529</v>
      </c>
      <c r="P60" s="68"/>
      <c r="Q60" s="51"/>
      <c r="R60" s="51" t="str">
        <f t="shared" si="4"/>
        <v>321</v>
      </c>
      <c r="S60" s="51" t="str">
        <f t="shared" si="5"/>
        <v>32</v>
      </c>
      <c r="T60" s="51" t="str">
        <f t="shared" si="6"/>
        <v>15</v>
      </c>
      <c r="U60" s="51"/>
      <c r="V60" s="51"/>
      <c r="W60" s="51"/>
      <c r="X60" s="51">
        <v>3691</v>
      </c>
      <c r="Y60" s="51" t="s">
        <v>815</v>
      </c>
      <c r="Z60" s="51"/>
      <c r="AA60" s="51" t="str">
        <f t="shared" si="7"/>
        <v>36</v>
      </c>
      <c r="AB60" s="51" t="str">
        <f t="shared" si="8"/>
        <v>369</v>
      </c>
      <c r="AC60" s="51"/>
      <c r="AD60" s="51" t="s">
        <v>1530</v>
      </c>
      <c r="AE60" s="51" t="s">
        <v>1531</v>
      </c>
      <c r="AF60" s="51" t="str">
        <f t="shared" si="9"/>
        <v>A679071</v>
      </c>
      <c r="AG60" s="51" t="str">
        <f>VLOOKUP(AF60,AKT!$C$4:$E$324,3,FALSE)</f>
        <v>0942</v>
      </c>
    </row>
    <row r="61" spans="1:33" ht="15.75" customHeight="1">
      <c r="A61" s="84">
        <v>51</v>
      </c>
      <c r="B61" s="79" t="str">
        <f t="shared" si="0"/>
        <v>Pomoći EU</v>
      </c>
      <c r="C61" s="84">
        <v>3222</v>
      </c>
      <c r="D61" s="79" t="str">
        <f t="shared" si="1"/>
        <v>Materijal i sirovine</v>
      </c>
      <c r="E61" s="84" t="s">
        <v>5365</v>
      </c>
      <c r="F61" s="79" t="s">
        <v>5366</v>
      </c>
      <c r="G61" s="79" t="s">
        <v>641</v>
      </c>
      <c r="H61" s="67">
        <v>2780</v>
      </c>
      <c r="I61" s="67">
        <v>0</v>
      </c>
      <c r="J61" s="67">
        <v>0</v>
      </c>
      <c r="K61" s="89" t="s">
        <v>1522</v>
      </c>
      <c r="L61" s="90">
        <v>43862</v>
      </c>
      <c r="M61" s="90">
        <v>45322</v>
      </c>
      <c r="N61" s="89" t="s">
        <v>1398</v>
      </c>
      <c r="O61" s="73" t="s">
        <v>1532</v>
      </c>
      <c r="P61" s="68"/>
      <c r="Q61" s="51"/>
      <c r="R61" s="51" t="str">
        <f t="shared" si="4"/>
        <v>322</v>
      </c>
      <c r="S61" s="51" t="str">
        <f t="shared" si="5"/>
        <v>32</v>
      </c>
      <c r="T61" s="51" t="str">
        <f t="shared" si="6"/>
        <v>15</v>
      </c>
      <c r="U61" s="51"/>
      <c r="V61" s="51"/>
      <c r="W61" s="51"/>
      <c r="X61" s="51">
        <v>3692</v>
      </c>
      <c r="Y61" s="51" t="s">
        <v>818</v>
      </c>
      <c r="Z61" s="51"/>
      <c r="AA61" s="51" t="str">
        <f t="shared" si="7"/>
        <v>36</v>
      </c>
      <c r="AB61" s="51" t="str">
        <f t="shared" si="8"/>
        <v>369</v>
      </c>
      <c r="AC61" s="51"/>
      <c r="AD61" s="51" t="s">
        <v>1533</v>
      </c>
      <c r="AE61" s="51" t="s">
        <v>1534</v>
      </c>
      <c r="AF61" s="51" t="str">
        <f t="shared" si="9"/>
        <v>A679071</v>
      </c>
      <c r="AG61" s="51" t="str">
        <f>VLOOKUP(AF61,AKT!$C$4:$E$324,3,FALSE)</f>
        <v>0942</v>
      </c>
    </row>
    <row r="62" spans="1:33" ht="15.75" customHeight="1">
      <c r="A62" s="84">
        <v>51</v>
      </c>
      <c r="B62" s="79" t="str">
        <f t="shared" si="0"/>
        <v>Pomoći EU</v>
      </c>
      <c r="C62" s="84">
        <v>3299</v>
      </c>
      <c r="D62" s="79" t="str">
        <f t="shared" si="1"/>
        <v>Ostali nespomenuti rashodi poslovanja</v>
      </c>
      <c r="E62" s="84" t="s">
        <v>5365</v>
      </c>
      <c r="F62" s="79" t="s">
        <v>5366</v>
      </c>
      <c r="G62" s="79" t="s">
        <v>641</v>
      </c>
      <c r="H62" s="67">
        <v>9173</v>
      </c>
      <c r="I62" s="67">
        <v>0</v>
      </c>
      <c r="J62" s="67">
        <v>0</v>
      </c>
      <c r="K62" s="89" t="s">
        <v>1522</v>
      </c>
      <c r="L62" s="90">
        <v>43862</v>
      </c>
      <c r="M62" s="90">
        <v>45322</v>
      </c>
      <c r="N62" s="89" t="s">
        <v>1398</v>
      </c>
      <c r="O62" s="73" t="s">
        <v>1535</v>
      </c>
      <c r="P62" s="68"/>
      <c r="Q62" s="51"/>
      <c r="R62" s="51" t="str">
        <f t="shared" si="4"/>
        <v>329</v>
      </c>
      <c r="S62" s="51" t="str">
        <f t="shared" si="5"/>
        <v>32</v>
      </c>
      <c r="T62" s="51" t="str">
        <f t="shared" si="6"/>
        <v>15</v>
      </c>
      <c r="U62" s="51"/>
      <c r="V62" s="51"/>
      <c r="W62" s="51"/>
      <c r="X62" s="51">
        <v>3693</v>
      </c>
      <c r="Y62" s="51" t="s">
        <v>815</v>
      </c>
      <c r="Z62" s="51"/>
      <c r="AA62" s="51" t="str">
        <f t="shared" si="7"/>
        <v>36</v>
      </c>
      <c r="AB62" s="51" t="str">
        <f t="shared" si="8"/>
        <v>369</v>
      </c>
      <c r="AC62" s="51"/>
      <c r="AD62" s="51" t="s">
        <v>1536</v>
      </c>
      <c r="AE62" s="51" t="s">
        <v>1537</v>
      </c>
      <c r="AF62" s="51" t="str">
        <f t="shared" si="9"/>
        <v>A679071</v>
      </c>
      <c r="AG62" s="51" t="str">
        <f>VLOOKUP(AF62,AKT!$C$4:$E$324,3,FALSE)</f>
        <v>0942</v>
      </c>
    </row>
    <row r="63" spans="1:33" ht="15.75" customHeight="1">
      <c r="A63" s="84">
        <v>51</v>
      </c>
      <c r="B63" s="79" t="str">
        <f t="shared" si="0"/>
        <v>Pomoći EU</v>
      </c>
      <c r="C63" s="84">
        <v>4224</v>
      </c>
      <c r="D63" s="79" t="str">
        <f t="shared" si="1"/>
        <v>Medicinska i laboratorijska oprema</v>
      </c>
      <c r="E63" s="84" t="s">
        <v>5365</v>
      </c>
      <c r="F63" s="79" t="s">
        <v>5366</v>
      </c>
      <c r="G63" s="79" t="s">
        <v>641</v>
      </c>
      <c r="H63" s="67">
        <v>3058</v>
      </c>
      <c r="I63" s="67">
        <v>0</v>
      </c>
      <c r="J63" s="67">
        <v>0</v>
      </c>
      <c r="K63" s="89" t="s">
        <v>1522</v>
      </c>
      <c r="L63" s="90">
        <v>43862</v>
      </c>
      <c r="M63" s="90">
        <v>45322</v>
      </c>
      <c r="N63" s="89" t="s">
        <v>1398</v>
      </c>
      <c r="O63" s="73" t="s">
        <v>1538</v>
      </c>
      <c r="P63" s="68"/>
      <c r="Q63" s="51"/>
      <c r="R63" s="51" t="str">
        <f t="shared" si="4"/>
        <v>422</v>
      </c>
      <c r="S63" s="51" t="str">
        <f t="shared" si="5"/>
        <v>42</v>
      </c>
      <c r="T63" s="51" t="str">
        <f t="shared" si="6"/>
        <v>15</v>
      </c>
      <c r="U63" s="51"/>
      <c r="V63" s="51"/>
      <c r="W63" s="51"/>
      <c r="X63" s="51">
        <v>3694</v>
      </c>
      <c r="Y63" s="51" t="s">
        <v>818</v>
      </c>
      <c r="Z63" s="51"/>
      <c r="AA63" s="51" t="str">
        <f t="shared" si="7"/>
        <v>36</v>
      </c>
      <c r="AB63" s="51" t="str">
        <f t="shared" si="8"/>
        <v>369</v>
      </c>
      <c r="AC63" s="51"/>
      <c r="AD63" s="51" t="s">
        <v>1539</v>
      </c>
      <c r="AE63" s="51" t="s">
        <v>1540</v>
      </c>
      <c r="AF63" s="51" t="str">
        <f t="shared" si="9"/>
        <v>A679071</v>
      </c>
      <c r="AG63" s="51" t="str">
        <f>VLOOKUP(AF63,AKT!$C$4:$E$324,3,FALSE)</f>
        <v>0942</v>
      </c>
    </row>
    <row r="64" spans="1:33" ht="15.75" customHeight="1">
      <c r="A64" s="84">
        <v>51</v>
      </c>
      <c r="B64" s="79" t="str">
        <f t="shared" si="0"/>
        <v>Pomoći EU</v>
      </c>
      <c r="C64" s="84">
        <v>3111</v>
      </c>
      <c r="D64" s="79" t="str">
        <f t="shared" si="1"/>
        <v>Plaće za redovan rad</v>
      </c>
      <c r="E64" s="84" t="s">
        <v>1541</v>
      </c>
      <c r="F64" s="79" t="str">
        <f t="shared" si="2"/>
        <v>MARILIA-Mara-Based Industrial Low-Cost Identification Assays</v>
      </c>
      <c r="G64" s="79" t="str">
        <f t="shared" si="3"/>
        <v>0150</v>
      </c>
      <c r="H64" s="67">
        <v>9508</v>
      </c>
      <c r="I64" s="67">
        <v>0</v>
      </c>
      <c r="J64" s="67">
        <v>0</v>
      </c>
      <c r="K64" s="89" t="s">
        <v>1542</v>
      </c>
      <c r="L64" s="90">
        <v>43862</v>
      </c>
      <c r="M64" s="90">
        <v>44957</v>
      </c>
      <c r="N64" s="89" t="s">
        <v>1398</v>
      </c>
      <c r="O64" s="73" t="s">
        <v>1542</v>
      </c>
      <c r="P64" s="68"/>
      <c r="Q64" s="51"/>
      <c r="R64" s="51" t="str">
        <f t="shared" si="4"/>
        <v>311</v>
      </c>
      <c r="S64" s="51" t="str">
        <f t="shared" si="5"/>
        <v>31</v>
      </c>
      <c r="T64" s="51" t="str">
        <f t="shared" si="6"/>
        <v>15</v>
      </c>
      <c r="U64" s="51"/>
      <c r="V64" s="51"/>
      <c r="W64" s="51"/>
      <c r="X64" s="51">
        <v>3711</v>
      </c>
      <c r="Y64" s="51" t="s">
        <v>825</v>
      </c>
      <c r="Z64" s="51"/>
      <c r="AA64" s="51" t="str">
        <f t="shared" si="7"/>
        <v>37</v>
      </c>
      <c r="AB64" s="51" t="str">
        <f t="shared" si="8"/>
        <v>371</v>
      </c>
      <c r="AC64" s="51"/>
      <c r="AD64" s="51" t="s">
        <v>1543</v>
      </c>
      <c r="AE64" s="51" t="s">
        <v>1544</v>
      </c>
      <c r="AF64" s="51" t="str">
        <f t="shared" si="9"/>
        <v>A679071</v>
      </c>
      <c r="AG64" s="51" t="str">
        <f>VLOOKUP(AF64,AKT!$C$4:$E$324,3,FALSE)</f>
        <v>0942</v>
      </c>
    </row>
    <row r="65" spans="1:33" ht="15.75" customHeight="1">
      <c r="A65" s="84">
        <v>51</v>
      </c>
      <c r="B65" s="79" t="str">
        <f t="shared" si="0"/>
        <v>Pomoći EU</v>
      </c>
      <c r="C65" s="84">
        <v>3132</v>
      </c>
      <c r="D65" s="79" t="str">
        <f t="shared" si="1"/>
        <v>Doprinosi za obvezno zdravstveno osiguranje</v>
      </c>
      <c r="E65" s="84" t="s">
        <v>1541</v>
      </c>
      <c r="F65" s="79" t="str">
        <f t="shared" si="2"/>
        <v>MARILIA-Mara-Based Industrial Low-Cost Identification Assays</v>
      </c>
      <c r="G65" s="79" t="str">
        <f t="shared" si="3"/>
        <v>0150</v>
      </c>
      <c r="H65" s="67">
        <v>1585</v>
      </c>
      <c r="I65" s="67">
        <v>0</v>
      </c>
      <c r="J65" s="67">
        <v>0</v>
      </c>
      <c r="K65" s="89" t="s">
        <v>1542</v>
      </c>
      <c r="L65" s="90">
        <v>43862</v>
      </c>
      <c r="M65" s="90">
        <v>44957</v>
      </c>
      <c r="N65" s="89" t="s">
        <v>1398</v>
      </c>
      <c r="O65" s="73" t="s">
        <v>1542</v>
      </c>
      <c r="P65" s="68"/>
      <c r="Q65" s="51"/>
      <c r="R65" s="51" t="str">
        <f t="shared" si="4"/>
        <v>313</v>
      </c>
      <c r="S65" s="51" t="str">
        <f t="shared" si="5"/>
        <v>31</v>
      </c>
      <c r="T65" s="51" t="str">
        <f t="shared" si="6"/>
        <v>15</v>
      </c>
      <c r="U65" s="51"/>
      <c r="V65" s="51"/>
      <c r="W65" s="51"/>
      <c r="X65" s="51">
        <v>3712</v>
      </c>
      <c r="Y65" s="51" t="s">
        <v>828</v>
      </c>
      <c r="Z65" s="51"/>
      <c r="AA65" s="51" t="str">
        <f t="shared" si="7"/>
        <v>37</v>
      </c>
      <c r="AB65" s="51" t="str">
        <f t="shared" si="8"/>
        <v>371</v>
      </c>
      <c r="AC65" s="51"/>
      <c r="AD65" s="51" t="s">
        <v>1545</v>
      </c>
      <c r="AE65" s="51" t="s">
        <v>1546</v>
      </c>
      <c r="AF65" s="51" t="str">
        <f t="shared" si="9"/>
        <v>A679071</v>
      </c>
      <c r="AG65" s="51" t="str">
        <f>VLOOKUP(AF65,AKT!$C$4:$E$324,3,FALSE)</f>
        <v>0942</v>
      </c>
    </row>
    <row r="66" spans="1:33" ht="15.75" customHeight="1">
      <c r="A66" s="84">
        <v>51</v>
      </c>
      <c r="B66" s="79" t="str">
        <f t="shared" si="0"/>
        <v>Pomoći EU</v>
      </c>
      <c r="C66" s="84">
        <v>3211</v>
      </c>
      <c r="D66" s="79" t="str">
        <f t="shared" si="1"/>
        <v>Službena putovanja</v>
      </c>
      <c r="E66" s="84" t="s">
        <v>1541</v>
      </c>
      <c r="F66" s="79" t="str">
        <f t="shared" si="2"/>
        <v>MARILIA-Mara-Based Industrial Low-Cost Identification Assays</v>
      </c>
      <c r="G66" s="79" t="str">
        <f t="shared" si="3"/>
        <v>0150</v>
      </c>
      <c r="H66" s="67">
        <v>1056</v>
      </c>
      <c r="I66" s="67">
        <v>0</v>
      </c>
      <c r="J66" s="67">
        <v>0</v>
      </c>
      <c r="K66" s="89" t="s">
        <v>1542</v>
      </c>
      <c r="L66" s="90">
        <v>43862</v>
      </c>
      <c r="M66" s="90">
        <v>44957</v>
      </c>
      <c r="N66" s="89" t="s">
        <v>1398</v>
      </c>
      <c r="O66" s="73" t="s">
        <v>1542</v>
      </c>
      <c r="P66" s="68"/>
      <c r="Q66" s="51"/>
      <c r="R66" s="51" t="str">
        <f t="shared" si="4"/>
        <v>321</v>
      </c>
      <c r="S66" s="51" t="str">
        <f t="shared" si="5"/>
        <v>32</v>
      </c>
      <c r="T66" s="51" t="str">
        <f t="shared" si="6"/>
        <v>15</v>
      </c>
      <c r="U66" s="51"/>
      <c r="V66" s="51"/>
      <c r="W66" s="51"/>
      <c r="X66" s="51">
        <v>3713</v>
      </c>
      <c r="Y66" s="51" t="s">
        <v>831</v>
      </c>
      <c r="Z66" s="51"/>
      <c r="AA66" s="51" t="str">
        <f t="shared" si="7"/>
        <v>37</v>
      </c>
      <c r="AB66" s="51" t="str">
        <f t="shared" si="8"/>
        <v>371</v>
      </c>
      <c r="AC66" s="51"/>
      <c r="AD66" s="51" t="s">
        <v>1547</v>
      </c>
      <c r="AE66" s="51" t="s">
        <v>1548</v>
      </c>
      <c r="AF66" s="51" t="str">
        <f t="shared" si="9"/>
        <v>A679071</v>
      </c>
      <c r="AG66" s="51" t="str">
        <f>VLOOKUP(AF66,AKT!$C$4:$E$324,3,FALSE)</f>
        <v>0942</v>
      </c>
    </row>
    <row r="67" spans="1:33" ht="15.75" customHeight="1">
      <c r="A67" s="84">
        <v>51</v>
      </c>
      <c r="B67" s="79" t="str">
        <f t="shared" si="0"/>
        <v>Pomoći EU</v>
      </c>
      <c r="C67" s="84">
        <v>3222</v>
      </c>
      <c r="D67" s="79" t="str">
        <f t="shared" si="1"/>
        <v>Materijal i sirovine</v>
      </c>
      <c r="E67" s="84" t="s">
        <v>1541</v>
      </c>
      <c r="F67" s="79" t="str">
        <f t="shared" si="2"/>
        <v>MARILIA-Mara-Based Industrial Low-Cost Identification Assays</v>
      </c>
      <c r="G67" s="79" t="str">
        <f t="shared" si="3"/>
        <v>0150</v>
      </c>
      <c r="H67" s="67">
        <v>2641</v>
      </c>
      <c r="I67" s="67">
        <v>0</v>
      </c>
      <c r="J67" s="67">
        <v>0</v>
      </c>
      <c r="K67" s="89" t="s">
        <v>1542</v>
      </c>
      <c r="L67" s="90">
        <v>43862</v>
      </c>
      <c r="M67" s="90">
        <v>44957</v>
      </c>
      <c r="N67" s="89" t="s">
        <v>1398</v>
      </c>
      <c r="O67" s="73" t="s">
        <v>1542</v>
      </c>
      <c r="P67" s="68"/>
      <c r="Q67" s="51"/>
      <c r="R67" s="51" t="str">
        <f t="shared" si="4"/>
        <v>322</v>
      </c>
      <c r="S67" s="51" t="str">
        <f t="shared" si="5"/>
        <v>32</v>
      </c>
      <c r="T67" s="51" t="str">
        <f t="shared" si="6"/>
        <v>15</v>
      </c>
      <c r="U67" s="51"/>
      <c r="V67" s="51"/>
      <c r="W67" s="51"/>
      <c r="X67" s="51">
        <v>3714</v>
      </c>
      <c r="Y67" s="51" t="s">
        <v>834</v>
      </c>
      <c r="Z67" s="51"/>
      <c r="AA67" s="51" t="str">
        <f t="shared" si="7"/>
        <v>37</v>
      </c>
      <c r="AB67" s="51" t="str">
        <f t="shared" si="8"/>
        <v>371</v>
      </c>
      <c r="AC67" s="51"/>
      <c r="AD67" s="51" t="s">
        <v>1549</v>
      </c>
      <c r="AE67" s="51" t="s">
        <v>1550</v>
      </c>
      <c r="AF67" s="51" t="str">
        <f t="shared" si="9"/>
        <v>A679071</v>
      </c>
      <c r="AG67" s="51" t="str">
        <f>VLOOKUP(AF67,AKT!$C$4:$E$324,3,FALSE)</f>
        <v>0942</v>
      </c>
    </row>
    <row r="68" spans="1:33" ht="15.75" customHeight="1">
      <c r="A68" s="84">
        <v>51</v>
      </c>
      <c r="B68" s="79" t="str">
        <f t="shared" si="0"/>
        <v>Pomoći EU</v>
      </c>
      <c r="C68" s="84">
        <v>3299</v>
      </c>
      <c r="D68" s="79" t="str">
        <f t="shared" si="1"/>
        <v>Ostali nespomenuti rashodi poslovanja</v>
      </c>
      <c r="E68" s="84" t="s">
        <v>1541</v>
      </c>
      <c r="F68" s="79" t="str">
        <f t="shared" si="2"/>
        <v>MARILIA-Mara-Based Industrial Low-Cost Identification Assays</v>
      </c>
      <c r="G68" s="79" t="str">
        <f t="shared" si="3"/>
        <v>0150</v>
      </c>
      <c r="H68" s="67">
        <v>8716</v>
      </c>
      <c r="I68" s="67">
        <v>0</v>
      </c>
      <c r="J68" s="67">
        <v>0</v>
      </c>
      <c r="K68" s="89" t="s">
        <v>1542</v>
      </c>
      <c r="L68" s="90">
        <v>43862</v>
      </c>
      <c r="M68" s="90">
        <v>44957</v>
      </c>
      <c r="N68" s="89" t="s">
        <v>1398</v>
      </c>
      <c r="O68" s="73" t="s">
        <v>1542</v>
      </c>
      <c r="P68" s="68"/>
      <c r="Q68" s="51"/>
      <c r="R68" s="51" t="str">
        <f t="shared" si="4"/>
        <v>329</v>
      </c>
      <c r="S68" s="51" t="str">
        <f t="shared" si="5"/>
        <v>32</v>
      </c>
      <c r="T68" s="51" t="str">
        <f t="shared" si="6"/>
        <v>15</v>
      </c>
      <c r="U68" s="51"/>
      <c r="V68" s="51"/>
      <c r="W68" s="51"/>
      <c r="X68" s="51">
        <v>3715</v>
      </c>
      <c r="Y68" s="51" t="s">
        <v>837</v>
      </c>
      <c r="Z68" s="51"/>
      <c r="AA68" s="51" t="str">
        <f t="shared" si="7"/>
        <v>37</v>
      </c>
      <c r="AB68" s="51" t="str">
        <f t="shared" si="8"/>
        <v>371</v>
      </c>
      <c r="AC68" s="51"/>
      <c r="AD68" s="51" t="s">
        <v>1551</v>
      </c>
      <c r="AE68" s="51" t="s">
        <v>1552</v>
      </c>
      <c r="AF68" s="51" t="str">
        <f t="shared" si="9"/>
        <v>A679071</v>
      </c>
      <c r="AG68" s="51" t="str">
        <f>VLOOKUP(AF68,AKT!$C$4:$E$324,3,FALSE)</f>
        <v>0942</v>
      </c>
    </row>
    <row r="69" spans="1:33" ht="15.75" customHeight="1">
      <c r="A69" s="84">
        <v>51</v>
      </c>
      <c r="B69" s="79" t="str">
        <f t="shared" si="0"/>
        <v>Pomoći EU</v>
      </c>
      <c r="C69" s="84">
        <v>4224</v>
      </c>
      <c r="D69" s="79" t="str">
        <f t="shared" si="1"/>
        <v>Medicinska i laboratorijska oprema</v>
      </c>
      <c r="E69" s="84" t="s">
        <v>1541</v>
      </c>
      <c r="F69" s="79" t="str">
        <f t="shared" si="2"/>
        <v>MARILIA-Mara-Based Industrial Low-Cost Identification Assays</v>
      </c>
      <c r="G69" s="79" t="str">
        <f t="shared" si="3"/>
        <v>0150</v>
      </c>
      <c r="H69" s="67">
        <v>2905</v>
      </c>
      <c r="I69" s="67">
        <v>0</v>
      </c>
      <c r="J69" s="67">
        <v>0</v>
      </c>
      <c r="K69" s="89" t="s">
        <v>1542</v>
      </c>
      <c r="L69" s="90">
        <v>43862</v>
      </c>
      <c r="M69" s="90">
        <v>44957</v>
      </c>
      <c r="N69" s="89" t="s">
        <v>1398</v>
      </c>
      <c r="O69" s="73" t="s">
        <v>1542</v>
      </c>
      <c r="P69" s="68"/>
      <c r="Q69" s="51"/>
      <c r="R69" s="51" t="str">
        <f t="shared" si="4"/>
        <v>422</v>
      </c>
      <c r="S69" s="51" t="str">
        <f t="shared" si="5"/>
        <v>42</v>
      </c>
      <c r="T69" s="51" t="str">
        <f t="shared" si="6"/>
        <v>15</v>
      </c>
      <c r="U69" s="51"/>
      <c r="V69" s="51"/>
      <c r="W69" s="51"/>
      <c r="X69" s="51">
        <v>3721</v>
      </c>
      <c r="Y69" s="51" t="s">
        <v>840</v>
      </c>
      <c r="Z69" s="51"/>
      <c r="AA69" s="51" t="str">
        <f t="shared" si="7"/>
        <v>37</v>
      </c>
      <c r="AB69" s="51" t="str">
        <f t="shared" si="8"/>
        <v>372</v>
      </c>
      <c r="AC69" s="51"/>
      <c r="AD69" s="51" t="s">
        <v>1553</v>
      </c>
      <c r="AE69" s="51" t="s">
        <v>1554</v>
      </c>
      <c r="AF69" s="51" t="str">
        <f t="shared" si="9"/>
        <v>A679071</v>
      </c>
      <c r="AG69" s="51" t="str">
        <f>VLOOKUP(AF69,AKT!$C$4:$E$324,3,FALSE)</f>
        <v>0942</v>
      </c>
    </row>
    <row r="70" spans="1:33" ht="15.75" customHeight="1">
      <c r="A70" s="84">
        <v>51</v>
      </c>
      <c r="B70" s="79" t="str">
        <f t="shared" si="0"/>
        <v>Pomoći EU</v>
      </c>
      <c r="C70" s="84">
        <v>3111</v>
      </c>
      <c r="D70" s="79" t="str">
        <f t="shared" si="1"/>
        <v>Plaće za redovan rad</v>
      </c>
      <c r="E70" s="84" t="s">
        <v>1555</v>
      </c>
      <c r="F70" s="79" t="str">
        <f t="shared" si="2"/>
        <v>MOQS - Molekularne kvantne simulacije</v>
      </c>
      <c r="G70" s="79" t="str">
        <f t="shared" si="3"/>
        <v>0150</v>
      </c>
      <c r="H70" s="67">
        <v>21547</v>
      </c>
      <c r="I70" s="67">
        <v>21547</v>
      </c>
      <c r="J70" s="67">
        <v>0</v>
      </c>
      <c r="K70" s="89" t="s">
        <v>1556</v>
      </c>
      <c r="L70" s="90">
        <v>44136</v>
      </c>
      <c r="M70" s="90">
        <v>45596</v>
      </c>
      <c r="N70" s="89" t="s">
        <v>1398</v>
      </c>
      <c r="O70" s="73" t="s">
        <v>1556</v>
      </c>
      <c r="P70" s="68"/>
      <c r="Q70" s="51"/>
      <c r="R70" s="51" t="str">
        <f t="shared" si="4"/>
        <v>311</v>
      </c>
      <c r="S70" s="51" t="str">
        <f t="shared" si="5"/>
        <v>31</v>
      </c>
      <c r="T70" s="51" t="str">
        <f t="shared" si="6"/>
        <v>15</v>
      </c>
      <c r="U70" s="51"/>
      <c r="V70" s="51"/>
      <c r="W70" s="51"/>
      <c r="X70" s="51">
        <v>3722</v>
      </c>
      <c r="Y70" s="51" t="s">
        <v>843</v>
      </c>
      <c r="Z70" s="51"/>
      <c r="AA70" s="51" t="str">
        <f t="shared" si="7"/>
        <v>37</v>
      </c>
      <c r="AB70" s="51" t="str">
        <f t="shared" si="8"/>
        <v>372</v>
      </c>
      <c r="AC70" s="51"/>
      <c r="AD70" s="51" t="s">
        <v>1557</v>
      </c>
      <c r="AE70" s="51" t="s">
        <v>1558</v>
      </c>
      <c r="AF70" s="51" t="str">
        <f t="shared" si="9"/>
        <v>A679071</v>
      </c>
      <c r="AG70" s="51" t="str">
        <f>VLOOKUP(AF70,AKT!$C$4:$E$324,3,FALSE)</f>
        <v>0942</v>
      </c>
    </row>
    <row r="71" spans="1:33" ht="15.75" customHeight="1">
      <c r="A71" s="84">
        <v>51</v>
      </c>
      <c r="B71" s="79" t="str">
        <f t="shared" si="0"/>
        <v>Pomoći EU</v>
      </c>
      <c r="C71" s="84">
        <v>3132</v>
      </c>
      <c r="D71" s="79" t="str">
        <f t="shared" si="1"/>
        <v>Doprinosi za obvezno zdravstveno osiguranje</v>
      </c>
      <c r="E71" s="84" t="s">
        <v>1555</v>
      </c>
      <c r="F71" s="79" t="str">
        <f t="shared" si="2"/>
        <v>MOQS - Molekularne kvantne simulacije</v>
      </c>
      <c r="G71" s="79" t="str">
        <f t="shared" si="3"/>
        <v>0150</v>
      </c>
      <c r="H71" s="67">
        <v>3591</v>
      </c>
      <c r="I71" s="67">
        <v>3591</v>
      </c>
      <c r="J71" s="67">
        <v>0</v>
      </c>
      <c r="K71" s="89" t="s">
        <v>1556</v>
      </c>
      <c r="L71" s="90">
        <v>44136</v>
      </c>
      <c r="M71" s="90">
        <v>45596</v>
      </c>
      <c r="N71" s="89" t="s">
        <v>1398</v>
      </c>
      <c r="O71" s="73" t="s">
        <v>1556</v>
      </c>
      <c r="P71" s="68"/>
      <c r="Q71" s="51"/>
      <c r="R71" s="51" t="str">
        <f t="shared" si="4"/>
        <v>313</v>
      </c>
      <c r="S71" s="51" t="str">
        <f t="shared" si="5"/>
        <v>31</v>
      </c>
      <c r="T71" s="51" t="str">
        <f t="shared" si="6"/>
        <v>15</v>
      </c>
      <c r="U71" s="51"/>
      <c r="V71" s="51"/>
      <c r="W71" s="51"/>
      <c r="X71" s="51">
        <v>3723</v>
      </c>
      <c r="Y71" s="51" t="s">
        <v>846</v>
      </c>
      <c r="Z71" s="51"/>
      <c r="AA71" s="51" t="str">
        <f t="shared" si="7"/>
        <v>37</v>
      </c>
      <c r="AB71" s="51" t="str">
        <f t="shared" si="8"/>
        <v>372</v>
      </c>
      <c r="AC71" s="51"/>
      <c r="AD71" s="51" t="s">
        <v>1559</v>
      </c>
      <c r="AE71" s="51" t="s">
        <v>1560</v>
      </c>
      <c r="AF71" s="51" t="str">
        <f t="shared" si="9"/>
        <v>A679071</v>
      </c>
      <c r="AG71" s="51" t="str">
        <f>VLOOKUP(AF71,AKT!$C$4:$E$324,3,FALSE)</f>
        <v>0942</v>
      </c>
    </row>
    <row r="72" spans="1:33" ht="15.75" customHeight="1">
      <c r="A72" s="84">
        <v>51</v>
      </c>
      <c r="B72" s="79" t="str">
        <f t="shared" si="0"/>
        <v>Pomoći EU</v>
      </c>
      <c r="C72" s="84">
        <v>3211</v>
      </c>
      <c r="D72" s="79" t="str">
        <f t="shared" si="1"/>
        <v>Službena putovanja</v>
      </c>
      <c r="E72" s="84" t="s">
        <v>1555</v>
      </c>
      <c r="F72" s="79" t="str">
        <f t="shared" si="2"/>
        <v>MOQS - Molekularne kvantne simulacije</v>
      </c>
      <c r="G72" s="79" t="str">
        <f t="shared" si="3"/>
        <v>0150</v>
      </c>
      <c r="H72" s="67">
        <v>2394</v>
      </c>
      <c r="I72" s="67">
        <v>2394</v>
      </c>
      <c r="J72" s="67">
        <v>0</v>
      </c>
      <c r="K72" s="89" t="s">
        <v>1556</v>
      </c>
      <c r="L72" s="90">
        <v>44136</v>
      </c>
      <c r="M72" s="90">
        <v>45596</v>
      </c>
      <c r="N72" s="89" t="s">
        <v>1398</v>
      </c>
      <c r="O72" s="73" t="s">
        <v>1556</v>
      </c>
      <c r="P72" s="68"/>
      <c r="Q72" s="51"/>
      <c r="R72" s="51" t="str">
        <f t="shared" si="4"/>
        <v>321</v>
      </c>
      <c r="S72" s="51" t="str">
        <f t="shared" si="5"/>
        <v>32</v>
      </c>
      <c r="T72" s="51" t="str">
        <f t="shared" si="6"/>
        <v>15</v>
      </c>
      <c r="U72" s="51"/>
      <c r="V72" s="51"/>
      <c r="W72" s="51"/>
      <c r="X72" s="51">
        <v>3811</v>
      </c>
      <c r="Y72" s="51" t="s">
        <v>849</v>
      </c>
      <c r="Z72" s="51"/>
      <c r="AA72" s="51" t="str">
        <f t="shared" si="7"/>
        <v>38</v>
      </c>
      <c r="AB72" s="51" t="str">
        <f t="shared" si="8"/>
        <v>381</v>
      </c>
      <c r="AC72" s="51"/>
      <c r="AD72" s="51" t="s">
        <v>1561</v>
      </c>
      <c r="AE72" s="51" t="s">
        <v>1562</v>
      </c>
      <c r="AF72" s="51" t="str">
        <f t="shared" si="9"/>
        <v>A679071</v>
      </c>
      <c r="AG72" s="51" t="str">
        <f>VLOOKUP(AF72,AKT!$C$4:$E$324,3,FALSE)</f>
        <v>0942</v>
      </c>
    </row>
    <row r="73" spans="1:33" ht="15.75" customHeight="1">
      <c r="A73" s="84">
        <v>51</v>
      </c>
      <c r="B73" s="79" t="str">
        <f t="shared" si="0"/>
        <v>Pomoći EU</v>
      </c>
      <c r="C73" s="84">
        <v>3222</v>
      </c>
      <c r="D73" s="79" t="str">
        <f t="shared" si="1"/>
        <v>Materijal i sirovine</v>
      </c>
      <c r="E73" s="84" t="s">
        <v>1555</v>
      </c>
      <c r="F73" s="79" t="str">
        <f t="shared" si="2"/>
        <v>MOQS - Molekularne kvantne simulacije</v>
      </c>
      <c r="G73" s="79" t="str">
        <f t="shared" si="3"/>
        <v>0150</v>
      </c>
      <c r="H73" s="67">
        <v>5985</v>
      </c>
      <c r="I73" s="67">
        <v>5985</v>
      </c>
      <c r="J73" s="67">
        <v>0</v>
      </c>
      <c r="K73" s="89" t="s">
        <v>1556</v>
      </c>
      <c r="L73" s="90">
        <v>44136</v>
      </c>
      <c r="M73" s="90">
        <v>45596</v>
      </c>
      <c r="N73" s="89" t="s">
        <v>1398</v>
      </c>
      <c r="O73" s="73" t="s">
        <v>1556</v>
      </c>
      <c r="P73" s="68"/>
      <c r="Q73" s="51"/>
      <c r="R73" s="51" t="str">
        <f t="shared" si="4"/>
        <v>322</v>
      </c>
      <c r="S73" s="51" t="str">
        <f t="shared" si="5"/>
        <v>32</v>
      </c>
      <c r="T73" s="51" t="str">
        <f t="shared" si="6"/>
        <v>15</v>
      </c>
      <c r="U73" s="51"/>
      <c r="V73" s="51"/>
      <c r="W73" s="51"/>
      <c r="X73" s="51">
        <v>3812</v>
      </c>
      <c r="Y73" s="51" t="s">
        <v>852</v>
      </c>
      <c r="Z73" s="51"/>
      <c r="AA73" s="51" t="str">
        <f t="shared" si="7"/>
        <v>38</v>
      </c>
      <c r="AB73" s="51" t="str">
        <f t="shared" si="8"/>
        <v>381</v>
      </c>
      <c r="AC73" s="51"/>
      <c r="AD73" s="51" t="s">
        <v>1563</v>
      </c>
      <c r="AE73" s="51" t="s">
        <v>1564</v>
      </c>
      <c r="AF73" s="51" t="str">
        <f t="shared" si="9"/>
        <v>A679071</v>
      </c>
      <c r="AG73" s="51" t="str">
        <f>VLOOKUP(AF73,AKT!$C$4:$E$324,3,FALSE)</f>
        <v>0942</v>
      </c>
    </row>
    <row r="74" spans="1:33" ht="15.75" customHeight="1">
      <c r="A74" s="84">
        <v>51</v>
      </c>
      <c r="B74" s="79" t="str">
        <f t="shared" si="0"/>
        <v>Pomoći EU</v>
      </c>
      <c r="C74" s="84">
        <v>3299</v>
      </c>
      <c r="D74" s="79" t="str">
        <f t="shared" si="1"/>
        <v>Ostali nespomenuti rashodi poslovanja</v>
      </c>
      <c r="E74" s="84" t="s">
        <v>1555</v>
      </c>
      <c r="F74" s="79" t="str">
        <f t="shared" si="2"/>
        <v>MOQS - Molekularne kvantne simulacije</v>
      </c>
      <c r="G74" s="79" t="str">
        <f t="shared" si="3"/>
        <v>0150</v>
      </c>
      <c r="H74" s="67">
        <v>19751</v>
      </c>
      <c r="I74" s="67">
        <v>19751</v>
      </c>
      <c r="J74" s="67">
        <v>0</v>
      </c>
      <c r="K74" s="89" t="s">
        <v>1556</v>
      </c>
      <c r="L74" s="90">
        <v>44136</v>
      </c>
      <c r="M74" s="90">
        <v>45596</v>
      </c>
      <c r="N74" s="89" t="s">
        <v>1398</v>
      </c>
      <c r="O74" s="73" t="s">
        <v>1556</v>
      </c>
      <c r="P74" s="68"/>
      <c r="Q74" s="51"/>
      <c r="R74" s="51" t="str">
        <f t="shared" si="4"/>
        <v>329</v>
      </c>
      <c r="S74" s="51" t="str">
        <f t="shared" si="5"/>
        <v>32</v>
      </c>
      <c r="T74" s="51" t="str">
        <f t="shared" si="6"/>
        <v>15</v>
      </c>
      <c r="U74" s="51"/>
      <c r="V74" s="51"/>
      <c r="W74" s="51"/>
      <c r="X74" s="51">
        <v>3813</v>
      </c>
      <c r="Y74" s="51" t="s">
        <v>855</v>
      </c>
      <c r="Z74" s="51"/>
      <c r="AA74" s="51" t="str">
        <f t="shared" si="7"/>
        <v>38</v>
      </c>
      <c r="AB74" s="51" t="str">
        <f t="shared" si="8"/>
        <v>381</v>
      </c>
      <c r="AC74" s="51"/>
      <c r="AD74" s="51" t="s">
        <v>1565</v>
      </c>
      <c r="AE74" s="51" t="s">
        <v>1566</v>
      </c>
      <c r="AF74" s="51" t="str">
        <f t="shared" si="9"/>
        <v>A679071</v>
      </c>
      <c r="AG74" s="51" t="str">
        <f>VLOOKUP(AF74,AKT!$C$4:$E$324,3,FALSE)</f>
        <v>0942</v>
      </c>
    </row>
    <row r="75" spans="1:33" ht="15.75" customHeight="1">
      <c r="A75" s="84">
        <v>51</v>
      </c>
      <c r="B75" s="79" t="str">
        <f t="shared" si="0"/>
        <v>Pomoći EU</v>
      </c>
      <c r="C75" s="84">
        <v>4224</v>
      </c>
      <c r="D75" s="79" t="str">
        <f t="shared" si="1"/>
        <v>Medicinska i laboratorijska oprema</v>
      </c>
      <c r="E75" s="84" t="s">
        <v>1555</v>
      </c>
      <c r="F75" s="79" t="str">
        <f t="shared" si="2"/>
        <v>MOQS - Molekularne kvantne simulacije</v>
      </c>
      <c r="G75" s="79" t="str">
        <f t="shared" si="3"/>
        <v>0150</v>
      </c>
      <c r="H75" s="67">
        <v>6584</v>
      </c>
      <c r="I75" s="67">
        <v>6584</v>
      </c>
      <c r="J75" s="67">
        <v>0</v>
      </c>
      <c r="K75" s="89" t="s">
        <v>1556</v>
      </c>
      <c r="L75" s="90">
        <v>44136</v>
      </c>
      <c r="M75" s="90">
        <v>45596</v>
      </c>
      <c r="N75" s="89" t="s">
        <v>1398</v>
      </c>
      <c r="O75" s="73" t="s">
        <v>1556</v>
      </c>
      <c r="P75" s="68"/>
      <c r="Q75" s="51"/>
      <c r="R75" s="51" t="str">
        <f t="shared" si="4"/>
        <v>422</v>
      </c>
      <c r="S75" s="51" t="str">
        <f t="shared" si="5"/>
        <v>42</v>
      </c>
      <c r="T75" s="51" t="str">
        <f t="shared" si="6"/>
        <v>15</v>
      </c>
      <c r="U75" s="51"/>
      <c r="V75" s="51"/>
      <c r="W75" s="51"/>
      <c r="X75" s="51">
        <v>3821</v>
      </c>
      <c r="Y75" s="51" t="s">
        <v>858</v>
      </c>
      <c r="Z75" s="51"/>
      <c r="AA75" s="51" t="str">
        <f t="shared" si="7"/>
        <v>38</v>
      </c>
      <c r="AB75" s="51" t="str">
        <f t="shared" si="8"/>
        <v>382</v>
      </c>
      <c r="AC75" s="51"/>
      <c r="AD75" s="51" t="s">
        <v>1567</v>
      </c>
      <c r="AE75" s="51" t="s">
        <v>1568</v>
      </c>
      <c r="AF75" s="51" t="str">
        <f t="shared" si="9"/>
        <v>A679071</v>
      </c>
      <c r="AG75" s="51" t="str">
        <f>VLOOKUP(AF75,AKT!$C$4:$E$324,3,FALSE)</f>
        <v>0942</v>
      </c>
    </row>
    <row r="76" spans="1:33" ht="15.75" customHeight="1">
      <c r="A76" s="84">
        <v>51</v>
      </c>
      <c r="B76" s="79" t="str">
        <f t="shared" si="0"/>
        <v>Pomoći EU</v>
      </c>
      <c r="C76" s="84">
        <v>3111</v>
      </c>
      <c r="D76" s="79" t="str">
        <f t="shared" si="1"/>
        <v>Plaće za redovan rad</v>
      </c>
      <c r="E76" s="84" t="s">
        <v>1569</v>
      </c>
      <c r="F76" s="79" t="str">
        <f t="shared" si="2"/>
        <v>PEST-BIN- Pionirske strategije protiv bakterijskih infekcija</v>
      </c>
      <c r="G76" s="79" t="str">
        <f t="shared" si="3"/>
        <v>0150</v>
      </c>
      <c r="H76" s="67">
        <v>21407</v>
      </c>
      <c r="I76" s="67">
        <v>21407</v>
      </c>
      <c r="J76" s="67">
        <v>0</v>
      </c>
      <c r="K76" s="89" t="s">
        <v>1570</v>
      </c>
      <c r="L76" s="90">
        <v>44197</v>
      </c>
      <c r="M76" s="90">
        <v>45657</v>
      </c>
      <c r="N76" s="89" t="s">
        <v>1398</v>
      </c>
      <c r="O76" s="73" t="s">
        <v>1570</v>
      </c>
      <c r="P76" s="68"/>
      <c r="Q76" s="51"/>
      <c r="R76" s="51" t="str">
        <f t="shared" si="4"/>
        <v>311</v>
      </c>
      <c r="S76" s="51" t="str">
        <f t="shared" si="5"/>
        <v>31</v>
      </c>
      <c r="T76" s="51" t="str">
        <f t="shared" si="6"/>
        <v>15</v>
      </c>
      <c r="U76" s="51"/>
      <c r="V76" s="51"/>
      <c r="W76" s="51"/>
      <c r="X76" s="51">
        <v>3831</v>
      </c>
      <c r="Y76" s="51" t="s">
        <v>861</v>
      </c>
      <c r="Z76" s="51"/>
      <c r="AA76" s="51" t="str">
        <f t="shared" si="7"/>
        <v>38</v>
      </c>
      <c r="AB76" s="51" t="str">
        <f t="shared" si="8"/>
        <v>383</v>
      </c>
      <c r="AC76" s="51"/>
      <c r="AD76" s="51" t="s">
        <v>1571</v>
      </c>
      <c r="AE76" s="51" t="s">
        <v>1572</v>
      </c>
      <c r="AF76" s="51" t="str">
        <f t="shared" si="9"/>
        <v>A679071</v>
      </c>
      <c r="AG76" s="51" t="str">
        <f>VLOOKUP(AF76,AKT!$C$4:$E$324,3,FALSE)</f>
        <v>0942</v>
      </c>
    </row>
    <row r="77" spans="1:33" ht="15.75" customHeight="1">
      <c r="A77" s="84">
        <v>51</v>
      </c>
      <c r="B77" s="79" t="str">
        <f t="shared" si="0"/>
        <v>Pomoći EU</v>
      </c>
      <c r="C77" s="84">
        <v>3132</v>
      </c>
      <c r="D77" s="79" t="str">
        <f t="shared" si="1"/>
        <v>Doprinosi za obvezno zdravstveno osiguranje</v>
      </c>
      <c r="E77" s="84" t="s">
        <v>1569</v>
      </c>
      <c r="F77" s="79" t="str">
        <f t="shared" si="2"/>
        <v>PEST-BIN- Pionirske strategije protiv bakterijskih infekcija</v>
      </c>
      <c r="G77" s="79" t="str">
        <f t="shared" si="3"/>
        <v>0150</v>
      </c>
      <c r="H77" s="67">
        <v>3568</v>
      </c>
      <c r="I77" s="67">
        <v>3568</v>
      </c>
      <c r="J77" s="67">
        <v>0</v>
      </c>
      <c r="K77" s="89" t="s">
        <v>1570</v>
      </c>
      <c r="L77" s="90">
        <v>44197</v>
      </c>
      <c r="M77" s="90">
        <v>45657</v>
      </c>
      <c r="N77" s="89" t="s">
        <v>1398</v>
      </c>
      <c r="O77" s="73" t="s">
        <v>1570</v>
      </c>
      <c r="P77" s="68"/>
      <c r="Q77" s="51"/>
      <c r="R77" s="51" t="str">
        <f t="shared" si="4"/>
        <v>313</v>
      </c>
      <c r="S77" s="51" t="str">
        <f t="shared" si="5"/>
        <v>31</v>
      </c>
      <c r="T77" s="51" t="str">
        <f t="shared" si="6"/>
        <v>15</v>
      </c>
      <c r="U77" s="51"/>
      <c r="V77" s="51"/>
      <c r="W77" s="51"/>
      <c r="X77" s="51">
        <v>3832</v>
      </c>
      <c r="Y77" s="51" t="s">
        <v>864</v>
      </c>
      <c r="Z77" s="51"/>
      <c r="AA77" s="51" t="str">
        <f t="shared" si="7"/>
        <v>38</v>
      </c>
      <c r="AB77" s="51" t="str">
        <f t="shared" si="8"/>
        <v>383</v>
      </c>
      <c r="AC77" s="51"/>
      <c r="AD77" s="51" t="s">
        <v>1573</v>
      </c>
      <c r="AE77" s="51" t="s">
        <v>1574</v>
      </c>
      <c r="AF77" s="51" t="str">
        <f t="shared" si="9"/>
        <v>A679071</v>
      </c>
      <c r="AG77" s="51" t="str">
        <f>VLOOKUP(AF77,AKT!$C$4:$E$324,3,FALSE)</f>
        <v>0942</v>
      </c>
    </row>
    <row r="78" spans="1:33" ht="15.75" customHeight="1">
      <c r="A78" s="84">
        <v>51</v>
      </c>
      <c r="B78" s="79" t="str">
        <f t="shared" si="0"/>
        <v>Pomoći EU</v>
      </c>
      <c r="C78" s="84">
        <v>3211</v>
      </c>
      <c r="D78" s="79" t="str">
        <f t="shared" si="1"/>
        <v>Službena putovanja</v>
      </c>
      <c r="E78" s="84" t="s">
        <v>1569</v>
      </c>
      <c r="F78" s="79" t="str">
        <f t="shared" si="2"/>
        <v>PEST-BIN- Pionirske strategije protiv bakterijskih infekcija</v>
      </c>
      <c r="G78" s="79" t="str">
        <f t="shared" si="3"/>
        <v>0150</v>
      </c>
      <c r="H78" s="67">
        <v>2379</v>
      </c>
      <c r="I78" s="67">
        <v>2379</v>
      </c>
      <c r="J78" s="67">
        <v>0</v>
      </c>
      <c r="K78" s="89" t="s">
        <v>1570</v>
      </c>
      <c r="L78" s="90">
        <v>44197</v>
      </c>
      <c r="M78" s="90">
        <v>45657</v>
      </c>
      <c r="N78" s="89" t="s">
        <v>1398</v>
      </c>
      <c r="O78" s="73" t="s">
        <v>1570</v>
      </c>
      <c r="P78" s="68"/>
      <c r="Q78" s="51"/>
      <c r="R78" s="51" t="str">
        <f t="shared" si="4"/>
        <v>321</v>
      </c>
      <c r="S78" s="51" t="str">
        <f t="shared" si="5"/>
        <v>32</v>
      </c>
      <c r="T78" s="51" t="str">
        <f t="shared" si="6"/>
        <v>15</v>
      </c>
      <c r="U78" s="51"/>
      <c r="V78" s="51"/>
      <c r="W78" s="51"/>
      <c r="X78" s="51">
        <v>3833</v>
      </c>
      <c r="Y78" s="51" t="s">
        <v>867</v>
      </c>
      <c r="Z78" s="51"/>
      <c r="AA78" s="51" t="str">
        <f t="shared" si="7"/>
        <v>38</v>
      </c>
      <c r="AB78" s="51" t="str">
        <f t="shared" si="8"/>
        <v>383</v>
      </c>
      <c r="AC78" s="51"/>
      <c r="AD78" s="51" t="s">
        <v>1575</v>
      </c>
      <c r="AE78" s="51" t="s">
        <v>1576</v>
      </c>
      <c r="AF78" s="51" t="str">
        <f t="shared" si="9"/>
        <v>A679071</v>
      </c>
      <c r="AG78" s="51" t="str">
        <f>VLOOKUP(AF78,AKT!$C$4:$E$324,3,FALSE)</f>
        <v>0942</v>
      </c>
    </row>
    <row r="79" spans="1:33" ht="15.75" customHeight="1">
      <c r="A79" s="84">
        <v>51</v>
      </c>
      <c r="B79" s="79" t="str">
        <f t="shared" si="0"/>
        <v>Pomoći EU</v>
      </c>
      <c r="C79" s="84">
        <v>3222</v>
      </c>
      <c r="D79" s="79" t="str">
        <f t="shared" si="1"/>
        <v>Materijal i sirovine</v>
      </c>
      <c r="E79" s="84" t="s">
        <v>1569</v>
      </c>
      <c r="F79" s="79" t="str">
        <f t="shared" si="2"/>
        <v>PEST-BIN- Pionirske strategije protiv bakterijskih infekcija</v>
      </c>
      <c r="G79" s="79" t="str">
        <f t="shared" si="3"/>
        <v>0150</v>
      </c>
      <c r="H79" s="67">
        <v>5946</v>
      </c>
      <c r="I79" s="67">
        <v>5946</v>
      </c>
      <c r="J79" s="67">
        <v>0</v>
      </c>
      <c r="K79" s="89" t="s">
        <v>1570</v>
      </c>
      <c r="L79" s="90">
        <v>44197</v>
      </c>
      <c r="M79" s="90">
        <v>45657</v>
      </c>
      <c r="N79" s="89" t="s">
        <v>1398</v>
      </c>
      <c r="O79" s="73" t="s">
        <v>1570</v>
      </c>
      <c r="P79" s="68"/>
      <c r="Q79" s="51"/>
      <c r="R79" s="51" t="str">
        <f t="shared" si="4"/>
        <v>322</v>
      </c>
      <c r="S79" s="51" t="str">
        <f t="shared" si="5"/>
        <v>32</v>
      </c>
      <c r="T79" s="51" t="str">
        <f t="shared" si="6"/>
        <v>15</v>
      </c>
      <c r="U79" s="51"/>
      <c r="V79" s="51"/>
      <c r="W79" s="51"/>
      <c r="X79" s="51">
        <v>3834</v>
      </c>
      <c r="Y79" s="51" t="s">
        <v>870</v>
      </c>
      <c r="Z79" s="51"/>
      <c r="AA79" s="51" t="str">
        <f t="shared" si="7"/>
        <v>38</v>
      </c>
      <c r="AB79" s="51" t="str">
        <f t="shared" si="8"/>
        <v>383</v>
      </c>
      <c r="AC79" s="51"/>
      <c r="AD79" s="51" t="s">
        <v>1577</v>
      </c>
      <c r="AE79" s="51" t="s">
        <v>1578</v>
      </c>
      <c r="AF79" s="51" t="str">
        <f t="shared" si="9"/>
        <v>A679071</v>
      </c>
      <c r="AG79" s="51" t="str">
        <f>VLOOKUP(AF79,AKT!$C$4:$E$324,3,FALSE)</f>
        <v>0942</v>
      </c>
    </row>
    <row r="80" spans="1:33" ht="15.75" customHeight="1">
      <c r="A80" s="84">
        <v>51</v>
      </c>
      <c r="B80" s="79" t="str">
        <f t="shared" si="0"/>
        <v>Pomoći EU</v>
      </c>
      <c r="C80" s="84">
        <v>3299</v>
      </c>
      <c r="D80" s="79" t="str">
        <f t="shared" si="1"/>
        <v>Ostali nespomenuti rashodi poslovanja</v>
      </c>
      <c r="E80" s="84" t="s">
        <v>1569</v>
      </c>
      <c r="F80" s="79" t="str">
        <f t="shared" si="2"/>
        <v>PEST-BIN- Pionirske strategije protiv bakterijskih infekcija</v>
      </c>
      <c r="G80" s="79" t="str">
        <f t="shared" si="3"/>
        <v>0150</v>
      </c>
      <c r="H80" s="67">
        <v>19623</v>
      </c>
      <c r="I80" s="67">
        <v>19623</v>
      </c>
      <c r="J80" s="67">
        <v>0</v>
      </c>
      <c r="K80" s="89" t="s">
        <v>1570</v>
      </c>
      <c r="L80" s="90">
        <v>44197</v>
      </c>
      <c r="M80" s="90">
        <v>45657</v>
      </c>
      <c r="N80" s="89" t="s">
        <v>1398</v>
      </c>
      <c r="O80" s="73" t="s">
        <v>1570</v>
      </c>
      <c r="P80" s="68"/>
      <c r="Q80" s="51"/>
      <c r="R80" s="51" t="str">
        <f t="shared" si="4"/>
        <v>329</v>
      </c>
      <c r="S80" s="51" t="str">
        <f t="shared" si="5"/>
        <v>32</v>
      </c>
      <c r="T80" s="51" t="str">
        <f t="shared" si="6"/>
        <v>15</v>
      </c>
      <c r="U80" s="51"/>
      <c r="V80" s="51"/>
      <c r="W80" s="51"/>
      <c r="X80" s="51">
        <v>3835</v>
      </c>
      <c r="Y80" s="51" t="s">
        <v>873</v>
      </c>
      <c r="Z80" s="51"/>
      <c r="AA80" s="51" t="str">
        <f t="shared" si="7"/>
        <v>38</v>
      </c>
      <c r="AB80" s="51" t="str">
        <f t="shared" si="8"/>
        <v>383</v>
      </c>
      <c r="AC80" s="51"/>
      <c r="AD80" s="51" t="s">
        <v>1579</v>
      </c>
      <c r="AE80" s="51" t="s">
        <v>1580</v>
      </c>
      <c r="AF80" s="51" t="str">
        <f t="shared" si="9"/>
        <v>A679071</v>
      </c>
      <c r="AG80" s="51" t="str">
        <f>VLOOKUP(AF80,AKT!$C$4:$E$324,3,FALSE)</f>
        <v>0942</v>
      </c>
    </row>
    <row r="81" spans="1:33" ht="15.75" customHeight="1">
      <c r="A81" s="84">
        <v>51</v>
      </c>
      <c r="B81" s="79" t="str">
        <f t="shared" si="0"/>
        <v>Pomoći EU</v>
      </c>
      <c r="C81" s="84">
        <v>4224</v>
      </c>
      <c r="D81" s="79" t="str">
        <f t="shared" si="1"/>
        <v>Medicinska i laboratorijska oprema</v>
      </c>
      <c r="E81" s="84" t="s">
        <v>1569</v>
      </c>
      <c r="F81" s="79" t="str">
        <f t="shared" si="2"/>
        <v>PEST-BIN- Pionirske strategije protiv bakterijskih infekcija</v>
      </c>
      <c r="G81" s="79" t="str">
        <f t="shared" si="3"/>
        <v>0150</v>
      </c>
      <c r="H81" s="67">
        <v>6541</v>
      </c>
      <c r="I81" s="67">
        <v>6541</v>
      </c>
      <c r="J81" s="67">
        <v>0</v>
      </c>
      <c r="K81" s="89" t="s">
        <v>1570</v>
      </c>
      <c r="L81" s="90">
        <v>44197</v>
      </c>
      <c r="M81" s="90">
        <v>45657</v>
      </c>
      <c r="N81" s="89" t="s">
        <v>1398</v>
      </c>
      <c r="O81" s="73" t="s">
        <v>1570</v>
      </c>
      <c r="P81" s="68"/>
      <c r="Q81" s="51"/>
      <c r="R81" s="51" t="str">
        <f t="shared" si="4"/>
        <v>422</v>
      </c>
      <c r="S81" s="51" t="str">
        <f t="shared" si="5"/>
        <v>42</v>
      </c>
      <c r="T81" s="51" t="str">
        <f t="shared" si="6"/>
        <v>15</v>
      </c>
      <c r="U81" s="51"/>
      <c r="V81" s="51"/>
      <c r="W81" s="51"/>
      <c r="X81" s="51">
        <v>3861</v>
      </c>
      <c r="Y81" s="92" t="s">
        <v>876</v>
      </c>
      <c r="Z81" s="51"/>
      <c r="AA81" s="51" t="str">
        <f t="shared" si="7"/>
        <v>38</v>
      </c>
      <c r="AB81" s="51" t="str">
        <f t="shared" si="8"/>
        <v>386</v>
      </c>
      <c r="AC81" s="51"/>
      <c r="AD81" s="51" t="s">
        <v>1581</v>
      </c>
      <c r="AE81" s="51" t="s">
        <v>1582</v>
      </c>
      <c r="AF81" s="51" t="str">
        <f t="shared" si="9"/>
        <v>A679071</v>
      </c>
      <c r="AG81" s="51" t="str">
        <f>VLOOKUP(AF81,AKT!$C$4:$E$324,3,FALSE)</f>
        <v>0942</v>
      </c>
    </row>
    <row r="82" spans="1:33" ht="15.75" customHeight="1">
      <c r="A82" s="84">
        <v>51</v>
      </c>
      <c r="B82" s="79" t="str">
        <f t="shared" si="0"/>
        <v>Pomoći EU</v>
      </c>
      <c r="C82" s="84">
        <v>3111</v>
      </c>
      <c r="D82" s="79" t="str">
        <f t="shared" si="1"/>
        <v>Plaće za redovan rad</v>
      </c>
      <c r="E82" s="84" t="s">
        <v>1583</v>
      </c>
      <c r="F82" s="79" t="str">
        <f t="shared" si="2"/>
        <v>H2020 NEW Povezivanje komplementanih nacionalnih ion-beam postrojenja u virtualnu mrežu</v>
      </c>
      <c r="G82" s="79" t="str">
        <f t="shared" si="3"/>
        <v>0150</v>
      </c>
      <c r="H82" s="67">
        <v>53446</v>
      </c>
      <c r="I82" s="67">
        <v>0</v>
      </c>
      <c r="J82" s="67">
        <v>0</v>
      </c>
      <c r="K82" s="89" t="s">
        <v>1584</v>
      </c>
      <c r="L82" s="90">
        <v>43466</v>
      </c>
      <c r="M82" s="90">
        <v>45107</v>
      </c>
      <c r="N82" s="89" t="s">
        <v>1398</v>
      </c>
      <c r="O82" s="73" t="s">
        <v>1584</v>
      </c>
      <c r="P82" s="68"/>
      <c r="Q82" s="51"/>
      <c r="R82" s="51" t="str">
        <f t="shared" si="4"/>
        <v>311</v>
      </c>
      <c r="S82" s="51" t="str">
        <f t="shared" si="5"/>
        <v>31</v>
      </c>
      <c r="T82" s="51" t="str">
        <f t="shared" si="6"/>
        <v>15</v>
      </c>
      <c r="U82" s="51"/>
      <c r="V82" s="51"/>
      <c r="W82" s="51"/>
      <c r="X82" s="51">
        <v>3862</v>
      </c>
      <c r="Y82" s="51" t="s">
        <v>879</v>
      </c>
      <c r="Z82" s="51"/>
      <c r="AA82" s="51" t="str">
        <f t="shared" si="7"/>
        <v>38</v>
      </c>
      <c r="AB82" s="51" t="str">
        <f t="shared" si="8"/>
        <v>386</v>
      </c>
      <c r="AC82" s="51"/>
      <c r="AD82" s="51" t="s">
        <v>1585</v>
      </c>
      <c r="AE82" s="51" t="s">
        <v>1586</v>
      </c>
      <c r="AF82" s="51" t="str">
        <f t="shared" si="9"/>
        <v>A679071</v>
      </c>
      <c r="AG82" s="51" t="str">
        <f>VLOOKUP(AF82,AKT!$C$4:$E$324,3,FALSE)</f>
        <v>0942</v>
      </c>
    </row>
    <row r="83" spans="1:33" ht="15.75" customHeight="1">
      <c r="A83" s="84">
        <v>51</v>
      </c>
      <c r="B83" s="79" t="str">
        <f t="shared" si="0"/>
        <v>Pomoći EU</v>
      </c>
      <c r="C83" s="84">
        <v>3132</v>
      </c>
      <c r="D83" s="79" t="str">
        <f t="shared" si="1"/>
        <v>Doprinosi za obvezno zdravstveno osiguranje</v>
      </c>
      <c r="E83" s="84" t="s">
        <v>1583</v>
      </c>
      <c r="F83" s="79" t="str">
        <f t="shared" si="2"/>
        <v>H2020 NEW Povezivanje komplementanih nacionalnih ion-beam postrojenja u virtualnu mrežu</v>
      </c>
      <c r="G83" s="79" t="str">
        <f t="shared" si="3"/>
        <v>0150</v>
      </c>
      <c r="H83" s="67">
        <v>8908</v>
      </c>
      <c r="I83" s="67">
        <v>0</v>
      </c>
      <c r="J83" s="67">
        <v>0</v>
      </c>
      <c r="K83" s="89" t="s">
        <v>1584</v>
      </c>
      <c r="L83" s="90">
        <v>43466</v>
      </c>
      <c r="M83" s="90">
        <v>45107</v>
      </c>
      <c r="N83" s="89" t="s">
        <v>1398</v>
      </c>
      <c r="O83" s="73" t="s">
        <v>1584</v>
      </c>
      <c r="P83" s="68"/>
      <c r="Q83" s="51"/>
      <c r="R83" s="51" t="str">
        <f t="shared" si="4"/>
        <v>313</v>
      </c>
      <c r="S83" s="51" t="str">
        <f t="shared" si="5"/>
        <v>31</v>
      </c>
      <c r="T83" s="51" t="str">
        <f t="shared" si="6"/>
        <v>15</v>
      </c>
      <c r="U83" s="51"/>
      <c r="V83" s="51"/>
      <c r="W83" s="51"/>
      <c r="X83" s="51">
        <v>3863</v>
      </c>
      <c r="Y83" s="51" t="s">
        <v>882</v>
      </c>
      <c r="Z83" s="51"/>
      <c r="AA83" s="51" t="str">
        <f t="shared" si="7"/>
        <v>38</v>
      </c>
      <c r="AB83" s="51" t="str">
        <f t="shared" si="8"/>
        <v>386</v>
      </c>
      <c r="AC83" s="51"/>
      <c r="AD83" s="51" t="s">
        <v>1587</v>
      </c>
      <c r="AE83" s="51" t="s">
        <v>1588</v>
      </c>
      <c r="AF83" s="51" t="str">
        <f t="shared" si="9"/>
        <v>A679071</v>
      </c>
      <c r="AG83" s="51" t="str">
        <f>VLOOKUP(AF83,AKT!$C$4:$E$324,3,FALSE)</f>
        <v>0942</v>
      </c>
    </row>
    <row r="84" spans="1:33" ht="15.75" customHeight="1">
      <c r="A84" s="84">
        <v>51</v>
      </c>
      <c r="B84" s="79" t="str">
        <f t="shared" si="0"/>
        <v>Pomoći EU</v>
      </c>
      <c r="C84" s="84">
        <v>3211</v>
      </c>
      <c r="D84" s="79" t="str">
        <f t="shared" si="1"/>
        <v>Službena putovanja</v>
      </c>
      <c r="E84" s="84" t="s">
        <v>1583</v>
      </c>
      <c r="F84" s="79" t="str">
        <f t="shared" si="2"/>
        <v>H2020 NEW Povezivanje komplementanih nacionalnih ion-beam postrojenja u virtualnu mrežu</v>
      </c>
      <c r="G84" s="79" t="str">
        <f t="shared" si="3"/>
        <v>0150</v>
      </c>
      <c r="H84" s="67">
        <v>5938</v>
      </c>
      <c r="I84" s="67">
        <v>0</v>
      </c>
      <c r="J84" s="67">
        <v>0</v>
      </c>
      <c r="K84" s="89" t="s">
        <v>1584</v>
      </c>
      <c r="L84" s="90">
        <v>43466</v>
      </c>
      <c r="M84" s="90">
        <v>45107</v>
      </c>
      <c r="N84" s="89" t="s">
        <v>1398</v>
      </c>
      <c r="O84" s="73" t="s">
        <v>1584</v>
      </c>
      <c r="P84" s="68"/>
      <c r="Q84" s="51"/>
      <c r="R84" s="51" t="str">
        <f t="shared" si="4"/>
        <v>321</v>
      </c>
      <c r="S84" s="51" t="str">
        <f t="shared" si="5"/>
        <v>32</v>
      </c>
      <c r="T84" s="51" t="str">
        <f t="shared" si="6"/>
        <v>15</v>
      </c>
      <c r="U84" s="51"/>
      <c r="V84" s="51"/>
      <c r="W84" s="51"/>
      <c r="X84" s="51">
        <v>4111</v>
      </c>
      <c r="Y84" s="51" t="s">
        <v>885</v>
      </c>
      <c r="Z84" s="51"/>
      <c r="AA84" s="51" t="str">
        <f t="shared" si="7"/>
        <v>41</v>
      </c>
      <c r="AB84" s="51" t="str">
        <f t="shared" si="8"/>
        <v>411</v>
      </c>
      <c r="AC84" s="51"/>
      <c r="AD84" s="51" t="s">
        <v>1589</v>
      </c>
      <c r="AE84" s="51" t="s">
        <v>1590</v>
      </c>
      <c r="AF84" s="51" t="str">
        <f t="shared" si="9"/>
        <v>A679071</v>
      </c>
      <c r="AG84" s="51" t="str">
        <f>VLOOKUP(AF84,AKT!$C$4:$E$324,3,FALSE)</f>
        <v>0942</v>
      </c>
    </row>
    <row r="85" spans="1:33" ht="15.75" customHeight="1">
      <c r="A85" s="84">
        <v>51</v>
      </c>
      <c r="B85" s="79" t="str">
        <f t="shared" si="0"/>
        <v>Pomoći EU</v>
      </c>
      <c r="C85" s="84">
        <v>3222</v>
      </c>
      <c r="D85" s="79" t="str">
        <f t="shared" si="1"/>
        <v>Materijal i sirovine</v>
      </c>
      <c r="E85" s="84" t="s">
        <v>1583</v>
      </c>
      <c r="F85" s="79" t="str">
        <f t="shared" si="2"/>
        <v>H2020 NEW Povezivanje komplementanih nacionalnih ion-beam postrojenja u virtualnu mrežu</v>
      </c>
      <c r="G85" s="79" t="str">
        <f t="shared" si="3"/>
        <v>0150</v>
      </c>
      <c r="H85" s="67">
        <v>14846</v>
      </c>
      <c r="I85" s="67">
        <v>0</v>
      </c>
      <c r="J85" s="67">
        <v>0</v>
      </c>
      <c r="K85" s="89" t="s">
        <v>1584</v>
      </c>
      <c r="L85" s="90">
        <v>43466</v>
      </c>
      <c r="M85" s="90">
        <v>45107</v>
      </c>
      <c r="N85" s="89" t="s">
        <v>1398</v>
      </c>
      <c r="O85" s="73" t="s">
        <v>1584</v>
      </c>
      <c r="P85" s="68"/>
      <c r="Q85" s="51"/>
      <c r="R85" s="51" t="str">
        <f t="shared" si="4"/>
        <v>322</v>
      </c>
      <c r="S85" s="51" t="str">
        <f t="shared" si="5"/>
        <v>32</v>
      </c>
      <c r="T85" s="51" t="str">
        <f t="shared" si="6"/>
        <v>15</v>
      </c>
      <c r="U85" s="51"/>
      <c r="V85" s="51"/>
      <c r="W85" s="51"/>
      <c r="X85" s="51">
        <v>4113</v>
      </c>
      <c r="Y85" s="51" t="s">
        <v>888</v>
      </c>
      <c r="Z85" s="51"/>
      <c r="AA85" s="51" t="str">
        <f t="shared" si="7"/>
        <v>41</v>
      </c>
      <c r="AB85" s="51" t="str">
        <f t="shared" si="8"/>
        <v>411</v>
      </c>
      <c r="AC85" s="51"/>
      <c r="AD85" s="51" t="s">
        <v>1591</v>
      </c>
      <c r="AE85" s="51" t="s">
        <v>1592</v>
      </c>
      <c r="AF85" s="51" t="str">
        <f t="shared" si="9"/>
        <v>A679071</v>
      </c>
      <c r="AG85" s="51" t="str">
        <f>VLOOKUP(AF85,AKT!$C$4:$E$324,3,FALSE)</f>
        <v>0942</v>
      </c>
    </row>
    <row r="86" spans="1:33" ht="15.75" customHeight="1">
      <c r="A86" s="84">
        <v>51</v>
      </c>
      <c r="B86" s="79" t="str">
        <f t="shared" si="0"/>
        <v>Pomoći EU</v>
      </c>
      <c r="C86" s="84">
        <v>3299</v>
      </c>
      <c r="D86" s="79" t="str">
        <f t="shared" si="1"/>
        <v>Ostali nespomenuti rashodi poslovanja</v>
      </c>
      <c r="E86" s="84" t="s">
        <v>1583</v>
      </c>
      <c r="F86" s="79" t="str">
        <f t="shared" si="2"/>
        <v>H2020 NEW Povezivanje komplementanih nacionalnih ion-beam postrojenja u virtualnu mrežu</v>
      </c>
      <c r="G86" s="79" t="str">
        <f t="shared" si="3"/>
        <v>0150</v>
      </c>
      <c r="H86" s="67">
        <v>48992</v>
      </c>
      <c r="I86" s="67">
        <v>0</v>
      </c>
      <c r="J86" s="67">
        <v>0</v>
      </c>
      <c r="K86" s="89" t="s">
        <v>1584</v>
      </c>
      <c r="L86" s="90">
        <v>43466</v>
      </c>
      <c r="M86" s="90">
        <v>45107</v>
      </c>
      <c r="N86" s="89" t="s">
        <v>1398</v>
      </c>
      <c r="O86" s="73" t="s">
        <v>1584</v>
      </c>
      <c r="P86" s="68"/>
      <c r="Q86" s="51"/>
      <c r="R86" s="51" t="str">
        <f t="shared" si="4"/>
        <v>329</v>
      </c>
      <c r="S86" s="51" t="str">
        <f t="shared" si="5"/>
        <v>32</v>
      </c>
      <c r="T86" s="51" t="str">
        <f t="shared" si="6"/>
        <v>15</v>
      </c>
      <c r="U86" s="51"/>
      <c r="V86" s="51"/>
      <c r="W86" s="51"/>
      <c r="X86" s="51">
        <v>4122</v>
      </c>
      <c r="Y86" s="51" t="s">
        <v>891</v>
      </c>
      <c r="Z86" s="51"/>
      <c r="AA86" s="51" t="str">
        <f t="shared" si="7"/>
        <v>41</v>
      </c>
      <c r="AB86" s="51" t="str">
        <f t="shared" si="8"/>
        <v>412</v>
      </c>
      <c r="AC86" s="51"/>
      <c r="AD86" s="51" t="s">
        <v>1593</v>
      </c>
      <c r="AE86" s="51" t="s">
        <v>1594</v>
      </c>
      <c r="AF86" s="51" t="str">
        <f t="shared" si="9"/>
        <v>A679071</v>
      </c>
      <c r="AG86" s="51" t="str">
        <f>VLOOKUP(AF86,AKT!$C$4:$E$324,3,FALSE)</f>
        <v>0942</v>
      </c>
    </row>
    <row r="87" spans="1:33" ht="15.75" customHeight="1">
      <c r="A87" s="84">
        <v>51</v>
      </c>
      <c r="B87" s="79" t="str">
        <f t="shared" si="0"/>
        <v>Pomoći EU</v>
      </c>
      <c r="C87" s="84">
        <v>4224</v>
      </c>
      <c r="D87" s="79" t="str">
        <f t="shared" si="1"/>
        <v>Medicinska i laboratorijska oprema</v>
      </c>
      <c r="E87" s="84" t="s">
        <v>1583</v>
      </c>
      <c r="F87" s="79" t="str">
        <f t="shared" si="2"/>
        <v>H2020 NEW Povezivanje komplementanih nacionalnih ion-beam postrojenja u virtualnu mrežu</v>
      </c>
      <c r="G87" s="79" t="str">
        <f t="shared" si="3"/>
        <v>0150</v>
      </c>
      <c r="H87" s="67">
        <v>16331</v>
      </c>
      <c r="I87" s="67">
        <v>0</v>
      </c>
      <c r="J87" s="67">
        <v>0</v>
      </c>
      <c r="K87" s="89" t="s">
        <v>1584</v>
      </c>
      <c r="L87" s="90">
        <v>43466</v>
      </c>
      <c r="M87" s="90">
        <v>45107</v>
      </c>
      <c r="N87" s="89" t="s">
        <v>1398</v>
      </c>
      <c r="O87" s="73" t="s">
        <v>1584</v>
      </c>
      <c r="P87" s="68"/>
      <c r="Q87" s="51"/>
      <c r="R87" s="51" t="str">
        <f t="shared" si="4"/>
        <v>422</v>
      </c>
      <c r="S87" s="51" t="str">
        <f t="shared" si="5"/>
        <v>42</v>
      </c>
      <c r="T87" s="51" t="str">
        <f t="shared" si="6"/>
        <v>15</v>
      </c>
      <c r="U87" s="51"/>
      <c r="V87" s="51"/>
      <c r="W87" s="51"/>
      <c r="X87" s="51">
        <v>4123</v>
      </c>
      <c r="Y87" s="51" t="s">
        <v>894</v>
      </c>
      <c r="Z87" s="51"/>
      <c r="AA87" s="51" t="str">
        <f t="shared" si="7"/>
        <v>41</v>
      </c>
      <c r="AB87" s="51" t="str">
        <f t="shared" si="8"/>
        <v>412</v>
      </c>
      <c r="AC87" s="51"/>
      <c r="AD87" s="51" t="s">
        <v>1595</v>
      </c>
      <c r="AE87" s="51" t="s">
        <v>1596</v>
      </c>
      <c r="AF87" s="51" t="str">
        <f t="shared" si="9"/>
        <v>A679071</v>
      </c>
      <c r="AG87" s="51" t="str">
        <f>VLOOKUP(AF87,AKT!$C$4:$E$324,3,FALSE)</f>
        <v>0942</v>
      </c>
    </row>
    <row r="88" spans="1:33" ht="15.75" customHeight="1">
      <c r="A88" s="84">
        <v>51</v>
      </c>
      <c r="B88" s="79" t="str">
        <f t="shared" si="0"/>
        <v>Pomoći EU</v>
      </c>
      <c r="C88" s="84">
        <v>3111</v>
      </c>
      <c r="D88" s="79" t="str">
        <f t="shared" si="1"/>
        <v>Plaće za redovan rad</v>
      </c>
      <c r="E88" s="84" t="s">
        <v>1597</v>
      </c>
      <c r="F88" s="79" t="str">
        <f t="shared" si="2"/>
        <v>STRONG-2020 - Jaka interakcija na granici znanja</v>
      </c>
      <c r="G88" s="79" t="str">
        <f t="shared" si="3"/>
        <v>0150</v>
      </c>
      <c r="H88" s="67">
        <v>946</v>
      </c>
      <c r="I88" s="67">
        <v>0</v>
      </c>
      <c r="J88" s="67">
        <v>0</v>
      </c>
      <c r="K88" s="89" t="s">
        <v>1598</v>
      </c>
      <c r="L88" s="90">
        <v>43617</v>
      </c>
      <c r="M88" s="90">
        <v>45077</v>
      </c>
      <c r="N88" s="89" t="s">
        <v>1398</v>
      </c>
      <c r="O88" s="73" t="s">
        <v>1598</v>
      </c>
      <c r="P88" s="68"/>
      <c r="Q88" s="51"/>
      <c r="R88" s="51" t="str">
        <f t="shared" si="4"/>
        <v>311</v>
      </c>
      <c r="S88" s="51" t="str">
        <f t="shared" si="5"/>
        <v>31</v>
      </c>
      <c r="T88" s="51" t="str">
        <f t="shared" si="6"/>
        <v>15</v>
      </c>
      <c r="U88" s="51"/>
      <c r="V88" s="51"/>
      <c r="W88" s="51"/>
      <c r="X88" s="51">
        <v>4124</v>
      </c>
      <c r="Y88" s="51" t="s">
        <v>897</v>
      </c>
      <c r="Z88" s="51"/>
      <c r="AA88" s="51" t="str">
        <f t="shared" si="7"/>
        <v>41</v>
      </c>
      <c r="AB88" s="51" t="str">
        <f t="shared" si="8"/>
        <v>412</v>
      </c>
      <c r="AC88" s="51"/>
      <c r="AD88" s="51" t="s">
        <v>1599</v>
      </c>
      <c r="AE88" s="51" t="s">
        <v>1600</v>
      </c>
      <c r="AF88" s="51" t="str">
        <f t="shared" si="9"/>
        <v>A679071</v>
      </c>
      <c r="AG88" s="51" t="str">
        <f>VLOOKUP(AF88,AKT!$C$4:$E$324,3,FALSE)</f>
        <v>0942</v>
      </c>
    </row>
    <row r="89" spans="1:33" ht="15.75" customHeight="1">
      <c r="A89" s="84">
        <v>51</v>
      </c>
      <c r="B89" s="79" t="str">
        <f t="shared" si="0"/>
        <v>Pomoći EU</v>
      </c>
      <c r="C89" s="84">
        <v>3132</v>
      </c>
      <c r="D89" s="79" t="str">
        <f t="shared" si="1"/>
        <v>Doprinosi za obvezno zdravstveno osiguranje</v>
      </c>
      <c r="E89" s="84" t="s">
        <v>1597</v>
      </c>
      <c r="F89" s="79" t="str">
        <f t="shared" si="2"/>
        <v>STRONG-2020 - Jaka interakcija na granici znanja</v>
      </c>
      <c r="G89" s="79" t="str">
        <f t="shared" si="3"/>
        <v>0150</v>
      </c>
      <c r="H89" s="67">
        <v>158</v>
      </c>
      <c r="I89" s="67">
        <v>0</v>
      </c>
      <c r="J89" s="67">
        <v>0</v>
      </c>
      <c r="K89" s="89" t="s">
        <v>1601</v>
      </c>
      <c r="L89" s="90">
        <v>43617</v>
      </c>
      <c r="M89" s="90">
        <v>45077</v>
      </c>
      <c r="N89" s="89" t="s">
        <v>1398</v>
      </c>
      <c r="O89" s="73" t="s">
        <v>1601</v>
      </c>
      <c r="P89" s="68"/>
      <c r="Q89" s="51"/>
      <c r="R89" s="51" t="str">
        <f t="shared" si="4"/>
        <v>313</v>
      </c>
      <c r="S89" s="51" t="str">
        <f t="shared" si="5"/>
        <v>31</v>
      </c>
      <c r="T89" s="51" t="str">
        <f t="shared" si="6"/>
        <v>15</v>
      </c>
      <c r="U89" s="51"/>
      <c r="V89" s="51"/>
      <c r="W89" s="51"/>
      <c r="X89" s="51">
        <v>4126</v>
      </c>
      <c r="Y89" s="51" t="s">
        <v>898</v>
      </c>
      <c r="Z89" s="51"/>
      <c r="AA89" s="51" t="str">
        <f t="shared" si="7"/>
        <v>41</v>
      </c>
      <c r="AB89" s="51" t="str">
        <f t="shared" si="8"/>
        <v>412</v>
      </c>
      <c r="AC89" s="51"/>
      <c r="AD89" s="51" t="s">
        <v>1602</v>
      </c>
      <c r="AE89" s="51" t="s">
        <v>1603</v>
      </c>
      <c r="AF89" s="51" t="str">
        <f t="shared" si="9"/>
        <v>A679071</v>
      </c>
      <c r="AG89" s="51" t="str">
        <f>VLOOKUP(AF89,AKT!$C$4:$E$324,3,FALSE)</f>
        <v>0942</v>
      </c>
    </row>
    <row r="90" spans="1:33" ht="15.75" customHeight="1">
      <c r="A90" s="84">
        <v>51</v>
      </c>
      <c r="B90" s="79" t="str">
        <f t="shared" si="0"/>
        <v>Pomoći EU</v>
      </c>
      <c r="C90" s="84">
        <v>3211</v>
      </c>
      <c r="D90" s="79" t="str">
        <f t="shared" si="1"/>
        <v>Službena putovanja</v>
      </c>
      <c r="E90" s="84" t="s">
        <v>1597</v>
      </c>
      <c r="F90" s="79" t="str">
        <f t="shared" si="2"/>
        <v>STRONG-2020 - Jaka interakcija na granici znanja</v>
      </c>
      <c r="G90" s="79" t="str">
        <f t="shared" si="3"/>
        <v>0150</v>
      </c>
      <c r="H90" s="67">
        <v>105</v>
      </c>
      <c r="I90" s="67">
        <v>0</v>
      </c>
      <c r="J90" s="67">
        <v>0</v>
      </c>
      <c r="K90" s="89" t="s">
        <v>1604</v>
      </c>
      <c r="L90" s="90">
        <v>43617</v>
      </c>
      <c r="M90" s="90">
        <v>45077</v>
      </c>
      <c r="N90" s="89" t="s">
        <v>1398</v>
      </c>
      <c r="O90" s="73" t="s">
        <v>1604</v>
      </c>
      <c r="P90" s="68"/>
      <c r="Q90" s="51"/>
      <c r="R90" s="51" t="str">
        <f t="shared" si="4"/>
        <v>321</v>
      </c>
      <c r="S90" s="51" t="str">
        <f t="shared" si="5"/>
        <v>32</v>
      </c>
      <c r="T90" s="51" t="str">
        <f t="shared" si="6"/>
        <v>15</v>
      </c>
      <c r="U90" s="51"/>
      <c r="V90" s="51"/>
      <c r="W90" s="51"/>
      <c r="X90" s="51">
        <v>4211</v>
      </c>
      <c r="Y90" s="51" t="s">
        <v>901</v>
      </c>
      <c r="Z90" s="51"/>
      <c r="AA90" s="51" t="str">
        <f t="shared" si="7"/>
        <v>42</v>
      </c>
      <c r="AB90" s="51" t="str">
        <f t="shared" si="8"/>
        <v>421</v>
      </c>
      <c r="AC90" s="51"/>
      <c r="AD90" s="51" t="s">
        <v>1605</v>
      </c>
      <c r="AE90" s="51" t="s">
        <v>1606</v>
      </c>
      <c r="AF90" s="51" t="str">
        <f t="shared" si="9"/>
        <v>A679071</v>
      </c>
      <c r="AG90" s="51" t="str">
        <f>VLOOKUP(AF90,AKT!$C$4:$E$324,3,FALSE)</f>
        <v>0942</v>
      </c>
    </row>
    <row r="91" spans="1:33" ht="15.75" customHeight="1">
      <c r="A91" s="84">
        <v>51</v>
      </c>
      <c r="B91" s="79" t="str">
        <f t="shared" si="0"/>
        <v>Pomoći EU</v>
      </c>
      <c r="C91" s="84">
        <v>3222</v>
      </c>
      <c r="D91" s="79" t="str">
        <f t="shared" si="1"/>
        <v>Materijal i sirovine</v>
      </c>
      <c r="E91" s="84" t="s">
        <v>1597</v>
      </c>
      <c r="F91" s="79" t="str">
        <f t="shared" si="2"/>
        <v>STRONG-2020 - Jaka interakcija na granici znanja</v>
      </c>
      <c r="G91" s="79" t="str">
        <f t="shared" si="3"/>
        <v>0150</v>
      </c>
      <c r="H91" s="67">
        <v>263</v>
      </c>
      <c r="I91" s="67">
        <v>0</v>
      </c>
      <c r="J91" s="67">
        <v>0</v>
      </c>
      <c r="K91" s="89" t="s">
        <v>1607</v>
      </c>
      <c r="L91" s="90">
        <v>43617</v>
      </c>
      <c r="M91" s="90">
        <v>45077</v>
      </c>
      <c r="N91" s="89" t="s">
        <v>1398</v>
      </c>
      <c r="O91" s="73" t="s">
        <v>1607</v>
      </c>
      <c r="P91" s="68"/>
      <c r="Q91" s="51"/>
      <c r="R91" s="51" t="str">
        <f t="shared" si="4"/>
        <v>322</v>
      </c>
      <c r="S91" s="51" t="str">
        <f t="shared" si="5"/>
        <v>32</v>
      </c>
      <c r="T91" s="51" t="str">
        <f t="shared" si="6"/>
        <v>15</v>
      </c>
      <c r="U91" s="51"/>
      <c r="V91" s="51"/>
      <c r="W91" s="51"/>
      <c r="X91" s="51">
        <v>4212</v>
      </c>
      <c r="Y91" s="51" t="s">
        <v>904</v>
      </c>
      <c r="Z91" s="51"/>
      <c r="AA91" s="51" t="str">
        <f t="shared" si="7"/>
        <v>42</v>
      </c>
      <c r="AB91" s="51" t="str">
        <f t="shared" si="8"/>
        <v>421</v>
      </c>
      <c r="AC91" s="51"/>
      <c r="AD91" s="51" t="s">
        <v>1608</v>
      </c>
      <c r="AE91" s="51" t="s">
        <v>1609</v>
      </c>
      <c r="AF91" s="51" t="str">
        <f t="shared" si="9"/>
        <v>A679071</v>
      </c>
      <c r="AG91" s="51" t="str">
        <f>VLOOKUP(AF91,AKT!$C$4:$E$324,3,FALSE)</f>
        <v>0942</v>
      </c>
    </row>
    <row r="92" spans="1:33" ht="15.75" customHeight="1">
      <c r="A92" s="84">
        <v>51</v>
      </c>
      <c r="B92" s="79" t="str">
        <f t="shared" si="0"/>
        <v>Pomoći EU</v>
      </c>
      <c r="C92" s="84">
        <v>3299</v>
      </c>
      <c r="D92" s="79" t="str">
        <f t="shared" si="1"/>
        <v>Ostali nespomenuti rashodi poslovanja</v>
      </c>
      <c r="E92" s="84" t="s">
        <v>1597</v>
      </c>
      <c r="F92" s="79" t="str">
        <f t="shared" si="2"/>
        <v>STRONG-2020 - Jaka interakcija na granici znanja</v>
      </c>
      <c r="G92" s="79" t="str">
        <f t="shared" si="3"/>
        <v>0150</v>
      </c>
      <c r="H92" s="67">
        <v>867</v>
      </c>
      <c r="I92" s="67">
        <v>0</v>
      </c>
      <c r="J92" s="67">
        <v>0</v>
      </c>
      <c r="K92" s="89" t="s">
        <v>1610</v>
      </c>
      <c r="L92" s="90">
        <v>43617</v>
      </c>
      <c r="M92" s="90">
        <v>45077</v>
      </c>
      <c r="N92" s="89" t="s">
        <v>1398</v>
      </c>
      <c r="O92" s="73" t="s">
        <v>1610</v>
      </c>
      <c r="P92" s="68"/>
      <c r="Q92" s="51"/>
      <c r="R92" s="51" t="str">
        <f t="shared" si="4"/>
        <v>329</v>
      </c>
      <c r="S92" s="51" t="str">
        <f t="shared" si="5"/>
        <v>32</v>
      </c>
      <c r="T92" s="51" t="str">
        <f t="shared" si="6"/>
        <v>15</v>
      </c>
      <c r="U92" s="51"/>
      <c r="V92" s="51"/>
      <c r="W92" s="51"/>
      <c r="X92" s="51">
        <v>4213</v>
      </c>
      <c r="Y92" s="51" t="s">
        <v>907</v>
      </c>
      <c r="Z92" s="51"/>
      <c r="AA92" s="51" t="str">
        <f t="shared" si="7"/>
        <v>42</v>
      </c>
      <c r="AB92" s="51" t="str">
        <f t="shared" si="8"/>
        <v>421</v>
      </c>
      <c r="AC92" s="51"/>
      <c r="AD92" s="51" t="s">
        <v>1611</v>
      </c>
      <c r="AE92" s="51" t="s">
        <v>1403</v>
      </c>
      <c r="AF92" s="51" t="str">
        <f t="shared" si="9"/>
        <v>A679071</v>
      </c>
      <c r="AG92" s="51" t="str">
        <f>VLOOKUP(AF92,AKT!$C$4:$E$324,3,FALSE)</f>
        <v>0942</v>
      </c>
    </row>
    <row r="93" spans="1:33" ht="15.75" customHeight="1">
      <c r="A93" s="84">
        <v>51</v>
      </c>
      <c r="B93" s="79" t="str">
        <f t="shared" si="0"/>
        <v>Pomoći EU</v>
      </c>
      <c r="C93" s="84">
        <v>4224</v>
      </c>
      <c r="D93" s="79" t="str">
        <f t="shared" si="1"/>
        <v>Medicinska i laboratorijska oprema</v>
      </c>
      <c r="E93" s="84" t="s">
        <v>1597</v>
      </c>
      <c r="F93" s="79" t="str">
        <f t="shared" si="2"/>
        <v>STRONG-2020 - Jaka interakcija na granici znanja</v>
      </c>
      <c r="G93" s="79" t="str">
        <f t="shared" si="3"/>
        <v>0150</v>
      </c>
      <c r="H93" s="67">
        <v>289</v>
      </c>
      <c r="I93" s="67">
        <v>0</v>
      </c>
      <c r="J93" s="67">
        <v>0</v>
      </c>
      <c r="K93" s="89" t="s">
        <v>1612</v>
      </c>
      <c r="L93" s="90">
        <v>43617</v>
      </c>
      <c r="M93" s="90">
        <v>45077</v>
      </c>
      <c r="N93" s="89" t="s">
        <v>1398</v>
      </c>
      <c r="O93" s="73" t="s">
        <v>1612</v>
      </c>
      <c r="P93" s="68"/>
      <c r="Q93" s="51"/>
      <c r="R93" s="51" t="str">
        <f t="shared" si="4"/>
        <v>422</v>
      </c>
      <c r="S93" s="51" t="str">
        <f t="shared" si="5"/>
        <v>42</v>
      </c>
      <c r="T93" s="51" t="str">
        <f t="shared" si="6"/>
        <v>15</v>
      </c>
      <c r="U93" s="51"/>
      <c r="V93" s="51"/>
      <c r="W93" s="51"/>
      <c r="X93" s="51">
        <v>4214</v>
      </c>
      <c r="Y93" s="51" t="s">
        <v>910</v>
      </c>
      <c r="Z93" s="51"/>
      <c r="AA93" s="51" t="str">
        <f t="shared" si="7"/>
        <v>42</v>
      </c>
      <c r="AB93" s="51" t="str">
        <f t="shared" si="8"/>
        <v>421</v>
      </c>
      <c r="AC93" s="51"/>
      <c r="AD93" s="51" t="s">
        <v>1613</v>
      </c>
      <c r="AE93" s="51" t="s">
        <v>1614</v>
      </c>
      <c r="AF93" s="51" t="str">
        <f t="shared" si="9"/>
        <v>A679072</v>
      </c>
      <c r="AG93" s="51" t="str">
        <f>VLOOKUP(AF93,AKT!$C$4:$E$324,3,FALSE)</f>
        <v>0942</v>
      </c>
    </row>
    <row r="94" spans="1:33" ht="15.75" customHeight="1">
      <c r="A94" s="84">
        <v>51</v>
      </c>
      <c r="B94" s="79" t="str">
        <f t="shared" si="0"/>
        <v>Pomoći EU</v>
      </c>
      <c r="C94" s="84">
        <v>3111</v>
      </c>
      <c r="D94" s="79" t="str">
        <f t="shared" si="1"/>
        <v>Plaće za redovan rad</v>
      </c>
      <c r="E94" s="84" t="s">
        <v>5368</v>
      </c>
      <c r="F94" s="79" t="s">
        <v>1615</v>
      </c>
      <c r="G94" s="79" t="s">
        <v>641</v>
      </c>
      <c r="H94" s="67">
        <v>55332</v>
      </c>
      <c r="I94" s="67">
        <v>55332</v>
      </c>
      <c r="J94" s="67">
        <v>55332</v>
      </c>
      <c r="K94" s="89" t="s">
        <v>1615</v>
      </c>
      <c r="L94" s="90">
        <v>44197</v>
      </c>
      <c r="M94" s="90">
        <v>46022</v>
      </c>
      <c r="N94" s="89" t="s">
        <v>1398</v>
      </c>
      <c r="O94" s="73" t="s">
        <v>1615</v>
      </c>
      <c r="P94" s="68"/>
      <c r="Q94" s="51"/>
      <c r="R94" s="51" t="str">
        <f t="shared" si="4"/>
        <v>311</v>
      </c>
      <c r="S94" s="51" t="str">
        <f t="shared" si="5"/>
        <v>31</v>
      </c>
      <c r="T94" s="51" t="str">
        <f t="shared" si="6"/>
        <v>15</v>
      </c>
      <c r="U94" s="51"/>
      <c r="V94" s="51"/>
      <c r="W94" s="51"/>
      <c r="X94" s="51">
        <v>4221</v>
      </c>
      <c r="Y94" s="51" t="s">
        <v>913</v>
      </c>
      <c r="Z94" s="51"/>
      <c r="AA94" s="51" t="str">
        <f t="shared" si="7"/>
        <v>42</v>
      </c>
      <c r="AB94" s="51" t="str">
        <f t="shared" si="8"/>
        <v>422</v>
      </c>
      <c r="AC94" s="51"/>
      <c r="AD94" s="51" t="s">
        <v>1616</v>
      </c>
      <c r="AE94" s="51" t="s">
        <v>1617</v>
      </c>
      <c r="AF94" s="51" t="str">
        <f t="shared" si="9"/>
        <v>A679072</v>
      </c>
      <c r="AG94" s="51" t="str">
        <f>VLOOKUP(AF94,AKT!$C$4:$E$324,3,FALSE)</f>
        <v>0942</v>
      </c>
    </row>
    <row r="95" spans="1:33" ht="15.75" customHeight="1">
      <c r="A95" s="84">
        <v>51</v>
      </c>
      <c r="B95" s="79" t="str">
        <f t="shared" si="0"/>
        <v>Pomoći EU</v>
      </c>
      <c r="C95" s="84">
        <v>3132</v>
      </c>
      <c r="D95" s="79" t="str">
        <f t="shared" si="1"/>
        <v>Doprinosi za obvezno zdravstveno osiguranje</v>
      </c>
      <c r="E95" s="84" t="s">
        <v>5368</v>
      </c>
      <c r="F95" s="79" t="s">
        <v>1615</v>
      </c>
      <c r="G95" s="79" t="s">
        <v>641</v>
      </c>
      <c r="H95" s="67">
        <v>9222</v>
      </c>
      <c r="I95" s="67">
        <v>9222</v>
      </c>
      <c r="J95" s="67">
        <v>9222</v>
      </c>
      <c r="K95" s="89" t="s">
        <v>1615</v>
      </c>
      <c r="L95" s="90">
        <v>44197</v>
      </c>
      <c r="M95" s="90">
        <v>46022</v>
      </c>
      <c r="N95" s="89" t="s">
        <v>1398</v>
      </c>
      <c r="O95" s="73" t="s">
        <v>1615</v>
      </c>
      <c r="P95" s="68"/>
      <c r="Q95" s="51"/>
      <c r="R95" s="51" t="str">
        <f t="shared" si="4"/>
        <v>313</v>
      </c>
      <c r="S95" s="51" t="str">
        <f t="shared" si="5"/>
        <v>31</v>
      </c>
      <c r="T95" s="51" t="str">
        <f t="shared" si="6"/>
        <v>15</v>
      </c>
      <c r="U95" s="51"/>
      <c r="V95" s="51"/>
      <c r="W95" s="51"/>
      <c r="X95" s="51">
        <v>4222</v>
      </c>
      <c r="Y95" s="51" t="s">
        <v>916</v>
      </c>
      <c r="Z95" s="51"/>
      <c r="AA95" s="51" t="str">
        <f t="shared" si="7"/>
        <v>42</v>
      </c>
      <c r="AB95" s="51" t="str">
        <f t="shared" si="8"/>
        <v>422</v>
      </c>
      <c r="AC95" s="51"/>
      <c r="AD95" s="51" t="s">
        <v>1618</v>
      </c>
      <c r="AE95" s="51" t="s">
        <v>1619</v>
      </c>
      <c r="AF95" s="51" t="str">
        <f t="shared" si="9"/>
        <v>A679072</v>
      </c>
      <c r="AG95" s="51" t="str">
        <f>VLOOKUP(AF95,AKT!$C$4:$E$324,3,FALSE)</f>
        <v>0942</v>
      </c>
    </row>
    <row r="96" spans="1:33" ht="15.75" customHeight="1">
      <c r="A96" s="84">
        <v>51</v>
      </c>
      <c r="B96" s="79" t="str">
        <f t="shared" si="0"/>
        <v>Pomoći EU</v>
      </c>
      <c r="C96" s="84">
        <v>3211</v>
      </c>
      <c r="D96" s="79" t="str">
        <f t="shared" si="1"/>
        <v>Službena putovanja</v>
      </c>
      <c r="E96" s="84" t="s">
        <v>5368</v>
      </c>
      <c r="F96" s="79" t="s">
        <v>1615</v>
      </c>
      <c r="G96" s="79" t="s">
        <v>641</v>
      </c>
      <c r="H96" s="67">
        <v>6148</v>
      </c>
      <c r="I96" s="67">
        <v>6148</v>
      </c>
      <c r="J96" s="67">
        <v>6148</v>
      </c>
      <c r="K96" s="89" t="s">
        <v>1615</v>
      </c>
      <c r="L96" s="90">
        <v>44197</v>
      </c>
      <c r="M96" s="90">
        <v>46022</v>
      </c>
      <c r="N96" s="89" t="s">
        <v>1398</v>
      </c>
      <c r="O96" s="73" t="s">
        <v>1615</v>
      </c>
      <c r="P96" s="68"/>
      <c r="Q96" s="51"/>
      <c r="R96" s="51" t="str">
        <f t="shared" si="4"/>
        <v>321</v>
      </c>
      <c r="S96" s="51" t="str">
        <f t="shared" si="5"/>
        <v>32</v>
      </c>
      <c r="T96" s="51" t="str">
        <f t="shared" si="6"/>
        <v>15</v>
      </c>
      <c r="U96" s="51"/>
      <c r="V96" s="51"/>
      <c r="W96" s="51"/>
      <c r="X96" s="51">
        <v>4223</v>
      </c>
      <c r="Y96" s="51" t="s">
        <v>919</v>
      </c>
      <c r="Z96" s="51"/>
      <c r="AA96" s="51" t="str">
        <f t="shared" si="7"/>
        <v>42</v>
      </c>
      <c r="AB96" s="51" t="str">
        <f t="shared" si="8"/>
        <v>422</v>
      </c>
      <c r="AC96" s="51"/>
      <c r="AD96" s="51" t="s">
        <v>1620</v>
      </c>
      <c r="AE96" s="51" t="s">
        <v>1621</v>
      </c>
      <c r="AF96" s="51" t="str">
        <f t="shared" si="9"/>
        <v>A679072</v>
      </c>
      <c r="AG96" s="51" t="str">
        <f>VLOOKUP(AF96,AKT!$C$4:$E$324,3,FALSE)</f>
        <v>0942</v>
      </c>
    </row>
    <row r="97" spans="1:33" ht="15.75" customHeight="1">
      <c r="A97" s="84">
        <v>51</v>
      </c>
      <c r="B97" s="79" t="str">
        <f t="shared" si="0"/>
        <v>Pomoći EU</v>
      </c>
      <c r="C97" s="84">
        <v>3222</v>
      </c>
      <c r="D97" s="79" t="str">
        <f t="shared" si="1"/>
        <v>Materijal i sirovine</v>
      </c>
      <c r="E97" s="84" t="s">
        <v>5368</v>
      </c>
      <c r="F97" s="79" t="s">
        <v>1615</v>
      </c>
      <c r="G97" s="79" t="s">
        <v>641</v>
      </c>
      <c r="H97" s="67">
        <v>15370</v>
      </c>
      <c r="I97" s="67">
        <v>15370</v>
      </c>
      <c r="J97" s="67">
        <v>15370</v>
      </c>
      <c r="K97" s="89" t="s">
        <v>1615</v>
      </c>
      <c r="L97" s="90">
        <v>44197</v>
      </c>
      <c r="M97" s="90">
        <v>46022</v>
      </c>
      <c r="N97" s="89" t="s">
        <v>1398</v>
      </c>
      <c r="O97" s="73" t="s">
        <v>1615</v>
      </c>
      <c r="P97" s="68"/>
      <c r="Q97" s="51"/>
      <c r="R97" s="51" t="str">
        <f t="shared" si="4"/>
        <v>322</v>
      </c>
      <c r="S97" s="51" t="str">
        <f t="shared" si="5"/>
        <v>32</v>
      </c>
      <c r="T97" s="51" t="str">
        <f t="shared" si="6"/>
        <v>15</v>
      </c>
      <c r="U97" s="51"/>
      <c r="V97" s="51"/>
      <c r="W97" s="51"/>
      <c r="X97" s="51">
        <v>4224</v>
      </c>
      <c r="Y97" s="51" t="s">
        <v>922</v>
      </c>
      <c r="Z97" s="51"/>
      <c r="AA97" s="51" t="str">
        <f t="shared" si="7"/>
        <v>42</v>
      </c>
      <c r="AB97" s="51" t="str">
        <f t="shared" si="8"/>
        <v>422</v>
      </c>
      <c r="AC97" s="51"/>
      <c r="AD97" s="51" t="s">
        <v>1622</v>
      </c>
      <c r="AE97" s="51" t="s">
        <v>1623</v>
      </c>
      <c r="AF97" s="51" t="str">
        <f t="shared" si="9"/>
        <v>A679072</v>
      </c>
      <c r="AG97" s="51" t="str">
        <f>VLOOKUP(AF97,AKT!$C$4:$E$324,3,FALSE)</f>
        <v>0942</v>
      </c>
    </row>
    <row r="98" spans="1:33" ht="15.75" customHeight="1">
      <c r="A98" s="84">
        <v>51</v>
      </c>
      <c r="B98" s="79" t="str">
        <f t="shared" si="0"/>
        <v>Pomoći EU</v>
      </c>
      <c r="C98" s="84">
        <v>3299</v>
      </c>
      <c r="D98" s="79" t="str">
        <f t="shared" si="1"/>
        <v>Ostali nespomenuti rashodi poslovanja</v>
      </c>
      <c r="E98" s="84" t="s">
        <v>5368</v>
      </c>
      <c r="F98" s="79" t="s">
        <v>1615</v>
      </c>
      <c r="G98" s="79" t="s">
        <v>641</v>
      </c>
      <c r="H98" s="67">
        <v>50721</v>
      </c>
      <c r="I98" s="67">
        <v>50721</v>
      </c>
      <c r="J98" s="67">
        <v>50721</v>
      </c>
      <c r="K98" s="89" t="s">
        <v>1615</v>
      </c>
      <c r="L98" s="90">
        <v>44197</v>
      </c>
      <c r="M98" s="90">
        <v>46022</v>
      </c>
      <c r="N98" s="89" t="s">
        <v>1398</v>
      </c>
      <c r="O98" s="73" t="s">
        <v>1615</v>
      </c>
      <c r="P98" s="68"/>
      <c r="Q98" s="51"/>
      <c r="R98" s="51" t="str">
        <f t="shared" si="4"/>
        <v>329</v>
      </c>
      <c r="S98" s="51" t="str">
        <f t="shared" si="5"/>
        <v>32</v>
      </c>
      <c r="T98" s="51" t="str">
        <f t="shared" si="6"/>
        <v>15</v>
      </c>
      <c r="U98" s="51"/>
      <c r="V98" s="51"/>
      <c r="W98" s="51"/>
      <c r="X98" s="51">
        <v>4225</v>
      </c>
      <c r="Y98" s="51" t="s">
        <v>925</v>
      </c>
      <c r="Z98" s="51"/>
      <c r="AA98" s="51" t="str">
        <f t="shared" si="7"/>
        <v>42</v>
      </c>
      <c r="AB98" s="51" t="str">
        <f t="shared" si="8"/>
        <v>422</v>
      </c>
      <c r="AC98" s="51"/>
      <c r="AD98" s="51" t="s">
        <v>1624</v>
      </c>
      <c r="AE98" s="51" t="s">
        <v>1625</v>
      </c>
      <c r="AF98" s="51" t="str">
        <f t="shared" si="9"/>
        <v>A679072</v>
      </c>
      <c r="AG98" s="51" t="str">
        <f>VLOOKUP(AF98,AKT!$C$4:$E$324,3,FALSE)</f>
        <v>0942</v>
      </c>
    </row>
    <row r="99" spans="1:33" ht="15.75" customHeight="1">
      <c r="A99" s="84">
        <v>51</v>
      </c>
      <c r="B99" s="79" t="str">
        <f t="shared" si="0"/>
        <v>Pomoći EU</v>
      </c>
      <c r="C99" s="84">
        <v>4224</v>
      </c>
      <c r="D99" s="79" t="str">
        <f t="shared" si="1"/>
        <v>Medicinska i laboratorijska oprema</v>
      </c>
      <c r="E99" s="84" t="s">
        <v>5368</v>
      </c>
      <c r="F99" s="79" t="s">
        <v>1615</v>
      </c>
      <c r="G99" s="79" t="s">
        <v>641</v>
      </c>
      <c r="H99" s="67">
        <v>16907</v>
      </c>
      <c r="I99" s="67">
        <v>16907</v>
      </c>
      <c r="J99" s="67">
        <v>16907</v>
      </c>
      <c r="K99" s="89" t="s">
        <v>1615</v>
      </c>
      <c r="L99" s="90">
        <v>44197</v>
      </c>
      <c r="M99" s="90">
        <v>46022</v>
      </c>
      <c r="N99" s="89" t="s">
        <v>1398</v>
      </c>
      <c r="O99" s="73" t="s">
        <v>1615</v>
      </c>
      <c r="P99" s="68"/>
      <c r="Q99" s="51"/>
      <c r="R99" s="51" t="str">
        <f t="shared" si="4"/>
        <v>422</v>
      </c>
      <c r="S99" s="51" t="str">
        <f t="shared" si="5"/>
        <v>42</v>
      </c>
      <c r="T99" s="51" t="str">
        <f t="shared" si="6"/>
        <v>15</v>
      </c>
      <c r="U99" s="51"/>
      <c r="V99" s="51"/>
      <c r="W99" s="51"/>
      <c r="X99" s="51">
        <v>4226</v>
      </c>
      <c r="Y99" s="51" t="s">
        <v>928</v>
      </c>
      <c r="Z99" s="51"/>
      <c r="AA99" s="51" t="str">
        <f t="shared" si="7"/>
        <v>42</v>
      </c>
      <c r="AB99" s="51" t="str">
        <f t="shared" si="8"/>
        <v>422</v>
      </c>
      <c r="AC99" s="51"/>
      <c r="AD99" s="51" t="s">
        <v>1626</v>
      </c>
      <c r="AE99" s="51" t="s">
        <v>1627</v>
      </c>
      <c r="AF99" s="51" t="str">
        <f t="shared" si="9"/>
        <v>A679072</v>
      </c>
      <c r="AG99" s="51" t="str">
        <f>VLOOKUP(AF99,AKT!$C$4:$E$324,3,FALSE)</f>
        <v>0942</v>
      </c>
    </row>
    <row r="100" spans="1:33" ht="15.75" customHeight="1">
      <c r="A100" s="84">
        <v>51</v>
      </c>
      <c r="B100" s="79" t="str">
        <f t="shared" si="0"/>
        <v>Pomoći EU</v>
      </c>
      <c r="C100" s="84">
        <v>3111</v>
      </c>
      <c r="D100" s="79" t="str">
        <f t="shared" si="1"/>
        <v>Plaće za redovan rad</v>
      </c>
      <c r="E100" s="84" t="s">
        <v>5372</v>
      </c>
      <c r="F100" s="79" t="s">
        <v>1628</v>
      </c>
      <c r="G100" s="79" t="s">
        <v>641</v>
      </c>
      <c r="H100" s="67">
        <v>3712</v>
      </c>
      <c r="I100" s="67">
        <v>3712</v>
      </c>
      <c r="J100" s="67">
        <v>3712</v>
      </c>
      <c r="K100" s="89" t="s">
        <v>1628</v>
      </c>
      <c r="L100" s="90">
        <v>44743</v>
      </c>
      <c r="M100" s="90">
        <v>45838</v>
      </c>
      <c r="N100" s="89" t="s">
        <v>1398</v>
      </c>
      <c r="O100" s="73" t="s">
        <v>1628</v>
      </c>
      <c r="P100" s="68"/>
      <c r="Q100" s="51"/>
      <c r="R100" s="51" t="str">
        <f t="shared" si="4"/>
        <v>311</v>
      </c>
      <c r="S100" s="51" t="str">
        <f t="shared" si="5"/>
        <v>31</v>
      </c>
      <c r="T100" s="51" t="str">
        <f t="shared" si="6"/>
        <v>15</v>
      </c>
      <c r="U100" s="51"/>
      <c r="V100" s="51"/>
      <c r="W100" s="51"/>
      <c r="X100" s="51">
        <v>4227</v>
      </c>
      <c r="Y100" s="51" t="s">
        <v>931</v>
      </c>
      <c r="Z100" s="51"/>
      <c r="AA100" s="51" t="str">
        <f t="shared" si="7"/>
        <v>42</v>
      </c>
      <c r="AB100" s="51" t="str">
        <f t="shared" si="8"/>
        <v>422</v>
      </c>
      <c r="AC100" s="51"/>
      <c r="AD100" s="51" t="s">
        <v>1629</v>
      </c>
      <c r="AE100" s="51" t="s">
        <v>1630</v>
      </c>
      <c r="AF100" s="51" t="str">
        <f t="shared" si="9"/>
        <v>A679072</v>
      </c>
      <c r="AG100" s="51" t="str">
        <f>VLOOKUP(AF100,AKT!$C$4:$E$324,3,FALSE)</f>
        <v>0942</v>
      </c>
    </row>
    <row r="101" spans="1:33" ht="15.75" customHeight="1">
      <c r="A101" s="84">
        <v>51</v>
      </c>
      <c r="B101" s="79" t="str">
        <f t="shared" si="0"/>
        <v>Pomoći EU</v>
      </c>
      <c r="C101" s="84">
        <v>3132</v>
      </c>
      <c r="D101" s="79" t="str">
        <f t="shared" si="1"/>
        <v>Doprinosi za obvezno zdravstveno osiguranje</v>
      </c>
      <c r="E101" s="84" t="s">
        <v>5372</v>
      </c>
      <c r="F101" s="79" t="s">
        <v>1628</v>
      </c>
      <c r="G101" s="79" t="s">
        <v>641</v>
      </c>
      <c r="H101" s="67">
        <v>619</v>
      </c>
      <c r="I101" s="67">
        <v>619</v>
      </c>
      <c r="J101" s="67">
        <v>619</v>
      </c>
      <c r="K101" s="89" t="s">
        <v>1628</v>
      </c>
      <c r="L101" s="90">
        <v>44743</v>
      </c>
      <c r="M101" s="90">
        <v>45838</v>
      </c>
      <c r="N101" s="89" t="s">
        <v>1398</v>
      </c>
      <c r="O101" s="73" t="s">
        <v>1628</v>
      </c>
      <c r="P101" s="68"/>
      <c r="Q101" s="51"/>
      <c r="R101" s="51" t="str">
        <f t="shared" si="4"/>
        <v>313</v>
      </c>
      <c r="S101" s="51" t="str">
        <f t="shared" si="5"/>
        <v>31</v>
      </c>
      <c r="T101" s="51" t="str">
        <f t="shared" si="6"/>
        <v>15</v>
      </c>
      <c r="U101" s="51"/>
      <c r="V101" s="51"/>
      <c r="W101" s="51"/>
      <c r="X101" s="51">
        <v>4231</v>
      </c>
      <c r="Y101" s="51" t="s">
        <v>934</v>
      </c>
      <c r="Z101" s="51"/>
      <c r="AA101" s="51" t="str">
        <f t="shared" si="7"/>
        <v>42</v>
      </c>
      <c r="AB101" s="51" t="str">
        <f t="shared" si="8"/>
        <v>423</v>
      </c>
      <c r="AC101" s="51"/>
      <c r="AD101" s="51" t="s">
        <v>1631</v>
      </c>
      <c r="AE101" s="51" t="s">
        <v>1632</v>
      </c>
      <c r="AF101" s="51" t="str">
        <f t="shared" si="9"/>
        <v>A679072</v>
      </c>
      <c r="AG101" s="51" t="str">
        <f>VLOOKUP(AF101,AKT!$C$4:$E$324,3,FALSE)</f>
        <v>0942</v>
      </c>
    </row>
    <row r="102" spans="1:33" ht="15.75" customHeight="1">
      <c r="A102" s="84">
        <v>51</v>
      </c>
      <c r="B102" s="79" t="str">
        <f t="shared" si="0"/>
        <v>Pomoći EU</v>
      </c>
      <c r="C102" s="84">
        <v>3211</v>
      </c>
      <c r="D102" s="79" t="str">
        <f t="shared" si="1"/>
        <v>Službena putovanja</v>
      </c>
      <c r="E102" s="84" t="s">
        <v>5372</v>
      </c>
      <c r="F102" s="79" t="s">
        <v>1628</v>
      </c>
      <c r="G102" s="79" t="s">
        <v>641</v>
      </c>
      <c r="H102" s="67">
        <v>412</v>
      </c>
      <c r="I102" s="67">
        <v>412</v>
      </c>
      <c r="J102" s="67">
        <v>412</v>
      </c>
      <c r="K102" s="89" t="s">
        <v>1628</v>
      </c>
      <c r="L102" s="90">
        <v>44743</v>
      </c>
      <c r="M102" s="90">
        <v>45838</v>
      </c>
      <c r="N102" s="89" t="s">
        <v>1398</v>
      </c>
      <c r="O102" s="73" t="s">
        <v>1628</v>
      </c>
      <c r="P102" s="68"/>
      <c r="Q102" s="51"/>
      <c r="R102" s="51" t="str">
        <f t="shared" si="4"/>
        <v>321</v>
      </c>
      <c r="S102" s="51" t="str">
        <f t="shared" si="5"/>
        <v>32</v>
      </c>
      <c r="T102" s="51" t="str">
        <f t="shared" si="6"/>
        <v>15</v>
      </c>
      <c r="U102" s="51"/>
      <c r="V102" s="51"/>
      <c r="W102" s="51"/>
      <c r="X102" s="51">
        <v>4233</v>
      </c>
      <c r="Y102" s="51" t="s">
        <v>937</v>
      </c>
      <c r="Z102" s="51"/>
      <c r="AA102" s="51" t="str">
        <f t="shared" si="7"/>
        <v>42</v>
      </c>
      <c r="AB102" s="51" t="str">
        <f t="shared" si="8"/>
        <v>423</v>
      </c>
      <c r="AC102" s="51"/>
      <c r="AD102" s="51" t="s">
        <v>1633</v>
      </c>
      <c r="AE102" s="51" t="s">
        <v>1634</v>
      </c>
      <c r="AF102" s="51" t="str">
        <f t="shared" si="9"/>
        <v>A679072</v>
      </c>
      <c r="AG102" s="51" t="str">
        <f>VLOOKUP(AF102,AKT!$C$4:$E$324,3,FALSE)</f>
        <v>0942</v>
      </c>
    </row>
    <row r="103" spans="1:33" ht="15.75" customHeight="1">
      <c r="A103" s="84">
        <v>51</v>
      </c>
      <c r="B103" s="79" t="str">
        <f t="shared" si="0"/>
        <v>Pomoći EU</v>
      </c>
      <c r="C103" s="84">
        <v>3222</v>
      </c>
      <c r="D103" s="79" t="str">
        <f t="shared" si="1"/>
        <v>Materijal i sirovine</v>
      </c>
      <c r="E103" s="84" t="s">
        <v>5372</v>
      </c>
      <c r="F103" s="79" t="s">
        <v>1628</v>
      </c>
      <c r="G103" s="79" t="s">
        <v>641</v>
      </c>
      <c r="H103" s="67">
        <v>1031</v>
      </c>
      <c r="I103" s="67">
        <v>1031</v>
      </c>
      <c r="J103" s="67">
        <v>1031</v>
      </c>
      <c r="K103" s="89" t="s">
        <v>1628</v>
      </c>
      <c r="L103" s="90">
        <v>44743</v>
      </c>
      <c r="M103" s="90">
        <v>45838</v>
      </c>
      <c r="N103" s="89" t="s">
        <v>1398</v>
      </c>
      <c r="O103" s="73" t="s">
        <v>1628</v>
      </c>
      <c r="P103" s="68"/>
      <c r="Q103" s="51"/>
      <c r="R103" s="51" t="str">
        <f t="shared" si="4"/>
        <v>322</v>
      </c>
      <c r="S103" s="51" t="str">
        <f t="shared" si="5"/>
        <v>32</v>
      </c>
      <c r="T103" s="51" t="str">
        <f t="shared" si="6"/>
        <v>15</v>
      </c>
      <c r="U103" s="51"/>
      <c r="V103" s="51"/>
      <c r="W103" s="51"/>
      <c r="X103" s="51">
        <v>4241</v>
      </c>
      <c r="Y103" s="51" t="s">
        <v>940</v>
      </c>
      <c r="Z103" s="51"/>
      <c r="AA103" s="51" t="str">
        <f t="shared" si="7"/>
        <v>42</v>
      </c>
      <c r="AB103" s="51" t="str">
        <f t="shared" si="8"/>
        <v>424</v>
      </c>
      <c r="AC103" s="51"/>
      <c r="AD103" s="51" t="s">
        <v>1635</v>
      </c>
      <c r="AE103" s="51" t="s">
        <v>1636</v>
      </c>
      <c r="AF103" s="51" t="str">
        <f t="shared" si="9"/>
        <v>A679072</v>
      </c>
      <c r="AG103" s="51" t="str">
        <f>VLOOKUP(AF103,AKT!$C$4:$E$324,3,FALSE)</f>
        <v>0942</v>
      </c>
    </row>
    <row r="104" spans="1:33" ht="15.75" customHeight="1">
      <c r="A104" s="84">
        <v>51</v>
      </c>
      <c r="B104" s="79" t="str">
        <f t="shared" si="0"/>
        <v>Pomoći EU</v>
      </c>
      <c r="C104" s="84">
        <v>3299</v>
      </c>
      <c r="D104" s="79" t="str">
        <f t="shared" si="1"/>
        <v>Ostali nespomenuti rashodi poslovanja</v>
      </c>
      <c r="E104" s="84" t="s">
        <v>5372</v>
      </c>
      <c r="F104" s="79" t="s">
        <v>1628</v>
      </c>
      <c r="G104" s="79" t="s">
        <v>641</v>
      </c>
      <c r="H104" s="67">
        <v>3403</v>
      </c>
      <c r="I104" s="67">
        <v>3403</v>
      </c>
      <c r="J104" s="67">
        <v>3403</v>
      </c>
      <c r="K104" s="89" t="s">
        <v>1628</v>
      </c>
      <c r="L104" s="90">
        <v>44743</v>
      </c>
      <c r="M104" s="90">
        <v>45838</v>
      </c>
      <c r="N104" s="89" t="s">
        <v>1398</v>
      </c>
      <c r="O104" s="73" t="s">
        <v>1628</v>
      </c>
      <c r="P104" s="68"/>
      <c r="Q104" s="51"/>
      <c r="R104" s="51" t="str">
        <f t="shared" si="4"/>
        <v>329</v>
      </c>
      <c r="S104" s="51" t="str">
        <f t="shared" si="5"/>
        <v>32</v>
      </c>
      <c r="T104" s="51" t="str">
        <f t="shared" si="6"/>
        <v>15</v>
      </c>
      <c r="U104" s="51"/>
      <c r="V104" s="51"/>
      <c r="W104" s="51"/>
      <c r="X104" s="51">
        <v>4242</v>
      </c>
      <c r="Y104" s="51" t="s">
        <v>943</v>
      </c>
      <c r="Z104" s="51"/>
      <c r="AA104" s="51" t="str">
        <f t="shared" si="7"/>
        <v>42</v>
      </c>
      <c r="AB104" s="51" t="str">
        <f t="shared" si="8"/>
        <v>424</v>
      </c>
      <c r="AC104" s="51"/>
      <c r="AD104" s="51" t="s">
        <v>1637</v>
      </c>
      <c r="AE104" s="51" t="s">
        <v>1638</v>
      </c>
      <c r="AF104" s="51" t="str">
        <f t="shared" si="9"/>
        <v>A679072</v>
      </c>
      <c r="AG104" s="51" t="str">
        <f>VLOOKUP(AF104,AKT!$C$4:$E$324,3,FALSE)</f>
        <v>0942</v>
      </c>
    </row>
    <row r="105" spans="1:33" ht="15.75" customHeight="1">
      <c r="A105" s="84">
        <v>51</v>
      </c>
      <c r="B105" s="79" t="str">
        <f t="shared" si="0"/>
        <v>Pomoći EU</v>
      </c>
      <c r="C105" s="84">
        <v>4224</v>
      </c>
      <c r="D105" s="79" t="str">
        <f t="shared" si="1"/>
        <v>Medicinska i laboratorijska oprema</v>
      </c>
      <c r="E105" s="84" t="s">
        <v>5372</v>
      </c>
      <c r="F105" s="79" t="s">
        <v>1628</v>
      </c>
      <c r="G105" s="79" t="s">
        <v>641</v>
      </c>
      <c r="H105" s="67">
        <v>1134</v>
      </c>
      <c r="I105" s="67">
        <v>1134</v>
      </c>
      <c r="J105" s="67">
        <v>1134</v>
      </c>
      <c r="K105" s="89" t="s">
        <v>1628</v>
      </c>
      <c r="L105" s="90">
        <v>44743</v>
      </c>
      <c r="M105" s="90">
        <v>45838</v>
      </c>
      <c r="N105" s="89" t="s">
        <v>1398</v>
      </c>
      <c r="O105" s="73" t="s">
        <v>1628</v>
      </c>
      <c r="P105" s="68"/>
      <c r="Q105" s="51"/>
      <c r="R105" s="51" t="str">
        <f t="shared" si="4"/>
        <v>422</v>
      </c>
      <c r="S105" s="51" t="str">
        <f t="shared" si="5"/>
        <v>42</v>
      </c>
      <c r="T105" s="51" t="str">
        <f t="shared" si="6"/>
        <v>15</v>
      </c>
      <c r="U105" s="51"/>
      <c r="V105" s="51"/>
      <c r="W105" s="51"/>
      <c r="X105" s="51">
        <v>4244</v>
      </c>
      <c r="Y105" s="51" t="s">
        <v>946</v>
      </c>
      <c r="Z105" s="51"/>
      <c r="AA105" s="51" t="str">
        <f t="shared" si="7"/>
        <v>42</v>
      </c>
      <c r="AB105" s="51" t="str">
        <f t="shared" si="8"/>
        <v>424</v>
      </c>
      <c r="AC105" s="51"/>
      <c r="AD105" s="51" t="s">
        <v>1639</v>
      </c>
      <c r="AE105" s="51" t="s">
        <v>1640</v>
      </c>
      <c r="AF105" s="51" t="str">
        <f t="shared" si="9"/>
        <v>A679072</v>
      </c>
      <c r="AG105" s="51" t="str">
        <f>VLOOKUP(AF105,AKT!$C$4:$E$324,3,FALSE)</f>
        <v>0942</v>
      </c>
    </row>
    <row r="106" spans="1:33" ht="15.75" customHeight="1">
      <c r="A106" s="84">
        <v>51</v>
      </c>
      <c r="B106" s="79" t="str">
        <f t="shared" si="0"/>
        <v>Pomoći EU</v>
      </c>
      <c r="C106" s="84">
        <v>3111</v>
      </c>
      <c r="D106" s="79" t="str">
        <f t="shared" si="1"/>
        <v>Plaće za redovan rad</v>
      </c>
      <c r="E106" s="84" t="s">
        <v>5370</v>
      </c>
      <c r="F106" s="79" t="s">
        <v>5371</v>
      </c>
      <c r="G106" s="79" t="s">
        <v>641</v>
      </c>
      <c r="H106" s="67">
        <v>6408</v>
      </c>
      <c r="I106" s="67">
        <v>6408</v>
      </c>
      <c r="J106" s="67">
        <v>6408</v>
      </c>
      <c r="K106" s="89" t="s">
        <v>1641</v>
      </c>
      <c r="L106" s="90">
        <v>44805</v>
      </c>
      <c r="M106" s="90">
        <v>46265</v>
      </c>
      <c r="N106" s="89" t="s">
        <v>1398</v>
      </c>
      <c r="O106" s="73" t="s">
        <v>1641</v>
      </c>
      <c r="P106" s="68"/>
      <c r="Q106" s="51"/>
      <c r="R106" s="51" t="str">
        <f t="shared" si="4"/>
        <v>311</v>
      </c>
      <c r="S106" s="51" t="str">
        <f t="shared" si="5"/>
        <v>31</v>
      </c>
      <c r="T106" s="51" t="str">
        <f t="shared" si="6"/>
        <v>15</v>
      </c>
      <c r="U106" s="51"/>
      <c r="V106" s="51"/>
      <c r="W106" s="51"/>
      <c r="X106" s="51">
        <v>4251</v>
      </c>
      <c r="Y106" s="51" t="s">
        <v>949</v>
      </c>
      <c r="Z106" s="51"/>
      <c r="AA106" s="51" t="str">
        <f t="shared" si="7"/>
        <v>42</v>
      </c>
      <c r="AB106" s="51" t="str">
        <f t="shared" si="8"/>
        <v>425</v>
      </c>
      <c r="AC106" s="51"/>
      <c r="AD106" s="51" t="s">
        <v>1642</v>
      </c>
      <c r="AE106" s="51" t="s">
        <v>1643</v>
      </c>
      <c r="AF106" s="51" t="str">
        <f t="shared" si="9"/>
        <v>A679072</v>
      </c>
      <c r="AG106" s="51" t="str">
        <f>VLOOKUP(AF106,AKT!$C$4:$E$324,3,FALSE)</f>
        <v>0942</v>
      </c>
    </row>
    <row r="107" spans="1:33" ht="15.75" customHeight="1">
      <c r="A107" s="84">
        <v>51</v>
      </c>
      <c r="B107" s="79" t="str">
        <f t="shared" si="0"/>
        <v>Pomoći EU</v>
      </c>
      <c r="C107" s="84">
        <v>3132</v>
      </c>
      <c r="D107" s="79" t="str">
        <f t="shared" si="1"/>
        <v>Doprinosi za obvezno zdravstveno osiguranje</v>
      </c>
      <c r="E107" s="84" t="s">
        <v>5370</v>
      </c>
      <c r="F107" s="79" t="s">
        <v>5371</v>
      </c>
      <c r="G107" s="79" t="s">
        <v>641</v>
      </c>
      <c r="H107" s="67">
        <v>1068</v>
      </c>
      <c r="I107" s="67">
        <v>1068</v>
      </c>
      <c r="J107" s="67">
        <v>1068</v>
      </c>
      <c r="K107" s="89" t="s">
        <v>1641</v>
      </c>
      <c r="L107" s="90">
        <v>44805</v>
      </c>
      <c r="M107" s="90">
        <v>46265</v>
      </c>
      <c r="N107" s="89" t="s">
        <v>1398</v>
      </c>
      <c r="O107" s="73" t="s">
        <v>1641</v>
      </c>
      <c r="P107" s="68"/>
      <c r="Q107" s="51"/>
      <c r="R107" s="51" t="str">
        <f t="shared" si="4"/>
        <v>313</v>
      </c>
      <c r="S107" s="51" t="str">
        <f t="shared" si="5"/>
        <v>31</v>
      </c>
      <c r="T107" s="51" t="str">
        <f t="shared" si="6"/>
        <v>15</v>
      </c>
      <c r="U107" s="51"/>
      <c r="V107" s="51"/>
      <c r="W107" s="51"/>
      <c r="X107" s="51">
        <v>4252</v>
      </c>
      <c r="Y107" s="51" t="s">
        <v>952</v>
      </c>
      <c r="Z107" s="51"/>
      <c r="AA107" s="51" t="str">
        <f t="shared" si="7"/>
        <v>42</v>
      </c>
      <c r="AB107" s="51" t="str">
        <f t="shared" si="8"/>
        <v>425</v>
      </c>
      <c r="AC107" s="51"/>
      <c r="AD107" s="51" t="s">
        <v>1644</v>
      </c>
      <c r="AE107" s="51" t="s">
        <v>1645</v>
      </c>
      <c r="AF107" s="51" t="str">
        <f t="shared" si="9"/>
        <v>A679072</v>
      </c>
      <c r="AG107" s="51" t="str">
        <f>VLOOKUP(AF107,AKT!$C$4:$E$324,3,FALSE)</f>
        <v>0942</v>
      </c>
    </row>
    <row r="108" spans="1:33" ht="15.75" customHeight="1">
      <c r="A108" s="84">
        <v>51</v>
      </c>
      <c r="B108" s="79" t="str">
        <f t="shared" si="0"/>
        <v>Pomoći EU</v>
      </c>
      <c r="C108" s="84">
        <v>3211</v>
      </c>
      <c r="D108" s="79" t="str">
        <f t="shared" si="1"/>
        <v>Službena putovanja</v>
      </c>
      <c r="E108" s="84" t="s">
        <v>5370</v>
      </c>
      <c r="F108" s="79" t="s">
        <v>5371</v>
      </c>
      <c r="G108" s="79" t="s">
        <v>641</v>
      </c>
      <c r="H108" s="67">
        <v>712</v>
      </c>
      <c r="I108" s="67">
        <v>712</v>
      </c>
      <c r="J108" s="67">
        <v>712</v>
      </c>
      <c r="K108" s="89" t="s">
        <v>1641</v>
      </c>
      <c r="L108" s="90">
        <v>44805</v>
      </c>
      <c r="M108" s="90">
        <v>46265</v>
      </c>
      <c r="N108" s="89" t="s">
        <v>1398</v>
      </c>
      <c r="O108" s="73" t="s">
        <v>1641</v>
      </c>
      <c r="P108" s="68"/>
      <c r="Q108" s="51"/>
      <c r="R108" s="51" t="str">
        <f t="shared" si="4"/>
        <v>321</v>
      </c>
      <c r="S108" s="51" t="str">
        <f t="shared" si="5"/>
        <v>32</v>
      </c>
      <c r="T108" s="51" t="str">
        <f t="shared" si="6"/>
        <v>15</v>
      </c>
      <c r="U108" s="51"/>
      <c r="V108" s="51"/>
      <c r="W108" s="51"/>
      <c r="X108" s="51">
        <v>4262</v>
      </c>
      <c r="Y108" s="51" t="s">
        <v>955</v>
      </c>
      <c r="Z108" s="51"/>
      <c r="AA108" s="51" t="str">
        <f t="shared" si="7"/>
        <v>42</v>
      </c>
      <c r="AB108" s="51" t="str">
        <f t="shared" si="8"/>
        <v>426</v>
      </c>
      <c r="AC108" s="51"/>
      <c r="AD108" s="51" t="s">
        <v>1646</v>
      </c>
      <c r="AE108" s="51" t="s">
        <v>1647</v>
      </c>
      <c r="AF108" s="51" t="str">
        <f t="shared" si="9"/>
        <v>A679072</v>
      </c>
      <c r="AG108" s="51" t="str">
        <f>VLOOKUP(AF108,AKT!$C$4:$E$324,3,FALSE)</f>
        <v>0942</v>
      </c>
    </row>
    <row r="109" spans="1:33" ht="15.75" customHeight="1">
      <c r="A109" s="84">
        <v>51</v>
      </c>
      <c r="B109" s="79" t="str">
        <f t="shared" si="0"/>
        <v>Pomoći EU</v>
      </c>
      <c r="C109" s="84">
        <v>3222</v>
      </c>
      <c r="D109" s="79" t="str">
        <f t="shared" si="1"/>
        <v>Materijal i sirovine</v>
      </c>
      <c r="E109" s="84" t="s">
        <v>5370</v>
      </c>
      <c r="F109" s="79" t="s">
        <v>5371</v>
      </c>
      <c r="G109" s="79" t="s">
        <v>641</v>
      </c>
      <c r="H109" s="67">
        <v>1780</v>
      </c>
      <c r="I109" s="67">
        <v>1780</v>
      </c>
      <c r="J109" s="67">
        <v>1780</v>
      </c>
      <c r="K109" s="89" t="s">
        <v>1641</v>
      </c>
      <c r="L109" s="90">
        <v>44805</v>
      </c>
      <c r="M109" s="90">
        <v>46265</v>
      </c>
      <c r="N109" s="89" t="s">
        <v>1398</v>
      </c>
      <c r="O109" s="73" t="s">
        <v>1641</v>
      </c>
      <c r="P109" s="68"/>
      <c r="Q109" s="51"/>
      <c r="R109" s="51" t="str">
        <f t="shared" si="4"/>
        <v>322</v>
      </c>
      <c r="S109" s="51" t="str">
        <f t="shared" si="5"/>
        <v>32</v>
      </c>
      <c r="T109" s="51" t="str">
        <f t="shared" si="6"/>
        <v>15</v>
      </c>
      <c r="U109" s="51"/>
      <c r="V109" s="51"/>
      <c r="W109" s="51"/>
      <c r="X109" s="51">
        <v>4263</v>
      </c>
      <c r="Y109" s="51" t="s">
        <v>958</v>
      </c>
      <c r="Z109" s="51"/>
      <c r="AA109" s="51" t="str">
        <f t="shared" si="7"/>
        <v>42</v>
      </c>
      <c r="AB109" s="51" t="str">
        <f t="shared" si="8"/>
        <v>426</v>
      </c>
      <c r="AC109" s="51"/>
      <c r="AD109" s="51" t="s">
        <v>1648</v>
      </c>
      <c r="AE109" s="51" t="s">
        <v>1649</v>
      </c>
      <c r="AF109" s="51" t="str">
        <f t="shared" si="9"/>
        <v>A679072</v>
      </c>
      <c r="AG109" s="51" t="str">
        <f>VLOOKUP(AF109,AKT!$C$4:$E$324,3,FALSE)</f>
        <v>0942</v>
      </c>
    </row>
    <row r="110" spans="1:33" ht="15.75" customHeight="1">
      <c r="A110" s="84">
        <v>51</v>
      </c>
      <c r="B110" s="79" t="str">
        <f t="shared" si="0"/>
        <v>Pomoći EU</v>
      </c>
      <c r="C110" s="84">
        <v>3299</v>
      </c>
      <c r="D110" s="79" t="str">
        <f t="shared" si="1"/>
        <v>Ostali nespomenuti rashodi poslovanja</v>
      </c>
      <c r="E110" s="84" t="s">
        <v>5370</v>
      </c>
      <c r="F110" s="79" t="s">
        <v>5371</v>
      </c>
      <c r="G110" s="79" t="s">
        <v>641</v>
      </c>
      <c r="H110" s="67">
        <v>5874</v>
      </c>
      <c r="I110" s="67">
        <v>5874</v>
      </c>
      <c r="J110" s="67">
        <v>5874</v>
      </c>
      <c r="K110" s="89" t="s">
        <v>1641</v>
      </c>
      <c r="L110" s="90">
        <v>44805</v>
      </c>
      <c r="M110" s="90">
        <v>46265</v>
      </c>
      <c r="N110" s="89" t="s">
        <v>1398</v>
      </c>
      <c r="O110" s="73" t="s">
        <v>1641</v>
      </c>
      <c r="P110" s="68"/>
      <c r="Q110" s="51"/>
      <c r="R110" s="51" t="str">
        <f t="shared" si="4"/>
        <v>329</v>
      </c>
      <c r="S110" s="51" t="str">
        <f t="shared" si="5"/>
        <v>32</v>
      </c>
      <c r="T110" s="51" t="str">
        <f t="shared" si="6"/>
        <v>15</v>
      </c>
      <c r="U110" s="51"/>
      <c r="V110" s="51"/>
      <c r="W110" s="51"/>
      <c r="X110" s="51">
        <v>4264</v>
      </c>
      <c r="Y110" s="51" t="s">
        <v>961</v>
      </c>
      <c r="Z110" s="51"/>
      <c r="AA110" s="51" t="str">
        <f t="shared" si="7"/>
        <v>42</v>
      </c>
      <c r="AB110" s="51" t="str">
        <f t="shared" si="8"/>
        <v>426</v>
      </c>
      <c r="AC110" s="51"/>
      <c r="AD110" s="51" t="s">
        <v>1650</v>
      </c>
      <c r="AE110" s="51" t="s">
        <v>1651</v>
      </c>
      <c r="AF110" s="51" t="str">
        <f t="shared" si="9"/>
        <v>A679072</v>
      </c>
      <c r="AG110" s="51" t="str">
        <f>VLOOKUP(AF110,AKT!$C$4:$E$324,3,FALSE)</f>
        <v>0942</v>
      </c>
    </row>
    <row r="111" spans="1:33" ht="15.75" customHeight="1">
      <c r="A111" s="84">
        <v>51</v>
      </c>
      <c r="B111" s="79" t="str">
        <f t="shared" si="0"/>
        <v>Pomoći EU</v>
      </c>
      <c r="C111" s="84">
        <v>4224</v>
      </c>
      <c r="D111" s="79" t="str">
        <f t="shared" si="1"/>
        <v>Medicinska i laboratorijska oprema</v>
      </c>
      <c r="E111" s="84" t="s">
        <v>5370</v>
      </c>
      <c r="F111" s="79" t="s">
        <v>5371</v>
      </c>
      <c r="G111" s="79" t="s">
        <v>641</v>
      </c>
      <c r="H111" s="67">
        <v>1958</v>
      </c>
      <c r="I111" s="67">
        <v>1958</v>
      </c>
      <c r="J111" s="67">
        <v>1958</v>
      </c>
      <c r="K111" s="89" t="s">
        <v>1641</v>
      </c>
      <c r="L111" s="90">
        <v>44805</v>
      </c>
      <c r="M111" s="90">
        <v>46265</v>
      </c>
      <c r="N111" s="89" t="s">
        <v>1398</v>
      </c>
      <c r="O111" s="73" t="s">
        <v>1641</v>
      </c>
      <c r="P111" s="68"/>
      <c r="Q111" s="51"/>
      <c r="R111" s="51" t="str">
        <f t="shared" si="4"/>
        <v>422</v>
      </c>
      <c r="S111" s="51" t="str">
        <f t="shared" si="5"/>
        <v>42</v>
      </c>
      <c r="T111" s="51" t="str">
        <f t="shared" si="6"/>
        <v>15</v>
      </c>
      <c r="U111" s="51"/>
      <c r="V111" s="51"/>
      <c r="W111" s="51"/>
      <c r="X111" s="51">
        <v>4312</v>
      </c>
      <c r="Y111" s="51" t="s">
        <v>964</v>
      </c>
      <c r="Z111" s="51"/>
      <c r="AA111" s="51" t="str">
        <f t="shared" si="7"/>
        <v>43</v>
      </c>
      <c r="AB111" s="51" t="str">
        <f t="shared" si="8"/>
        <v>431</v>
      </c>
      <c r="AC111" s="51"/>
      <c r="AD111" s="51" t="s">
        <v>1652</v>
      </c>
      <c r="AE111" s="51" t="s">
        <v>1653</v>
      </c>
      <c r="AF111" s="51" t="str">
        <f t="shared" si="9"/>
        <v>A679072</v>
      </c>
      <c r="AG111" s="51" t="str">
        <f>VLOOKUP(AF111,AKT!$C$4:$E$324,3,FALSE)</f>
        <v>0942</v>
      </c>
    </row>
    <row r="112" spans="1:33" ht="15.75" customHeight="1">
      <c r="A112" s="84">
        <v>51</v>
      </c>
      <c r="B112" s="79" t="str">
        <f t="shared" si="0"/>
        <v>Pomoći EU</v>
      </c>
      <c r="C112" s="84">
        <v>3111</v>
      </c>
      <c r="D112" s="79" t="str">
        <f t="shared" si="1"/>
        <v>Plaće za redovan rad</v>
      </c>
      <c r="E112" s="84" t="s">
        <v>5367</v>
      </c>
      <c r="F112" s="79" t="s">
        <v>1654</v>
      </c>
      <c r="G112" s="79" t="s">
        <v>641</v>
      </c>
      <c r="H112" s="67">
        <v>29138</v>
      </c>
      <c r="I112" s="67">
        <v>29138</v>
      </c>
      <c r="J112" s="67">
        <v>29138</v>
      </c>
      <c r="K112" s="89" t="s">
        <v>1654</v>
      </c>
      <c r="L112" s="90">
        <v>44879</v>
      </c>
      <c r="M112" s="90">
        <v>45609</v>
      </c>
      <c r="N112" s="89" t="s">
        <v>1398</v>
      </c>
      <c r="O112" s="73" t="s">
        <v>1654</v>
      </c>
      <c r="P112" s="68"/>
      <c r="Q112" s="51"/>
      <c r="R112" s="51" t="str">
        <f t="shared" si="4"/>
        <v>311</v>
      </c>
      <c r="S112" s="51" t="str">
        <f t="shared" si="5"/>
        <v>31</v>
      </c>
      <c r="T112" s="51" t="str">
        <f t="shared" si="6"/>
        <v>15</v>
      </c>
      <c r="U112" s="51"/>
      <c r="V112" s="51"/>
      <c r="W112" s="51"/>
      <c r="X112" s="51">
        <v>4411</v>
      </c>
      <c r="Y112" s="51" t="s">
        <v>967</v>
      </c>
      <c r="Z112" s="51"/>
      <c r="AA112" s="51" t="str">
        <f t="shared" si="7"/>
        <v>44</v>
      </c>
      <c r="AB112" s="51" t="str">
        <f t="shared" si="8"/>
        <v>441</v>
      </c>
      <c r="AC112" s="51"/>
      <c r="AD112" s="51" t="s">
        <v>1655</v>
      </c>
      <c r="AE112" s="51" t="s">
        <v>1656</v>
      </c>
      <c r="AF112" s="51" t="str">
        <f t="shared" si="9"/>
        <v>A679072</v>
      </c>
      <c r="AG112" s="51" t="str">
        <f>VLOOKUP(AF112,AKT!$C$4:$E$324,3,FALSE)</f>
        <v>0942</v>
      </c>
    </row>
    <row r="113" spans="1:33" ht="15.75" customHeight="1">
      <c r="A113" s="84">
        <v>51</v>
      </c>
      <c r="B113" s="79" t="str">
        <f t="shared" si="0"/>
        <v>Pomoći EU</v>
      </c>
      <c r="C113" s="84">
        <v>3132</v>
      </c>
      <c r="D113" s="79" t="str">
        <f t="shared" si="1"/>
        <v>Doprinosi za obvezno zdravstveno osiguranje</v>
      </c>
      <c r="E113" s="84" t="s">
        <v>5367</v>
      </c>
      <c r="F113" s="79" t="s">
        <v>1654</v>
      </c>
      <c r="G113" s="79" t="s">
        <v>641</v>
      </c>
      <c r="H113" s="67">
        <v>4856</v>
      </c>
      <c r="I113" s="67">
        <v>4856</v>
      </c>
      <c r="J113" s="67">
        <v>4856</v>
      </c>
      <c r="K113" s="89" t="s">
        <v>1654</v>
      </c>
      <c r="L113" s="90">
        <v>44879</v>
      </c>
      <c r="M113" s="90">
        <v>45609</v>
      </c>
      <c r="N113" s="89" t="s">
        <v>1398</v>
      </c>
      <c r="O113" s="73" t="s">
        <v>1654</v>
      </c>
      <c r="P113" s="68"/>
      <c r="Q113" s="51"/>
      <c r="R113" s="51" t="str">
        <f t="shared" si="4"/>
        <v>313</v>
      </c>
      <c r="S113" s="51" t="str">
        <f t="shared" si="5"/>
        <v>31</v>
      </c>
      <c r="T113" s="51" t="str">
        <f t="shared" si="6"/>
        <v>15</v>
      </c>
      <c r="U113" s="51"/>
      <c r="V113" s="51"/>
      <c r="W113" s="51"/>
      <c r="X113" s="51">
        <v>4511</v>
      </c>
      <c r="Y113" s="51" t="s">
        <v>970</v>
      </c>
      <c r="Z113" s="51"/>
      <c r="AA113" s="51" t="str">
        <f t="shared" si="7"/>
        <v>45</v>
      </c>
      <c r="AB113" s="51" t="str">
        <f t="shared" si="8"/>
        <v>451</v>
      </c>
      <c r="AC113" s="51"/>
      <c r="AD113" s="51" t="s">
        <v>1657</v>
      </c>
      <c r="AE113" s="51" t="s">
        <v>1658</v>
      </c>
      <c r="AF113" s="51" t="str">
        <f t="shared" si="9"/>
        <v>A679072</v>
      </c>
      <c r="AG113" s="51" t="str">
        <f>VLOOKUP(AF113,AKT!$C$4:$E$324,3,FALSE)</f>
        <v>0942</v>
      </c>
    </row>
    <row r="114" spans="1:33" ht="15.75" customHeight="1">
      <c r="A114" s="84">
        <v>51</v>
      </c>
      <c r="B114" s="79" t="str">
        <f t="shared" si="0"/>
        <v>Pomoći EU</v>
      </c>
      <c r="C114" s="84">
        <v>3211</v>
      </c>
      <c r="D114" s="79" t="str">
        <f t="shared" si="1"/>
        <v>Službena putovanja</v>
      </c>
      <c r="E114" s="84" t="s">
        <v>5367</v>
      </c>
      <c r="F114" s="79" t="s">
        <v>1654</v>
      </c>
      <c r="G114" s="79" t="s">
        <v>641</v>
      </c>
      <c r="H114" s="67">
        <v>3238</v>
      </c>
      <c r="I114" s="67">
        <v>3238</v>
      </c>
      <c r="J114" s="67">
        <v>3238</v>
      </c>
      <c r="K114" s="89" t="s">
        <v>1654</v>
      </c>
      <c r="L114" s="90">
        <v>44879</v>
      </c>
      <c r="M114" s="90">
        <v>45609</v>
      </c>
      <c r="N114" s="89" t="s">
        <v>1398</v>
      </c>
      <c r="O114" s="73" t="s">
        <v>1654</v>
      </c>
      <c r="P114" s="68"/>
      <c r="Q114" s="51"/>
      <c r="R114" s="51" t="str">
        <f t="shared" si="4"/>
        <v>321</v>
      </c>
      <c r="S114" s="51" t="str">
        <f t="shared" si="5"/>
        <v>32</v>
      </c>
      <c r="T114" s="51" t="str">
        <f t="shared" si="6"/>
        <v>15</v>
      </c>
      <c r="U114" s="51"/>
      <c r="V114" s="51"/>
      <c r="W114" s="51"/>
      <c r="X114" s="51">
        <v>4521</v>
      </c>
      <c r="Y114" s="51" t="s">
        <v>973</v>
      </c>
      <c r="Z114" s="51"/>
      <c r="AA114" s="51" t="str">
        <f t="shared" si="7"/>
        <v>45</v>
      </c>
      <c r="AB114" s="51" t="str">
        <f t="shared" si="8"/>
        <v>452</v>
      </c>
      <c r="AC114" s="51"/>
      <c r="AD114" s="51" t="s">
        <v>1659</v>
      </c>
      <c r="AE114" s="51" t="s">
        <v>1660</v>
      </c>
      <c r="AF114" s="51" t="str">
        <f t="shared" si="9"/>
        <v>A679072</v>
      </c>
      <c r="AG114" s="51" t="str">
        <f>VLOOKUP(AF114,AKT!$C$4:$E$324,3,FALSE)</f>
        <v>0942</v>
      </c>
    </row>
    <row r="115" spans="1:33" ht="15.75" customHeight="1">
      <c r="A115" s="84">
        <v>51</v>
      </c>
      <c r="B115" s="79" t="str">
        <f t="shared" si="0"/>
        <v>Pomoći EU</v>
      </c>
      <c r="C115" s="84">
        <v>3222</v>
      </c>
      <c r="D115" s="79" t="str">
        <f t="shared" si="1"/>
        <v>Materijal i sirovine</v>
      </c>
      <c r="E115" s="84" t="s">
        <v>5367</v>
      </c>
      <c r="F115" s="79" t="s">
        <v>1654</v>
      </c>
      <c r="G115" s="79" t="s">
        <v>641</v>
      </c>
      <c r="H115" s="67">
        <v>8094</v>
      </c>
      <c r="I115" s="67">
        <v>8094</v>
      </c>
      <c r="J115" s="67">
        <v>8094</v>
      </c>
      <c r="K115" s="89" t="s">
        <v>1654</v>
      </c>
      <c r="L115" s="90">
        <v>44879</v>
      </c>
      <c r="M115" s="90">
        <v>45609</v>
      </c>
      <c r="N115" s="89" t="s">
        <v>1398</v>
      </c>
      <c r="O115" s="73" t="s">
        <v>1654</v>
      </c>
      <c r="P115" s="68"/>
      <c r="Q115" s="51"/>
      <c r="R115" s="51" t="str">
        <f t="shared" si="4"/>
        <v>322</v>
      </c>
      <c r="S115" s="51" t="str">
        <f t="shared" si="5"/>
        <v>32</v>
      </c>
      <c r="T115" s="51" t="str">
        <f t="shared" si="6"/>
        <v>15</v>
      </c>
      <c r="U115" s="51"/>
      <c r="V115" s="51"/>
      <c r="W115" s="51"/>
      <c r="X115" s="51">
        <v>4531</v>
      </c>
      <c r="Y115" s="51" t="s">
        <v>976</v>
      </c>
      <c r="Z115" s="51"/>
      <c r="AA115" s="51" t="str">
        <f t="shared" si="7"/>
        <v>45</v>
      </c>
      <c r="AB115" s="51" t="str">
        <f t="shared" si="8"/>
        <v>453</v>
      </c>
      <c r="AC115" s="51"/>
      <c r="AD115" s="51" t="s">
        <v>1661</v>
      </c>
      <c r="AE115" s="51" t="s">
        <v>1662</v>
      </c>
      <c r="AF115" s="51" t="str">
        <f t="shared" si="9"/>
        <v>A679072</v>
      </c>
      <c r="AG115" s="51" t="str">
        <f>VLOOKUP(AF115,AKT!$C$4:$E$324,3,FALSE)</f>
        <v>0942</v>
      </c>
    </row>
    <row r="116" spans="1:33" ht="15.75" customHeight="1">
      <c r="A116" s="84">
        <v>51</v>
      </c>
      <c r="B116" s="79" t="str">
        <f t="shared" si="0"/>
        <v>Pomoći EU</v>
      </c>
      <c r="C116" s="84">
        <v>3299</v>
      </c>
      <c r="D116" s="79" t="str">
        <f t="shared" si="1"/>
        <v>Ostali nespomenuti rashodi poslovanja</v>
      </c>
      <c r="E116" s="84" t="s">
        <v>5367</v>
      </c>
      <c r="F116" s="79" t="s">
        <v>1654</v>
      </c>
      <c r="G116" s="79" t="s">
        <v>641</v>
      </c>
      <c r="H116" s="67">
        <v>26710</v>
      </c>
      <c r="I116" s="67">
        <v>26710</v>
      </c>
      <c r="J116" s="67">
        <v>26710</v>
      </c>
      <c r="K116" s="89" t="s">
        <v>1654</v>
      </c>
      <c r="L116" s="90">
        <v>44879</v>
      </c>
      <c r="M116" s="90">
        <v>45609</v>
      </c>
      <c r="N116" s="89" t="s">
        <v>1398</v>
      </c>
      <c r="O116" s="73" t="s">
        <v>1654</v>
      </c>
      <c r="P116" s="68"/>
      <c r="Q116" s="51"/>
      <c r="R116" s="51" t="str">
        <f t="shared" si="4"/>
        <v>329</v>
      </c>
      <c r="S116" s="51" t="str">
        <f t="shared" si="5"/>
        <v>32</v>
      </c>
      <c r="T116" s="51" t="str">
        <f t="shared" si="6"/>
        <v>15</v>
      </c>
      <c r="U116" s="51"/>
      <c r="V116" s="51"/>
      <c r="W116" s="51"/>
      <c r="X116" s="51">
        <v>4541</v>
      </c>
      <c r="Y116" s="51" t="s">
        <v>979</v>
      </c>
      <c r="Z116" s="51"/>
      <c r="AA116" s="51" t="str">
        <f t="shared" si="7"/>
        <v>45</v>
      </c>
      <c r="AB116" s="51" t="str">
        <f t="shared" si="8"/>
        <v>454</v>
      </c>
      <c r="AC116" s="51"/>
      <c r="AD116" s="51" t="s">
        <v>1663</v>
      </c>
      <c r="AE116" s="51" t="s">
        <v>1664</v>
      </c>
      <c r="AF116" s="51" t="str">
        <f t="shared" si="9"/>
        <v>A679072</v>
      </c>
      <c r="AG116" s="51" t="str">
        <f>VLOOKUP(AF116,AKT!$C$4:$E$324,3,FALSE)</f>
        <v>0942</v>
      </c>
    </row>
    <row r="117" spans="1:33" ht="15.75" customHeight="1">
      <c r="A117" s="84">
        <v>51</v>
      </c>
      <c r="B117" s="79" t="str">
        <f t="shared" si="0"/>
        <v>Pomoći EU</v>
      </c>
      <c r="C117" s="84">
        <v>4224</v>
      </c>
      <c r="D117" s="79" t="str">
        <f t="shared" si="1"/>
        <v>Medicinska i laboratorijska oprema</v>
      </c>
      <c r="E117" s="84" t="s">
        <v>5367</v>
      </c>
      <c r="F117" s="79" t="s">
        <v>1654</v>
      </c>
      <c r="G117" s="79" t="s">
        <v>641</v>
      </c>
      <c r="H117" s="67">
        <v>8903</v>
      </c>
      <c r="I117" s="67">
        <v>8903</v>
      </c>
      <c r="J117" s="67">
        <v>8903</v>
      </c>
      <c r="K117" s="89" t="s">
        <v>1654</v>
      </c>
      <c r="L117" s="90">
        <v>44879</v>
      </c>
      <c r="M117" s="90">
        <v>45609</v>
      </c>
      <c r="N117" s="89" t="s">
        <v>1398</v>
      </c>
      <c r="O117" s="73" t="s">
        <v>1654</v>
      </c>
      <c r="P117" s="68"/>
      <c r="Q117" s="51"/>
      <c r="R117" s="51" t="str">
        <f t="shared" si="4"/>
        <v>422</v>
      </c>
      <c r="S117" s="51" t="str">
        <f t="shared" si="5"/>
        <v>42</v>
      </c>
      <c r="T117" s="51" t="str">
        <f t="shared" si="6"/>
        <v>15</v>
      </c>
      <c r="U117" s="51"/>
      <c r="V117" s="51"/>
      <c r="W117" s="51"/>
      <c r="X117" s="51">
        <v>5121</v>
      </c>
      <c r="Y117" s="51" t="s">
        <v>982</v>
      </c>
      <c r="Z117" s="51"/>
      <c r="AA117" s="51" t="str">
        <f t="shared" si="7"/>
        <v>51</v>
      </c>
      <c r="AB117" s="51" t="str">
        <f t="shared" si="8"/>
        <v>512</v>
      </c>
      <c r="AC117" s="51"/>
      <c r="AD117" s="51" t="s">
        <v>1665</v>
      </c>
      <c r="AE117" s="51" t="s">
        <v>1666</v>
      </c>
      <c r="AF117" s="51" t="str">
        <f t="shared" si="9"/>
        <v>A679072</v>
      </c>
      <c r="AG117" s="51" t="str">
        <f>VLOOKUP(AF117,AKT!$C$4:$E$324,3,FALSE)</f>
        <v>0942</v>
      </c>
    </row>
    <row r="118" spans="1:33" ht="15.75" customHeight="1">
      <c r="A118" s="84">
        <v>51</v>
      </c>
      <c r="B118" s="79" t="str">
        <f t="shared" si="0"/>
        <v>Pomoći EU</v>
      </c>
      <c r="C118" s="84">
        <v>3111</v>
      </c>
      <c r="D118" s="79" t="str">
        <f t="shared" si="1"/>
        <v>Plaće za redovan rad</v>
      </c>
      <c r="E118" s="84" t="s">
        <v>5373</v>
      </c>
      <c r="F118" s="79" t="s">
        <v>1667</v>
      </c>
      <c r="G118" s="79" t="s">
        <v>641</v>
      </c>
      <c r="H118" s="67">
        <v>25651</v>
      </c>
      <c r="I118" s="67">
        <v>25651</v>
      </c>
      <c r="J118" s="67">
        <v>25651</v>
      </c>
      <c r="K118" s="89" t="s">
        <v>1667</v>
      </c>
      <c r="L118" s="90">
        <v>44805</v>
      </c>
      <c r="M118" s="90">
        <v>46265</v>
      </c>
      <c r="N118" s="89" t="s">
        <v>1398</v>
      </c>
      <c r="O118" s="73" t="s">
        <v>1667</v>
      </c>
      <c r="P118" s="68"/>
      <c r="Q118" s="51"/>
      <c r="R118" s="51" t="str">
        <f t="shared" si="4"/>
        <v>311</v>
      </c>
      <c r="S118" s="51" t="str">
        <f t="shared" si="5"/>
        <v>31</v>
      </c>
      <c r="T118" s="51" t="str">
        <f t="shared" si="6"/>
        <v>15</v>
      </c>
      <c r="U118" s="51"/>
      <c r="V118" s="51"/>
      <c r="W118" s="51"/>
      <c r="X118" s="51">
        <v>5443</v>
      </c>
      <c r="Y118" s="51" t="s">
        <v>985</v>
      </c>
      <c r="Z118" s="51"/>
      <c r="AA118" s="51" t="str">
        <f t="shared" si="7"/>
        <v>54</v>
      </c>
      <c r="AB118" s="51" t="str">
        <f t="shared" si="8"/>
        <v>544</v>
      </c>
      <c r="AC118" s="51"/>
      <c r="AD118" s="51" t="s">
        <v>1668</v>
      </c>
      <c r="AE118" s="51" t="s">
        <v>1669</v>
      </c>
      <c r="AF118" s="51" t="str">
        <f t="shared" si="9"/>
        <v>A679072</v>
      </c>
      <c r="AG118" s="51" t="str">
        <f>VLOOKUP(AF118,AKT!$C$4:$E$324,3,FALSE)</f>
        <v>0942</v>
      </c>
    </row>
    <row r="119" spans="1:33" ht="15.75" customHeight="1">
      <c r="A119" s="84">
        <v>51</v>
      </c>
      <c r="B119" s="79" t="str">
        <f t="shared" si="0"/>
        <v>Pomoći EU</v>
      </c>
      <c r="C119" s="84">
        <v>3132</v>
      </c>
      <c r="D119" s="79" t="str">
        <f t="shared" si="1"/>
        <v>Doprinosi za obvezno zdravstveno osiguranje</v>
      </c>
      <c r="E119" s="84" t="s">
        <v>5373</v>
      </c>
      <c r="F119" s="79" t="s">
        <v>1667</v>
      </c>
      <c r="G119" s="79" t="s">
        <v>641</v>
      </c>
      <c r="H119" s="67">
        <v>4275</v>
      </c>
      <c r="I119" s="67">
        <v>4275</v>
      </c>
      <c r="J119" s="67">
        <v>4275</v>
      </c>
      <c r="K119" s="89" t="s">
        <v>1667</v>
      </c>
      <c r="L119" s="90">
        <v>44805</v>
      </c>
      <c r="M119" s="90">
        <v>46265</v>
      </c>
      <c r="N119" s="89" t="s">
        <v>1398</v>
      </c>
      <c r="O119" s="73" t="s">
        <v>1667</v>
      </c>
      <c r="P119" s="68"/>
      <c r="Q119" s="51"/>
      <c r="R119" s="51" t="str">
        <f t="shared" si="4"/>
        <v>313</v>
      </c>
      <c r="S119" s="51" t="str">
        <f t="shared" si="5"/>
        <v>31</v>
      </c>
      <c r="T119" s="51" t="str">
        <f t="shared" si="6"/>
        <v>15</v>
      </c>
      <c r="U119" s="51"/>
      <c r="V119" s="51"/>
      <c r="W119" s="51"/>
      <c r="X119" s="51">
        <v>5121</v>
      </c>
      <c r="Y119" s="51" t="s">
        <v>988</v>
      </c>
      <c r="Z119" s="51"/>
      <c r="AA119" s="51" t="str">
        <f t="shared" si="7"/>
        <v>51</v>
      </c>
      <c r="AB119" s="51" t="str">
        <f t="shared" si="8"/>
        <v>512</v>
      </c>
      <c r="AC119" s="51"/>
      <c r="AD119" s="51" t="s">
        <v>1670</v>
      </c>
      <c r="AE119" s="51" t="s">
        <v>1671</v>
      </c>
      <c r="AF119" s="51" t="str">
        <f t="shared" si="9"/>
        <v>A679072</v>
      </c>
      <c r="AG119" s="51" t="str">
        <f>VLOOKUP(AF119,AKT!$C$4:$E$324,3,FALSE)</f>
        <v>0942</v>
      </c>
    </row>
    <row r="120" spans="1:33" ht="15.75" customHeight="1">
      <c r="A120" s="84">
        <v>51</v>
      </c>
      <c r="B120" s="79" t="str">
        <f t="shared" si="0"/>
        <v>Pomoći EU</v>
      </c>
      <c r="C120" s="84">
        <v>3211</v>
      </c>
      <c r="D120" s="79" t="str">
        <f t="shared" si="1"/>
        <v>Službena putovanja</v>
      </c>
      <c r="E120" s="84" t="s">
        <v>5373</v>
      </c>
      <c r="F120" s="79" t="s">
        <v>1667</v>
      </c>
      <c r="G120" s="79" t="s">
        <v>641</v>
      </c>
      <c r="H120" s="67">
        <v>2850</v>
      </c>
      <c r="I120" s="67">
        <v>2850</v>
      </c>
      <c r="J120" s="67">
        <v>2850</v>
      </c>
      <c r="K120" s="89" t="s">
        <v>1667</v>
      </c>
      <c r="L120" s="90">
        <v>44805</v>
      </c>
      <c r="M120" s="90">
        <v>46265</v>
      </c>
      <c r="N120" s="89" t="s">
        <v>1398</v>
      </c>
      <c r="O120" s="73" t="s">
        <v>1667</v>
      </c>
      <c r="P120" s="68"/>
      <c r="Q120" s="51"/>
      <c r="R120" s="51" t="str">
        <f t="shared" si="4"/>
        <v>321</v>
      </c>
      <c r="S120" s="51" t="str">
        <f t="shared" si="5"/>
        <v>32</v>
      </c>
      <c r="T120" s="51" t="str">
        <f t="shared" si="6"/>
        <v>15</v>
      </c>
      <c r="U120" s="51"/>
      <c r="V120" s="51"/>
      <c r="W120" s="51"/>
      <c r="X120" s="51">
        <v>5122</v>
      </c>
      <c r="Y120" s="51" t="s">
        <v>991</v>
      </c>
      <c r="Z120" s="51"/>
      <c r="AA120" s="51" t="str">
        <f t="shared" si="7"/>
        <v>51</v>
      </c>
      <c r="AB120" s="51" t="str">
        <f t="shared" si="8"/>
        <v>512</v>
      </c>
      <c r="AC120" s="51"/>
      <c r="AD120" s="51" t="s">
        <v>1672</v>
      </c>
      <c r="AE120" s="51" t="s">
        <v>1673</v>
      </c>
      <c r="AF120" s="51" t="str">
        <f t="shared" si="9"/>
        <v>A679072</v>
      </c>
      <c r="AG120" s="51" t="str">
        <f>VLOOKUP(AF120,AKT!$C$4:$E$324,3,FALSE)</f>
        <v>0942</v>
      </c>
    </row>
    <row r="121" spans="1:33" ht="15.75" customHeight="1">
      <c r="A121" s="84">
        <v>51</v>
      </c>
      <c r="B121" s="79" t="str">
        <f t="shared" si="0"/>
        <v>Pomoći EU</v>
      </c>
      <c r="C121" s="84">
        <v>3222</v>
      </c>
      <c r="D121" s="79" t="str">
        <f t="shared" si="1"/>
        <v>Materijal i sirovine</v>
      </c>
      <c r="E121" s="84" t="s">
        <v>5373</v>
      </c>
      <c r="F121" s="79" t="s">
        <v>1667</v>
      </c>
      <c r="G121" s="79" t="s">
        <v>641</v>
      </c>
      <c r="H121" s="67">
        <v>7125</v>
      </c>
      <c r="I121" s="67">
        <v>7125</v>
      </c>
      <c r="J121" s="67">
        <v>7125</v>
      </c>
      <c r="K121" s="89" t="s">
        <v>1667</v>
      </c>
      <c r="L121" s="90">
        <v>44805</v>
      </c>
      <c r="M121" s="90">
        <v>46265</v>
      </c>
      <c r="N121" s="89" t="s">
        <v>1398</v>
      </c>
      <c r="O121" s="73" t="s">
        <v>1667</v>
      </c>
      <c r="P121" s="68"/>
      <c r="Q121" s="51"/>
      <c r="R121" s="51" t="str">
        <f t="shared" si="4"/>
        <v>322</v>
      </c>
      <c r="S121" s="51" t="str">
        <f t="shared" si="5"/>
        <v>32</v>
      </c>
      <c r="T121" s="51" t="str">
        <f t="shared" si="6"/>
        <v>15</v>
      </c>
      <c r="U121" s="51"/>
      <c r="V121" s="51"/>
      <c r="W121" s="51"/>
      <c r="X121" s="51">
        <v>5141</v>
      </c>
      <c r="Y121" s="51" t="s">
        <v>994</v>
      </c>
      <c r="Z121" s="51"/>
      <c r="AA121" s="51" t="str">
        <f t="shared" si="7"/>
        <v>51</v>
      </c>
      <c r="AB121" s="51" t="str">
        <f t="shared" si="8"/>
        <v>514</v>
      </c>
      <c r="AC121" s="51"/>
      <c r="AD121" s="51" t="s">
        <v>1674</v>
      </c>
      <c r="AE121" s="51" t="s">
        <v>1675</v>
      </c>
      <c r="AF121" s="51" t="str">
        <f t="shared" si="9"/>
        <v>A679072</v>
      </c>
      <c r="AG121" s="51" t="str">
        <f>VLOOKUP(AF121,AKT!$C$4:$E$324,3,FALSE)</f>
        <v>0942</v>
      </c>
    </row>
    <row r="122" spans="1:33" ht="15.75" customHeight="1">
      <c r="A122" s="84">
        <v>51</v>
      </c>
      <c r="B122" s="79" t="str">
        <f t="shared" si="0"/>
        <v>Pomoći EU</v>
      </c>
      <c r="C122" s="84">
        <v>3299</v>
      </c>
      <c r="D122" s="79" t="str">
        <f t="shared" si="1"/>
        <v>Ostali nespomenuti rashodi poslovanja</v>
      </c>
      <c r="E122" s="84" t="s">
        <v>5373</v>
      </c>
      <c r="F122" s="79" t="s">
        <v>1667</v>
      </c>
      <c r="G122" s="79" t="s">
        <v>641</v>
      </c>
      <c r="H122" s="67">
        <v>23513</v>
      </c>
      <c r="I122" s="67">
        <v>23513</v>
      </c>
      <c r="J122" s="67">
        <v>23513</v>
      </c>
      <c r="K122" s="89" t="s">
        <v>1667</v>
      </c>
      <c r="L122" s="90">
        <v>44805</v>
      </c>
      <c r="M122" s="90">
        <v>46265</v>
      </c>
      <c r="N122" s="89" t="s">
        <v>1398</v>
      </c>
      <c r="O122" s="73" t="s">
        <v>1667</v>
      </c>
      <c r="P122" s="68"/>
      <c r="Q122" s="51"/>
      <c r="R122" s="51" t="str">
        <f t="shared" si="4"/>
        <v>329</v>
      </c>
      <c r="S122" s="51" t="str">
        <f t="shared" si="5"/>
        <v>32</v>
      </c>
      <c r="T122" s="51" t="str">
        <f t="shared" si="6"/>
        <v>15</v>
      </c>
      <c r="U122" s="51"/>
      <c r="V122" s="51"/>
      <c r="W122" s="51"/>
      <c r="X122" s="51">
        <v>5181</v>
      </c>
      <c r="Y122" s="51" t="s">
        <v>997</v>
      </c>
      <c r="Z122" s="51"/>
      <c r="AA122" s="51" t="str">
        <f t="shared" si="7"/>
        <v>51</v>
      </c>
      <c r="AB122" s="51" t="str">
        <f t="shared" si="8"/>
        <v>518</v>
      </c>
      <c r="AC122" s="51"/>
      <c r="AD122" s="51" t="s">
        <v>1676</v>
      </c>
      <c r="AE122" s="51" t="s">
        <v>1677</v>
      </c>
      <c r="AF122" s="51" t="str">
        <f t="shared" si="9"/>
        <v>A679072</v>
      </c>
      <c r="AG122" s="51" t="str">
        <f>VLOOKUP(AF122,AKT!$C$4:$E$324,3,FALSE)</f>
        <v>0942</v>
      </c>
    </row>
    <row r="123" spans="1:33" ht="15.75" customHeight="1">
      <c r="A123" s="84">
        <v>51</v>
      </c>
      <c r="B123" s="79" t="str">
        <f t="shared" si="0"/>
        <v>Pomoći EU</v>
      </c>
      <c r="C123" s="84">
        <v>4224</v>
      </c>
      <c r="D123" s="79" t="str">
        <f t="shared" si="1"/>
        <v>Medicinska i laboratorijska oprema</v>
      </c>
      <c r="E123" s="84" t="s">
        <v>5373</v>
      </c>
      <c r="F123" s="79" t="s">
        <v>1667</v>
      </c>
      <c r="G123" s="79" t="s">
        <v>641</v>
      </c>
      <c r="H123" s="67">
        <v>7838</v>
      </c>
      <c r="I123" s="67">
        <v>7838</v>
      </c>
      <c r="J123" s="67">
        <v>7838</v>
      </c>
      <c r="K123" s="89" t="s">
        <v>1667</v>
      </c>
      <c r="L123" s="90">
        <v>44805</v>
      </c>
      <c r="M123" s="90">
        <v>46265</v>
      </c>
      <c r="N123" s="89" t="s">
        <v>1398</v>
      </c>
      <c r="O123" s="73" t="s">
        <v>1667</v>
      </c>
      <c r="P123" s="68"/>
      <c r="Q123" s="51"/>
      <c r="R123" s="51" t="str">
        <f t="shared" si="4"/>
        <v>422</v>
      </c>
      <c r="S123" s="51" t="str">
        <f t="shared" si="5"/>
        <v>42</v>
      </c>
      <c r="T123" s="51" t="str">
        <f t="shared" si="6"/>
        <v>15</v>
      </c>
      <c r="U123" s="51"/>
      <c r="V123" s="51"/>
      <c r="W123" s="51"/>
      <c r="X123" s="51">
        <v>5183</v>
      </c>
      <c r="Y123" s="51" t="s">
        <v>1000</v>
      </c>
      <c r="Z123" s="51"/>
      <c r="AA123" s="51" t="str">
        <f t="shared" si="7"/>
        <v>51</v>
      </c>
      <c r="AB123" s="51" t="str">
        <f t="shared" si="8"/>
        <v>518</v>
      </c>
      <c r="AC123" s="51"/>
      <c r="AD123" s="51" t="s">
        <v>1678</v>
      </c>
      <c r="AE123" s="51" t="s">
        <v>1679</v>
      </c>
      <c r="AF123" s="51" t="str">
        <f t="shared" si="9"/>
        <v>A679072</v>
      </c>
      <c r="AG123" s="51" t="str">
        <f>VLOOKUP(AF123,AKT!$C$4:$E$324,3,FALSE)</f>
        <v>0942</v>
      </c>
    </row>
    <row r="124" spans="1:33" ht="15.75" customHeight="1">
      <c r="A124" s="84">
        <v>51</v>
      </c>
      <c r="B124" s="79" t="str">
        <f t="shared" si="0"/>
        <v>Pomoći EU</v>
      </c>
      <c r="C124" s="84">
        <v>3111</v>
      </c>
      <c r="D124" s="79" t="str">
        <f t="shared" si="1"/>
        <v>Plaće za redovan rad</v>
      </c>
      <c r="E124" s="84" t="s">
        <v>5369</v>
      </c>
      <c r="F124" s="79" t="s">
        <v>1680</v>
      </c>
      <c r="G124" s="79" t="s">
        <v>641</v>
      </c>
      <c r="H124" s="67">
        <v>11355</v>
      </c>
      <c r="I124" s="67">
        <v>11355</v>
      </c>
      <c r="J124" s="67">
        <v>11355</v>
      </c>
      <c r="K124" s="89" t="s">
        <v>1680</v>
      </c>
      <c r="L124" s="90">
        <v>44805</v>
      </c>
      <c r="M124" s="90">
        <v>46265</v>
      </c>
      <c r="N124" s="89" t="s">
        <v>1398</v>
      </c>
      <c r="O124" s="73" t="s">
        <v>1680</v>
      </c>
      <c r="P124" s="68"/>
      <c r="Q124" s="51"/>
      <c r="R124" s="51" t="str">
        <f t="shared" si="4"/>
        <v>311</v>
      </c>
      <c r="S124" s="51" t="str">
        <f t="shared" si="5"/>
        <v>31</v>
      </c>
      <c r="T124" s="51" t="str">
        <f t="shared" si="6"/>
        <v>15</v>
      </c>
      <c r="U124" s="51"/>
      <c r="V124" s="51"/>
      <c r="W124" s="51"/>
      <c r="X124" s="51">
        <v>5422</v>
      </c>
      <c r="Y124" s="51" t="s">
        <v>1003</v>
      </c>
      <c r="Z124" s="51"/>
      <c r="AA124" s="51" t="str">
        <f t="shared" si="7"/>
        <v>54</v>
      </c>
      <c r="AB124" s="51" t="str">
        <f t="shared" si="8"/>
        <v>542</v>
      </c>
      <c r="AC124" s="51"/>
      <c r="AD124" s="51" t="s">
        <v>1681</v>
      </c>
      <c r="AE124" s="51" t="s">
        <v>1682</v>
      </c>
      <c r="AF124" s="51" t="str">
        <f t="shared" si="9"/>
        <v>A679072</v>
      </c>
      <c r="AG124" s="51" t="str">
        <f>VLOOKUP(AF124,AKT!$C$4:$E$324,3,FALSE)</f>
        <v>0942</v>
      </c>
    </row>
    <row r="125" spans="1:33" ht="15.75" customHeight="1">
      <c r="A125" s="84">
        <v>51</v>
      </c>
      <c r="B125" s="79" t="str">
        <f t="shared" si="0"/>
        <v>Pomoći EU</v>
      </c>
      <c r="C125" s="84">
        <v>3132</v>
      </c>
      <c r="D125" s="79" t="str">
        <f t="shared" si="1"/>
        <v>Doprinosi za obvezno zdravstveno osiguranje</v>
      </c>
      <c r="E125" s="84" t="s">
        <v>5369</v>
      </c>
      <c r="F125" s="79" t="s">
        <v>1680</v>
      </c>
      <c r="G125" s="79" t="s">
        <v>641</v>
      </c>
      <c r="H125" s="67">
        <v>1892</v>
      </c>
      <c r="I125" s="67">
        <v>1892</v>
      </c>
      <c r="J125" s="67">
        <v>1892</v>
      </c>
      <c r="K125" s="89" t="s">
        <v>1680</v>
      </c>
      <c r="L125" s="90">
        <v>44805</v>
      </c>
      <c r="M125" s="90">
        <v>46265</v>
      </c>
      <c r="N125" s="89" t="s">
        <v>1398</v>
      </c>
      <c r="O125" s="73" t="s">
        <v>1680</v>
      </c>
      <c r="P125" s="68"/>
      <c r="Q125" s="51"/>
      <c r="R125" s="51" t="str">
        <f t="shared" si="4"/>
        <v>313</v>
      </c>
      <c r="S125" s="51" t="str">
        <f t="shared" si="5"/>
        <v>31</v>
      </c>
      <c r="T125" s="51" t="str">
        <f t="shared" si="6"/>
        <v>15</v>
      </c>
      <c r="U125" s="51"/>
      <c r="V125" s="51"/>
      <c r="W125" s="51"/>
      <c r="X125" s="51">
        <v>5431</v>
      </c>
      <c r="Y125" s="51" t="s">
        <v>1006</v>
      </c>
      <c r="Z125" s="51"/>
      <c r="AA125" s="51" t="str">
        <f t="shared" si="7"/>
        <v>54</v>
      </c>
      <c r="AB125" s="51" t="str">
        <f t="shared" si="8"/>
        <v>543</v>
      </c>
      <c r="AC125" s="51"/>
      <c r="AD125" s="51" t="s">
        <v>1683</v>
      </c>
      <c r="AE125" s="51" t="s">
        <v>1684</v>
      </c>
      <c r="AF125" s="51" t="str">
        <f t="shared" si="9"/>
        <v>A679072</v>
      </c>
      <c r="AG125" s="51" t="str">
        <f>VLOOKUP(AF125,AKT!$C$4:$E$324,3,FALSE)</f>
        <v>0942</v>
      </c>
    </row>
    <row r="126" spans="1:33" ht="15.75" customHeight="1">
      <c r="A126" s="84">
        <v>51</v>
      </c>
      <c r="B126" s="79" t="str">
        <f t="shared" si="0"/>
        <v>Pomoći EU</v>
      </c>
      <c r="C126" s="84">
        <v>3211</v>
      </c>
      <c r="D126" s="79" t="str">
        <f t="shared" si="1"/>
        <v>Službena putovanja</v>
      </c>
      <c r="E126" s="84" t="s">
        <v>5369</v>
      </c>
      <c r="F126" s="79" t="s">
        <v>1680</v>
      </c>
      <c r="G126" s="79" t="s">
        <v>641</v>
      </c>
      <c r="H126" s="67">
        <v>1262</v>
      </c>
      <c r="I126" s="67">
        <v>1262</v>
      </c>
      <c r="J126" s="67">
        <v>1262</v>
      </c>
      <c r="K126" s="89" t="s">
        <v>1680</v>
      </c>
      <c r="L126" s="90">
        <v>44805</v>
      </c>
      <c r="M126" s="90">
        <v>46265</v>
      </c>
      <c r="N126" s="89" t="s">
        <v>1398</v>
      </c>
      <c r="O126" s="73" t="s">
        <v>1680</v>
      </c>
      <c r="P126" s="68"/>
      <c r="Q126" s="51"/>
      <c r="R126" s="51" t="str">
        <f t="shared" si="4"/>
        <v>321</v>
      </c>
      <c r="S126" s="51" t="str">
        <f t="shared" si="5"/>
        <v>32</v>
      </c>
      <c r="T126" s="51" t="str">
        <f t="shared" si="6"/>
        <v>15</v>
      </c>
      <c r="U126" s="51"/>
      <c r="V126" s="51"/>
      <c r="W126" s="51"/>
      <c r="X126" s="51">
        <v>5443</v>
      </c>
      <c r="Y126" s="51" t="s">
        <v>1009</v>
      </c>
      <c r="Z126" s="51"/>
      <c r="AA126" s="51" t="str">
        <f t="shared" si="7"/>
        <v>54</v>
      </c>
      <c r="AB126" s="51" t="str">
        <f t="shared" si="8"/>
        <v>544</v>
      </c>
      <c r="AC126" s="51"/>
      <c r="AD126" s="51" t="s">
        <v>1685</v>
      </c>
      <c r="AE126" s="51" t="s">
        <v>1686</v>
      </c>
      <c r="AF126" s="51" t="str">
        <f t="shared" si="9"/>
        <v>A679072</v>
      </c>
      <c r="AG126" s="51" t="str">
        <f>VLOOKUP(AF126,AKT!$C$4:$E$324,3,FALSE)</f>
        <v>0942</v>
      </c>
    </row>
    <row r="127" spans="1:33" ht="15.75" customHeight="1">
      <c r="A127" s="84">
        <v>51</v>
      </c>
      <c r="B127" s="79" t="str">
        <f t="shared" si="0"/>
        <v>Pomoći EU</v>
      </c>
      <c r="C127" s="84">
        <v>3222</v>
      </c>
      <c r="D127" s="79" t="str">
        <f t="shared" si="1"/>
        <v>Materijal i sirovine</v>
      </c>
      <c r="E127" s="84" t="s">
        <v>5369</v>
      </c>
      <c r="F127" s="79" t="s">
        <v>1680</v>
      </c>
      <c r="G127" s="79" t="s">
        <v>641</v>
      </c>
      <c r="H127" s="67">
        <v>3154</v>
      </c>
      <c r="I127" s="67">
        <v>3154</v>
      </c>
      <c r="J127" s="67">
        <v>3154</v>
      </c>
      <c r="K127" s="89" t="s">
        <v>1680</v>
      </c>
      <c r="L127" s="90">
        <v>44805</v>
      </c>
      <c r="M127" s="90">
        <v>46265</v>
      </c>
      <c r="N127" s="89" t="s">
        <v>1398</v>
      </c>
      <c r="O127" s="73" t="s">
        <v>1680</v>
      </c>
      <c r="P127" s="68"/>
      <c r="Q127" s="51"/>
      <c r="R127" s="51" t="str">
        <f t="shared" si="4"/>
        <v>322</v>
      </c>
      <c r="S127" s="51" t="str">
        <f t="shared" si="5"/>
        <v>32</v>
      </c>
      <c r="T127" s="51" t="str">
        <f t="shared" si="6"/>
        <v>15</v>
      </c>
      <c r="U127" s="51"/>
      <c r="V127" s="51"/>
      <c r="W127" s="51"/>
      <c r="X127" s="51">
        <v>5445</v>
      </c>
      <c r="Y127" s="51" t="s">
        <v>1012</v>
      </c>
      <c r="Z127" s="51"/>
      <c r="AA127" s="51" t="str">
        <f t="shared" si="7"/>
        <v>54</v>
      </c>
      <c r="AB127" s="51" t="str">
        <f t="shared" si="8"/>
        <v>544</v>
      </c>
      <c r="AC127" s="51"/>
      <c r="AD127" s="51" t="s">
        <v>1687</v>
      </c>
      <c r="AE127" s="51" t="s">
        <v>1688</v>
      </c>
      <c r="AF127" s="51" t="str">
        <f t="shared" si="9"/>
        <v>A679072</v>
      </c>
      <c r="AG127" s="51" t="str">
        <f>VLOOKUP(AF127,AKT!$C$4:$E$324,3,FALSE)</f>
        <v>0942</v>
      </c>
    </row>
    <row r="128" spans="1:33" ht="15.75" customHeight="1">
      <c r="A128" s="84">
        <v>51</v>
      </c>
      <c r="B128" s="79" t="str">
        <f t="shared" si="0"/>
        <v>Pomoći EU</v>
      </c>
      <c r="C128" s="84">
        <v>3299</v>
      </c>
      <c r="D128" s="79" t="str">
        <f t="shared" si="1"/>
        <v>Ostali nespomenuti rashodi poslovanja</v>
      </c>
      <c r="E128" s="84" t="s">
        <v>5369</v>
      </c>
      <c r="F128" s="79" t="s">
        <v>1680</v>
      </c>
      <c r="G128" s="79" t="s">
        <v>641</v>
      </c>
      <c r="H128" s="67">
        <v>10408</v>
      </c>
      <c r="I128" s="67">
        <v>10408</v>
      </c>
      <c r="J128" s="67">
        <v>10408</v>
      </c>
      <c r="K128" s="89" t="s">
        <v>1680</v>
      </c>
      <c r="L128" s="90">
        <v>44805</v>
      </c>
      <c r="M128" s="90">
        <v>46265</v>
      </c>
      <c r="N128" s="89" t="s">
        <v>1398</v>
      </c>
      <c r="O128" s="73" t="s">
        <v>1680</v>
      </c>
      <c r="P128" s="68"/>
      <c r="Q128" s="51"/>
      <c r="R128" s="51" t="str">
        <f t="shared" si="4"/>
        <v>329</v>
      </c>
      <c r="S128" s="51" t="str">
        <f t="shared" si="5"/>
        <v>32</v>
      </c>
      <c r="T128" s="51" t="str">
        <f t="shared" si="6"/>
        <v>15</v>
      </c>
      <c r="U128" s="51"/>
      <c r="V128" s="51"/>
      <c r="W128" s="51"/>
      <c r="X128" s="51">
        <v>5453</v>
      </c>
      <c r="Y128" s="51" t="s">
        <v>1015</v>
      </c>
      <c r="Z128" s="51"/>
      <c r="AA128" s="51" t="str">
        <f t="shared" si="7"/>
        <v>54</v>
      </c>
      <c r="AB128" s="51" t="str">
        <f t="shared" si="8"/>
        <v>545</v>
      </c>
      <c r="AC128" s="51"/>
      <c r="AD128" s="51" t="s">
        <v>1689</v>
      </c>
      <c r="AE128" s="51" t="s">
        <v>1690</v>
      </c>
      <c r="AF128" s="51" t="str">
        <f t="shared" si="9"/>
        <v>A679072</v>
      </c>
      <c r="AG128" s="51" t="str">
        <f>VLOOKUP(AF128,AKT!$C$4:$E$324,3,FALSE)</f>
        <v>0942</v>
      </c>
    </row>
    <row r="129" spans="1:33" ht="15.75" customHeight="1">
      <c r="A129" s="84">
        <v>51</v>
      </c>
      <c r="B129" s="79" t="str">
        <f t="shared" si="0"/>
        <v>Pomoći EU</v>
      </c>
      <c r="C129" s="84">
        <v>4224</v>
      </c>
      <c r="D129" s="79" t="str">
        <f t="shared" si="1"/>
        <v>Medicinska i laboratorijska oprema</v>
      </c>
      <c r="E129" s="84" t="s">
        <v>5369</v>
      </c>
      <c r="F129" s="79" t="s">
        <v>1680</v>
      </c>
      <c r="G129" s="79" t="s">
        <v>641</v>
      </c>
      <c r="H129" s="67">
        <v>3469</v>
      </c>
      <c r="I129" s="67">
        <v>3469</v>
      </c>
      <c r="J129" s="67">
        <v>3469</v>
      </c>
      <c r="K129" s="89" t="s">
        <v>1680</v>
      </c>
      <c r="L129" s="90">
        <v>44805</v>
      </c>
      <c r="M129" s="90">
        <v>46265</v>
      </c>
      <c r="N129" s="89" t="s">
        <v>1398</v>
      </c>
      <c r="O129" s="73" t="s">
        <v>1680</v>
      </c>
      <c r="P129" s="68"/>
      <c r="Q129" s="51"/>
      <c r="R129" s="51" t="str">
        <f t="shared" si="4"/>
        <v>422</v>
      </c>
      <c r="S129" s="51" t="str">
        <f t="shared" si="5"/>
        <v>42</v>
      </c>
      <c r="T129" s="51" t="str">
        <f t="shared" si="6"/>
        <v>15</v>
      </c>
      <c r="U129" s="51"/>
      <c r="V129" s="51"/>
      <c r="W129" s="51"/>
      <c r="X129" s="51">
        <v>5472</v>
      </c>
      <c r="Y129" s="51" t="s">
        <v>1018</v>
      </c>
      <c r="Z129" s="51"/>
      <c r="AA129" s="51" t="str">
        <f t="shared" si="7"/>
        <v>54</v>
      </c>
      <c r="AB129" s="51" t="str">
        <f t="shared" si="8"/>
        <v>547</v>
      </c>
      <c r="AC129" s="51"/>
      <c r="AD129" s="51" t="s">
        <v>1691</v>
      </c>
      <c r="AE129" s="51" t="s">
        <v>1692</v>
      </c>
      <c r="AF129" s="51" t="str">
        <f t="shared" si="9"/>
        <v>A679072</v>
      </c>
      <c r="AG129" s="51" t="str">
        <f>VLOOKUP(AF129,AKT!$C$4:$E$324,3,FALSE)</f>
        <v>0942</v>
      </c>
    </row>
    <row r="130" spans="1:33" ht="15.75" customHeight="1">
      <c r="A130" s="84">
        <v>52</v>
      </c>
      <c r="B130" s="79" t="str">
        <f t="shared" ref="B130:B171" si="10">IFERROR(VLOOKUP(A130,$U$6:$V$23,2,FALSE),"")</f>
        <v>Ostale pomoći</v>
      </c>
      <c r="C130" s="84">
        <v>3111</v>
      </c>
      <c r="D130" s="79" t="str">
        <f t="shared" ref="D130:D171" si="11">IFERROR(VLOOKUP(C130,$X$5:$Z$129,2,FALSE),"")</f>
        <v>Plaće za redovan rad</v>
      </c>
      <c r="E130" s="84" t="s">
        <v>1712</v>
      </c>
      <c r="F130" s="79" t="str">
        <f t="shared" ref="F130:F145" si="12">IFERROR(VLOOKUP(E130,$AD$6:$AE$1090,2,FALSE),"")</f>
        <v>EUROCC -Nacionalni centri za kompetencije u okviru Obzor 2020</v>
      </c>
      <c r="G130" s="79" t="str">
        <f t="shared" ref="G130:G193" si="13">IFERROR(VLOOKUP(E130,$AD$6:$AG$1090,4,FALSE),"")</f>
        <v>0150</v>
      </c>
      <c r="H130" s="67">
        <v>13883</v>
      </c>
      <c r="I130" s="67"/>
      <c r="J130" s="67"/>
      <c r="K130" s="89" t="s">
        <v>1713</v>
      </c>
      <c r="L130" s="90">
        <v>44075</v>
      </c>
      <c r="M130" s="90">
        <v>45169</v>
      </c>
      <c r="N130" s="89" t="s">
        <v>1714</v>
      </c>
      <c r="O130" s="73" t="s">
        <v>1713</v>
      </c>
      <c r="P130" s="68"/>
      <c r="Q130" s="51"/>
      <c r="R130" s="51" t="str">
        <f t="shared" si="4"/>
        <v>311</v>
      </c>
      <c r="S130" s="51" t="str">
        <f t="shared" si="5"/>
        <v>31</v>
      </c>
      <c r="T130" s="51" t="str">
        <f t="shared" si="6"/>
        <v>15</v>
      </c>
      <c r="U130" s="51"/>
      <c r="V130" s="51"/>
      <c r="W130" s="51"/>
      <c r="X130" s="51"/>
      <c r="Y130" s="51"/>
      <c r="Z130" s="51"/>
      <c r="AA130" s="51"/>
      <c r="AB130" s="51"/>
      <c r="AC130" s="51"/>
      <c r="AD130" s="51" t="s">
        <v>1696</v>
      </c>
      <c r="AE130" s="51" t="s">
        <v>1697</v>
      </c>
      <c r="AF130" s="51" t="str">
        <f t="shared" si="9"/>
        <v>A679072</v>
      </c>
      <c r="AG130" s="51" t="str">
        <f>VLOOKUP(AF130,AKT!$C$4:$E$324,3,FALSE)</f>
        <v>0942</v>
      </c>
    </row>
    <row r="131" spans="1:33" ht="15.75" customHeight="1">
      <c r="A131" s="84">
        <v>52</v>
      </c>
      <c r="B131" s="79" t="str">
        <f t="shared" si="10"/>
        <v>Ostale pomoći</v>
      </c>
      <c r="C131" s="84">
        <v>3132</v>
      </c>
      <c r="D131" s="79" t="str">
        <f t="shared" si="11"/>
        <v>Doprinosi za obvezno zdravstveno osiguranje</v>
      </c>
      <c r="E131" s="84" t="s">
        <v>1712</v>
      </c>
      <c r="F131" s="79" t="str">
        <f t="shared" si="12"/>
        <v>EUROCC -Nacionalni centri za kompetencije u okviru Obzor 2020</v>
      </c>
      <c r="G131" s="79" t="str">
        <f t="shared" si="13"/>
        <v>0150</v>
      </c>
      <c r="H131" s="67">
        <v>2082</v>
      </c>
      <c r="I131" s="67"/>
      <c r="J131" s="67"/>
      <c r="K131" s="89" t="s">
        <v>1713</v>
      </c>
      <c r="L131" s="90">
        <v>44075</v>
      </c>
      <c r="M131" s="90">
        <v>45169</v>
      </c>
      <c r="N131" s="89" t="s">
        <v>1714</v>
      </c>
      <c r="O131" s="73" t="s">
        <v>1713</v>
      </c>
      <c r="P131" s="68"/>
      <c r="Q131" s="51"/>
      <c r="R131" s="51" t="str">
        <f t="shared" si="4"/>
        <v>313</v>
      </c>
      <c r="S131" s="51" t="str">
        <f t="shared" si="5"/>
        <v>31</v>
      </c>
      <c r="T131" s="51" t="str">
        <f t="shared" si="6"/>
        <v>15</v>
      </c>
      <c r="U131" s="51"/>
      <c r="V131" s="51"/>
      <c r="W131" s="51"/>
      <c r="X131" s="51"/>
      <c r="Y131" s="51"/>
      <c r="Z131" s="51"/>
      <c r="AA131" s="51"/>
      <c r="AB131" s="51"/>
      <c r="AC131" s="51"/>
      <c r="AD131" s="51" t="s">
        <v>1698</v>
      </c>
      <c r="AE131" s="51" t="s">
        <v>1699</v>
      </c>
      <c r="AF131" s="51" t="str">
        <f t="shared" si="9"/>
        <v>A679072</v>
      </c>
      <c r="AG131" s="51" t="str">
        <f>VLOOKUP(AF131,AKT!$C$4:$E$324,3,FALSE)</f>
        <v>0942</v>
      </c>
    </row>
    <row r="132" spans="1:33" ht="15.75" customHeight="1">
      <c r="A132" s="84">
        <v>52</v>
      </c>
      <c r="B132" s="79" t="str">
        <f t="shared" si="10"/>
        <v>Ostale pomoći</v>
      </c>
      <c r="C132" s="84">
        <v>3211</v>
      </c>
      <c r="D132" s="79" t="str">
        <f t="shared" si="11"/>
        <v>Službena putovanja</v>
      </c>
      <c r="E132" s="84" t="s">
        <v>1712</v>
      </c>
      <c r="F132" s="79" t="str">
        <f t="shared" si="12"/>
        <v>EUROCC -Nacionalni centri za kompetencije u okviru Obzor 2020</v>
      </c>
      <c r="G132" s="79" t="str">
        <f t="shared" si="13"/>
        <v>0150</v>
      </c>
      <c r="H132" s="67">
        <v>6247</v>
      </c>
      <c r="I132" s="67"/>
      <c r="J132" s="67"/>
      <c r="K132" s="89" t="s">
        <v>1713</v>
      </c>
      <c r="L132" s="90">
        <v>44075</v>
      </c>
      <c r="M132" s="90">
        <v>45169</v>
      </c>
      <c r="N132" s="89" t="s">
        <v>1714</v>
      </c>
      <c r="O132" s="73" t="s">
        <v>1713</v>
      </c>
      <c r="P132" s="68"/>
      <c r="Q132" s="51"/>
      <c r="R132" s="51" t="str">
        <f t="shared" si="4"/>
        <v>321</v>
      </c>
      <c r="S132" s="51" t="str">
        <f t="shared" si="5"/>
        <v>32</v>
      </c>
      <c r="T132" s="51" t="str">
        <f t="shared" si="6"/>
        <v>15</v>
      </c>
      <c r="U132" s="51"/>
      <c r="V132" s="51"/>
      <c r="W132" s="51"/>
      <c r="X132" s="51"/>
      <c r="Y132" s="51"/>
      <c r="Z132" s="51"/>
      <c r="AA132" s="51"/>
      <c r="AB132" s="51"/>
      <c r="AC132" s="51"/>
      <c r="AD132" s="51" t="s">
        <v>1700</v>
      </c>
      <c r="AE132" s="51" t="s">
        <v>1701</v>
      </c>
      <c r="AF132" s="51" t="str">
        <f t="shared" si="9"/>
        <v>A679072</v>
      </c>
      <c r="AG132" s="51" t="str">
        <f>VLOOKUP(AF132,AKT!$C$4:$E$324,3,FALSE)</f>
        <v>0942</v>
      </c>
    </row>
    <row r="133" spans="1:33" ht="15.75" customHeight="1">
      <c r="A133" s="84">
        <v>52</v>
      </c>
      <c r="B133" s="79" t="str">
        <f t="shared" si="10"/>
        <v>Ostale pomoći</v>
      </c>
      <c r="C133" s="84">
        <v>3222</v>
      </c>
      <c r="D133" s="79" t="str">
        <f t="shared" si="11"/>
        <v>Materijal i sirovine</v>
      </c>
      <c r="E133" s="84" t="s">
        <v>1712</v>
      </c>
      <c r="F133" s="79" t="str">
        <f t="shared" si="12"/>
        <v>EUROCC -Nacionalni centri za kompetencije u okviru Obzor 2020</v>
      </c>
      <c r="G133" s="79" t="str">
        <f t="shared" si="13"/>
        <v>0150</v>
      </c>
      <c r="H133" s="67">
        <v>9718</v>
      </c>
      <c r="I133" s="67"/>
      <c r="J133" s="67"/>
      <c r="K133" s="89" t="s">
        <v>1713</v>
      </c>
      <c r="L133" s="90">
        <v>44075</v>
      </c>
      <c r="M133" s="90">
        <v>45169</v>
      </c>
      <c r="N133" s="89" t="s">
        <v>1714</v>
      </c>
      <c r="O133" s="73" t="s">
        <v>1713</v>
      </c>
      <c r="P133" s="68"/>
      <c r="Q133" s="51"/>
      <c r="R133" s="51" t="str">
        <f t="shared" si="4"/>
        <v>322</v>
      </c>
      <c r="S133" s="51" t="str">
        <f t="shared" si="5"/>
        <v>32</v>
      </c>
      <c r="T133" s="51" t="str">
        <f t="shared" si="6"/>
        <v>15</v>
      </c>
      <c r="U133" s="51"/>
      <c r="V133" s="51"/>
      <c r="W133" s="51"/>
      <c r="X133" s="51"/>
      <c r="Y133" s="51"/>
      <c r="Z133" s="51"/>
      <c r="AA133" s="51"/>
      <c r="AB133" s="51"/>
      <c r="AC133" s="51"/>
      <c r="AD133" s="51" t="s">
        <v>1702</v>
      </c>
      <c r="AE133" s="51" t="s">
        <v>1703</v>
      </c>
      <c r="AF133" s="51" t="str">
        <f t="shared" si="9"/>
        <v>A679072</v>
      </c>
      <c r="AG133" s="51" t="str">
        <f>VLOOKUP(AF133,AKT!$C$4:$E$324,3,FALSE)</f>
        <v>0942</v>
      </c>
    </row>
    <row r="134" spans="1:33" ht="15.75" customHeight="1">
      <c r="A134" s="84">
        <v>52</v>
      </c>
      <c r="B134" s="79" t="str">
        <f t="shared" si="10"/>
        <v>Ostale pomoći</v>
      </c>
      <c r="C134" s="84">
        <v>3232</v>
      </c>
      <c r="D134" s="79" t="str">
        <f t="shared" si="11"/>
        <v>Usluge tekućeg i investicijskog održavanja</v>
      </c>
      <c r="E134" s="84" t="s">
        <v>1712</v>
      </c>
      <c r="F134" s="79" t="str">
        <f t="shared" si="12"/>
        <v>EUROCC -Nacionalni centri za kompetencije u okviru Obzor 2020</v>
      </c>
      <c r="G134" s="79" t="str">
        <f t="shared" si="13"/>
        <v>0150</v>
      </c>
      <c r="H134" s="67">
        <v>8330</v>
      </c>
      <c r="I134" s="67"/>
      <c r="J134" s="67"/>
      <c r="K134" s="89" t="s">
        <v>1713</v>
      </c>
      <c r="L134" s="90">
        <v>44075</v>
      </c>
      <c r="M134" s="90">
        <v>45169</v>
      </c>
      <c r="N134" s="89" t="s">
        <v>1714</v>
      </c>
      <c r="O134" s="73" t="s">
        <v>1713</v>
      </c>
      <c r="P134" s="68"/>
      <c r="Q134" s="51"/>
      <c r="R134" s="51" t="str">
        <f t="shared" si="4"/>
        <v>323</v>
      </c>
      <c r="S134" s="51" t="str">
        <f t="shared" si="5"/>
        <v>32</v>
      </c>
      <c r="T134" s="51" t="str">
        <f t="shared" si="6"/>
        <v>15</v>
      </c>
      <c r="U134" s="51"/>
      <c r="V134" s="51"/>
      <c r="W134" s="51"/>
      <c r="X134" s="51"/>
      <c r="Y134" s="51"/>
      <c r="Z134" s="51"/>
      <c r="AA134" s="51"/>
      <c r="AB134" s="51"/>
      <c r="AC134" s="51"/>
      <c r="AD134" s="51" t="s">
        <v>1704</v>
      </c>
      <c r="AE134" s="51" t="s">
        <v>1705</v>
      </c>
      <c r="AF134" s="51" t="str">
        <f t="shared" si="9"/>
        <v>A679072</v>
      </c>
      <c r="AG134" s="51" t="str">
        <f>VLOOKUP(AF134,AKT!$C$4:$E$324,3,FALSE)</f>
        <v>0942</v>
      </c>
    </row>
    <row r="135" spans="1:33" ht="15.75" customHeight="1">
      <c r="A135" s="84">
        <v>52</v>
      </c>
      <c r="B135" s="79" t="str">
        <f t="shared" si="10"/>
        <v>Ostale pomoći</v>
      </c>
      <c r="C135" s="84">
        <v>3237</v>
      </c>
      <c r="D135" s="79" t="str">
        <f t="shared" si="11"/>
        <v>Intelektualne i osobne usluge</v>
      </c>
      <c r="E135" s="84" t="s">
        <v>1712</v>
      </c>
      <c r="F135" s="79" t="str">
        <f t="shared" si="12"/>
        <v>EUROCC -Nacionalni centri za kompetencije u okviru Obzor 2020</v>
      </c>
      <c r="G135" s="79" t="str">
        <f t="shared" si="13"/>
        <v>0150</v>
      </c>
      <c r="H135" s="67">
        <v>6942</v>
      </c>
      <c r="I135" s="67"/>
      <c r="J135" s="67"/>
      <c r="K135" s="89" t="s">
        <v>1713</v>
      </c>
      <c r="L135" s="90">
        <v>44075</v>
      </c>
      <c r="M135" s="90">
        <v>45169</v>
      </c>
      <c r="N135" s="89" t="s">
        <v>1714</v>
      </c>
      <c r="O135" s="73" t="s">
        <v>1713</v>
      </c>
      <c r="P135" s="68"/>
      <c r="Q135" s="51"/>
      <c r="R135" s="51" t="str">
        <f t="shared" si="4"/>
        <v>323</v>
      </c>
      <c r="S135" s="51" t="str">
        <f t="shared" si="5"/>
        <v>32</v>
      </c>
      <c r="T135" s="51" t="str">
        <f t="shared" si="6"/>
        <v>15</v>
      </c>
      <c r="U135" s="51"/>
      <c r="V135" s="51"/>
      <c r="W135" s="51"/>
      <c r="X135" s="51"/>
      <c r="Y135" s="51"/>
      <c r="Z135" s="51"/>
      <c r="AA135" s="51"/>
      <c r="AB135" s="51"/>
      <c r="AC135" s="51"/>
      <c r="AD135" s="51" t="s">
        <v>1706</v>
      </c>
      <c r="AE135" s="51" t="s">
        <v>1707</v>
      </c>
      <c r="AF135" s="51" t="str">
        <f t="shared" si="9"/>
        <v>A679072</v>
      </c>
      <c r="AG135" s="51" t="str">
        <f>VLOOKUP(AF135,AKT!$C$4:$E$324,3,FALSE)</f>
        <v>0942</v>
      </c>
    </row>
    <row r="136" spans="1:33" ht="15.75" customHeight="1">
      <c r="A136" s="84">
        <v>52</v>
      </c>
      <c r="B136" s="79" t="str">
        <f t="shared" si="10"/>
        <v>Ostale pomoći</v>
      </c>
      <c r="C136" s="84">
        <v>3299</v>
      </c>
      <c r="D136" s="79" t="str">
        <f t="shared" si="11"/>
        <v>Ostali nespomenuti rashodi poslovanja</v>
      </c>
      <c r="E136" s="84" t="s">
        <v>1712</v>
      </c>
      <c r="F136" s="79" t="str">
        <f t="shared" si="12"/>
        <v>EUROCC -Nacionalni centri za kompetencije u okviru Obzor 2020</v>
      </c>
      <c r="G136" s="79" t="str">
        <f t="shared" si="13"/>
        <v>0150</v>
      </c>
      <c r="H136" s="67">
        <v>8330</v>
      </c>
      <c r="I136" s="67"/>
      <c r="J136" s="67"/>
      <c r="K136" s="89" t="s">
        <v>1713</v>
      </c>
      <c r="L136" s="90">
        <v>44075</v>
      </c>
      <c r="M136" s="90">
        <v>45169</v>
      </c>
      <c r="N136" s="89" t="s">
        <v>1714</v>
      </c>
      <c r="O136" s="73" t="s">
        <v>1713</v>
      </c>
      <c r="P136" s="68"/>
      <c r="Q136" s="51"/>
      <c r="R136" s="51" t="str">
        <f t="shared" si="4"/>
        <v>329</v>
      </c>
      <c r="S136" s="51" t="str">
        <f t="shared" si="5"/>
        <v>32</v>
      </c>
      <c r="T136" s="51" t="str">
        <f t="shared" si="6"/>
        <v>15</v>
      </c>
      <c r="U136" s="51"/>
      <c r="V136" s="51"/>
      <c r="W136" s="51"/>
      <c r="X136" s="51"/>
      <c r="Y136" s="51"/>
      <c r="Z136" s="51"/>
      <c r="AA136" s="51"/>
      <c r="AB136" s="51"/>
      <c r="AC136" s="51"/>
      <c r="AD136" s="51" t="s">
        <v>1708</v>
      </c>
      <c r="AE136" s="51" t="s">
        <v>1709</v>
      </c>
      <c r="AF136" s="51" t="str">
        <f t="shared" si="9"/>
        <v>A679072</v>
      </c>
      <c r="AG136" s="51" t="str">
        <f>VLOOKUP(AF136,AKT!$C$4:$E$324,3,FALSE)</f>
        <v>0942</v>
      </c>
    </row>
    <row r="137" spans="1:33" ht="15.75" customHeight="1">
      <c r="A137" s="84">
        <v>52</v>
      </c>
      <c r="B137" s="79" t="str">
        <f t="shared" si="10"/>
        <v>Ostale pomoći</v>
      </c>
      <c r="C137" s="84">
        <v>4224</v>
      </c>
      <c r="D137" s="79" t="str">
        <f t="shared" si="11"/>
        <v>Medicinska i laboratorijska oprema</v>
      </c>
      <c r="E137" s="84" t="s">
        <v>1712</v>
      </c>
      <c r="F137" s="79" t="str">
        <f t="shared" si="12"/>
        <v>EUROCC -Nacionalni centri za kompetencije u okviru Obzor 2020</v>
      </c>
      <c r="G137" s="79" t="str">
        <f t="shared" si="13"/>
        <v>0150</v>
      </c>
      <c r="H137" s="67">
        <v>13884</v>
      </c>
      <c r="I137" s="67"/>
      <c r="J137" s="67"/>
      <c r="K137" s="89" t="s">
        <v>1713</v>
      </c>
      <c r="L137" s="90">
        <v>44075</v>
      </c>
      <c r="M137" s="90">
        <v>45169</v>
      </c>
      <c r="N137" s="89" t="s">
        <v>1714</v>
      </c>
      <c r="O137" s="73" t="s">
        <v>1713</v>
      </c>
      <c r="P137" s="68"/>
      <c r="Q137" s="51"/>
      <c r="R137" s="51" t="str">
        <f t="shared" si="4"/>
        <v>422</v>
      </c>
      <c r="S137" s="51" t="str">
        <f t="shared" si="5"/>
        <v>42</v>
      </c>
      <c r="T137" s="51" t="str">
        <f t="shared" si="6"/>
        <v>15</v>
      </c>
      <c r="U137" s="51"/>
      <c r="V137" s="51"/>
      <c r="W137" s="51"/>
      <c r="X137" s="51"/>
      <c r="Y137" s="51"/>
      <c r="Z137" s="51"/>
      <c r="AA137" s="51"/>
      <c r="AB137" s="51"/>
      <c r="AC137" s="51"/>
      <c r="AD137" s="51" t="s">
        <v>1710</v>
      </c>
      <c r="AE137" s="51" t="s">
        <v>1711</v>
      </c>
      <c r="AF137" s="51" t="str">
        <f t="shared" si="9"/>
        <v>A679072</v>
      </c>
      <c r="AG137" s="51" t="str">
        <f>VLOOKUP(AF137,AKT!$C$4:$E$324,3,FALSE)</f>
        <v>0942</v>
      </c>
    </row>
    <row r="138" spans="1:33" ht="15.75" customHeight="1">
      <c r="A138" s="84">
        <v>52</v>
      </c>
      <c r="B138" s="79" t="str">
        <f t="shared" si="10"/>
        <v>Ostale pomoći</v>
      </c>
      <c r="C138" s="84">
        <v>3111</v>
      </c>
      <c r="D138" s="79" t="str">
        <f t="shared" si="11"/>
        <v>Plaće za redovan rad</v>
      </c>
      <c r="E138" s="84" t="s">
        <v>1693</v>
      </c>
      <c r="F138" s="79" t="str">
        <f t="shared" si="12"/>
        <v>STIM-REI</v>
      </c>
      <c r="G138" s="79" t="str">
        <f t="shared" si="13"/>
        <v>0150</v>
      </c>
      <c r="H138" s="67">
        <v>10104</v>
      </c>
      <c r="I138" s="67"/>
      <c r="J138" s="67"/>
      <c r="K138" s="89" t="s">
        <v>1694</v>
      </c>
      <c r="L138" s="90">
        <v>43023</v>
      </c>
      <c r="M138" s="90">
        <v>44849</v>
      </c>
      <c r="N138" s="89" t="s">
        <v>1695</v>
      </c>
      <c r="O138" s="73" t="s">
        <v>1694</v>
      </c>
      <c r="P138" s="68"/>
      <c r="Q138" s="51"/>
      <c r="R138" s="51" t="str">
        <f t="shared" si="4"/>
        <v>311</v>
      </c>
      <c r="S138" s="51" t="str">
        <f t="shared" si="5"/>
        <v>31</v>
      </c>
      <c r="T138" s="51" t="str">
        <f t="shared" si="6"/>
        <v>15</v>
      </c>
      <c r="U138" s="51"/>
      <c r="V138" s="51"/>
      <c r="W138" s="51"/>
      <c r="X138" s="51"/>
      <c r="Y138" s="51"/>
      <c r="Z138" s="51"/>
      <c r="AA138" s="51"/>
      <c r="AB138" s="51"/>
      <c r="AC138" s="51"/>
      <c r="AD138" s="51" t="s">
        <v>1715</v>
      </c>
      <c r="AE138" s="51" t="s">
        <v>1716</v>
      </c>
      <c r="AF138" s="51" t="str">
        <f t="shared" si="9"/>
        <v>A679072</v>
      </c>
      <c r="AG138" s="51" t="str">
        <f>VLOOKUP(AF138,AKT!$C$4:$E$324,3,FALSE)</f>
        <v>0942</v>
      </c>
    </row>
    <row r="139" spans="1:33" ht="15.75" customHeight="1">
      <c r="A139" s="84">
        <v>52</v>
      </c>
      <c r="B139" s="79" t="str">
        <f t="shared" si="10"/>
        <v>Ostale pomoći</v>
      </c>
      <c r="C139" s="84">
        <v>3132</v>
      </c>
      <c r="D139" s="79" t="str">
        <f t="shared" si="11"/>
        <v>Doprinosi za obvezno zdravstveno osiguranje</v>
      </c>
      <c r="E139" s="84" t="s">
        <v>1693</v>
      </c>
      <c r="F139" s="79" t="str">
        <f t="shared" si="12"/>
        <v>STIM-REI</v>
      </c>
      <c r="G139" s="79" t="str">
        <f t="shared" si="13"/>
        <v>0150</v>
      </c>
      <c r="H139" s="67">
        <v>1518</v>
      </c>
      <c r="I139" s="67"/>
      <c r="J139" s="67"/>
      <c r="K139" s="89" t="s">
        <v>1694</v>
      </c>
      <c r="L139" s="90">
        <v>43023</v>
      </c>
      <c r="M139" s="90">
        <v>44849</v>
      </c>
      <c r="N139" s="89" t="s">
        <v>1695</v>
      </c>
      <c r="O139" s="73" t="s">
        <v>1694</v>
      </c>
      <c r="P139" s="68"/>
      <c r="Q139" s="51"/>
      <c r="R139" s="51" t="str">
        <f t="shared" si="4"/>
        <v>313</v>
      </c>
      <c r="S139" s="51" t="str">
        <f t="shared" si="5"/>
        <v>31</v>
      </c>
      <c r="T139" s="51" t="str">
        <f t="shared" si="6"/>
        <v>15</v>
      </c>
      <c r="U139" s="51"/>
      <c r="V139" s="51"/>
      <c r="W139" s="51"/>
      <c r="X139" s="51"/>
      <c r="Y139" s="51"/>
      <c r="Z139" s="51"/>
      <c r="AA139" s="51"/>
      <c r="AB139" s="51"/>
      <c r="AC139" s="51"/>
      <c r="AD139" s="51" t="s">
        <v>1717</v>
      </c>
      <c r="AE139" s="51" t="s">
        <v>1718</v>
      </c>
      <c r="AF139" s="51" t="str">
        <f t="shared" si="9"/>
        <v>A679072</v>
      </c>
      <c r="AG139" s="51" t="str">
        <f>VLOOKUP(AF139,AKT!$C$4:$E$324,3,FALSE)</f>
        <v>0942</v>
      </c>
    </row>
    <row r="140" spans="1:33" ht="15.75" customHeight="1">
      <c r="A140" s="84">
        <v>52</v>
      </c>
      <c r="B140" s="79" t="str">
        <f t="shared" si="10"/>
        <v>Ostale pomoći</v>
      </c>
      <c r="C140" s="84">
        <v>3211</v>
      </c>
      <c r="D140" s="79" t="str">
        <f t="shared" si="11"/>
        <v>Službena putovanja</v>
      </c>
      <c r="E140" s="84" t="s">
        <v>1693</v>
      </c>
      <c r="F140" s="79" t="str">
        <f t="shared" si="12"/>
        <v>STIM-REI</v>
      </c>
      <c r="G140" s="79" t="str">
        <f t="shared" si="13"/>
        <v>0150</v>
      </c>
      <c r="H140" s="67">
        <v>4547</v>
      </c>
      <c r="I140" s="67"/>
      <c r="J140" s="67"/>
      <c r="K140" s="89" t="s">
        <v>1694</v>
      </c>
      <c r="L140" s="90">
        <v>43023</v>
      </c>
      <c r="M140" s="90">
        <v>44849</v>
      </c>
      <c r="N140" s="89" t="s">
        <v>1695</v>
      </c>
      <c r="O140" s="73" t="s">
        <v>1694</v>
      </c>
      <c r="P140" s="68"/>
      <c r="Q140" s="51"/>
      <c r="R140" s="51" t="str">
        <f t="shared" si="4"/>
        <v>321</v>
      </c>
      <c r="S140" s="51" t="str">
        <f t="shared" si="5"/>
        <v>32</v>
      </c>
      <c r="T140" s="51" t="str">
        <f t="shared" si="6"/>
        <v>15</v>
      </c>
      <c r="U140" s="51"/>
      <c r="V140" s="51"/>
      <c r="W140" s="51"/>
      <c r="X140" s="51"/>
      <c r="Y140" s="51"/>
      <c r="Z140" s="51"/>
      <c r="AA140" s="51"/>
      <c r="AB140" s="51"/>
      <c r="AC140" s="51"/>
      <c r="AD140" s="51" t="s">
        <v>1719</v>
      </c>
      <c r="AE140" s="51" t="s">
        <v>1720</v>
      </c>
      <c r="AF140" s="51" t="str">
        <f t="shared" si="9"/>
        <v>A679072</v>
      </c>
      <c r="AG140" s="51" t="str">
        <f>VLOOKUP(AF140,AKT!$C$4:$E$324,3,FALSE)</f>
        <v>0942</v>
      </c>
    </row>
    <row r="141" spans="1:33" ht="15.75" customHeight="1">
      <c r="A141" s="84">
        <v>52</v>
      </c>
      <c r="B141" s="79" t="str">
        <f t="shared" si="10"/>
        <v>Ostale pomoći</v>
      </c>
      <c r="C141" s="84">
        <v>3222</v>
      </c>
      <c r="D141" s="79" t="str">
        <f t="shared" si="11"/>
        <v>Materijal i sirovine</v>
      </c>
      <c r="E141" s="84" t="s">
        <v>1693</v>
      </c>
      <c r="F141" s="79" t="str">
        <f t="shared" si="12"/>
        <v>STIM-REI</v>
      </c>
      <c r="G141" s="79" t="str">
        <f t="shared" si="13"/>
        <v>0150</v>
      </c>
      <c r="H141" s="67">
        <v>7073</v>
      </c>
      <c r="I141" s="67"/>
      <c r="J141" s="67"/>
      <c r="K141" s="89" t="s">
        <v>1694</v>
      </c>
      <c r="L141" s="90">
        <v>43023</v>
      </c>
      <c r="M141" s="90">
        <v>44849</v>
      </c>
      <c r="N141" s="89" t="s">
        <v>1695</v>
      </c>
      <c r="O141" s="73" t="s">
        <v>1694</v>
      </c>
      <c r="P141" s="68"/>
      <c r="Q141" s="51"/>
      <c r="R141" s="51" t="str">
        <f t="shared" si="4"/>
        <v>322</v>
      </c>
      <c r="S141" s="51" t="str">
        <f t="shared" si="5"/>
        <v>32</v>
      </c>
      <c r="T141" s="51" t="str">
        <f t="shared" si="6"/>
        <v>15</v>
      </c>
      <c r="U141" s="51"/>
      <c r="V141" s="51"/>
      <c r="W141" s="51"/>
      <c r="X141" s="51"/>
      <c r="Y141" s="51"/>
      <c r="Z141" s="51"/>
      <c r="AA141" s="51"/>
      <c r="AB141" s="51"/>
      <c r="AC141" s="51"/>
      <c r="AD141" s="51" t="s">
        <v>1721</v>
      </c>
      <c r="AE141" s="51" t="s">
        <v>1722</v>
      </c>
      <c r="AF141" s="51" t="str">
        <f t="shared" si="9"/>
        <v>A679072</v>
      </c>
      <c r="AG141" s="51" t="str">
        <f>VLOOKUP(AF141,AKT!$C$4:$E$324,3,FALSE)</f>
        <v>0942</v>
      </c>
    </row>
    <row r="142" spans="1:33" ht="15.75" customHeight="1">
      <c r="A142" s="84">
        <v>52</v>
      </c>
      <c r="B142" s="79" t="str">
        <f t="shared" si="10"/>
        <v>Ostale pomoći</v>
      </c>
      <c r="C142" s="84">
        <v>3232</v>
      </c>
      <c r="D142" s="79" t="str">
        <f t="shared" si="11"/>
        <v>Usluge tekućeg i investicijskog održavanja</v>
      </c>
      <c r="E142" s="84" t="s">
        <v>1693</v>
      </c>
      <c r="F142" s="79" t="str">
        <f t="shared" si="12"/>
        <v>STIM-REI</v>
      </c>
      <c r="G142" s="79" t="str">
        <f t="shared" si="13"/>
        <v>0150</v>
      </c>
      <c r="H142" s="67">
        <v>6063</v>
      </c>
      <c r="I142" s="67"/>
      <c r="J142" s="67"/>
      <c r="K142" s="89" t="s">
        <v>1694</v>
      </c>
      <c r="L142" s="90">
        <v>43023</v>
      </c>
      <c r="M142" s="90">
        <v>44849</v>
      </c>
      <c r="N142" s="89" t="s">
        <v>1695</v>
      </c>
      <c r="O142" s="73" t="s">
        <v>1694</v>
      </c>
      <c r="P142" s="68"/>
      <c r="Q142" s="51"/>
      <c r="R142" s="51" t="str">
        <f t="shared" si="4"/>
        <v>323</v>
      </c>
      <c r="S142" s="51" t="str">
        <f t="shared" si="5"/>
        <v>32</v>
      </c>
      <c r="T142" s="51" t="str">
        <f t="shared" si="6"/>
        <v>15</v>
      </c>
      <c r="U142" s="51"/>
      <c r="V142" s="51"/>
      <c r="W142" s="51"/>
      <c r="X142" s="51"/>
      <c r="Y142" s="51"/>
      <c r="Z142" s="51"/>
      <c r="AA142" s="51"/>
      <c r="AB142" s="51"/>
      <c r="AC142" s="51"/>
      <c r="AD142" s="51" t="s">
        <v>1723</v>
      </c>
      <c r="AE142" s="51" t="s">
        <v>1724</v>
      </c>
      <c r="AF142" s="51" t="str">
        <f t="shared" si="9"/>
        <v>A679072</v>
      </c>
      <c r="AG142" s="51" t="str">
        <f>VLOOKUP(AF142,AKT!$C$4:$E$324,3,FALSE)</f>
        <v>0942</v>
      </c>
    </row>
    <row r="143" spans="1:33" ht="15.75" customHeight="1">
      <c r="A143" s="84">
        <v>52</v>
      </c>
      <c r="B143" s="79" t="str">
        <f t="shared" si="10"/>
        <v>Ostale pomoći</v>
      </c>
      <c r="C143" s="84">
        <v>3237</v>
      </c>
      <c r="D143" s="79" t="str">
        <f t="shared" si="11"/>
        <v>Intelektualne i osobne usluge</v>
      </c>
      <c r="E143" s="84" t="s">
        <v>1693</v>
      </c>
      <c r="F143" s="79" t="str">
        <f t="shared" si="12"/>
        <v>STIM-REI</v>
      </c>
      <c r="G143" s="79" t="str">
        <f t="shared" si="13"/>
        <v>0150</v>
      </c>
      <c r="H143" s="67">
        <v>5052</v>
      </c>
      <c r="I143" s="67"/>
      <c r="J143" s="67"/>
      <c r="K143" s="89" t="s">
        <v>1694</v>
      </c>
      <c r="L143" s="90">
        <v>43023</v>
      </c>
      <c r="M143" s="90">
        <v>44849</v>
      </c>
      <c r="N143" s="89" t="s">
        <v>1695</v>
      </c>
      <c r="O143" s="73" t="s">
        <v>1694</v>
      </c>
      <c r="P143" s="68"/>
      <c r="Q143" s="51"/>
      <c r="R143" s="51" t="str">
        <f t="shared" si="4"/>
        <v>323</v>
      </c>
      <c r="S143" s="51" t="str">
        <f t="shared" si="5"/>
        <v>32</v>
      </c>
      <c r="T143" s="51" t="str">
        <f t="shared" si="6"/>
        <v>15</v>
      </c>
      <c r="U143" s="51"/>
      <c r="V143" s="51"/>
      <c r="W143" s="51"/>
      <c r="X143" s="51"/>
      <c r="Y143" s="51"/>
      <c r="Z143" s="51"/>
      <c r="AA143" s="51"/>
      <c r="AB143" s="51"/>
      <c r="AC143" s="51"/>
      <c r="AD143" s="51" t="s">
        <v>1725</v>
      </c>
      <c r="AE143" s="51" t="s">
        <v>1726</v>
      </c>
      <c r="AF143" s="51" t="str">
        <f t="shared" si="9"/>
        <v>A679072</v>
      </c>
      <c r="AG143" s="51" t="str">
        <f>VLOOKUP(AF143,AKT!$C$4:$E$324,3,FALSE)</f>
        <v>0942</v>
      </c>
    </row>
    <row r="144" spans="1:33" ht="15.75" customHeight="1">
      <c r="A144" s="84">
        <v>52</v>
      </c>
      <c r="B144" s="79" t="str">
        <f t="shared" si="10"/>
        <v>Ostale pomoći</v>
      </c>
      <c r="C144" s="84">
        <v>3299</v>
      </c>
      <c r="D144" s="79" t="str">
        <f t="shared" si="11"/>
        <v>Ostali nespomenuti rashodi poslovanja</v>
      </c>
      <c r="E144" s="84" t="s">
        <v>1693</v>
      </c>
      <c r="F144" s="79" t="str">
        <f t="shared" si="12"/>
        <v>STIM-REI</v>
      </c>
      <c r="G144" s="79" t="str">
        <f t="shared" si="13"/>
        <v>0150</v>
      </c>
      <c r="H144" s="67">
        <v>6063</v>
      </c>
      <c r="I144" s="67"/>
      <c r="J144" s="67"/>
      <c r="K144" s="89" t="s">
        <v>1694</v>
      </c>
      <c r="L144" s="90">
        <v>43023</v>
      </c>
      <c r="M144" s="90">
        <v>44849</v>
      </c>
      <c r="N144" s="89" t="s">
        <v>1695</v>
      </c>
      <c r="O144" s="73" t="s">
        <v>1694</v>
      </c>
      <c r="P144" s="68"/>
      <c r="Q144" s="51"/>
      <c r="R144" s="51" t="str">
        <f t="shared" si="4"/>
        <v>329</v>
      </c>
      <c r="S144" s="51" t="str">
        <f t="shared" si="5"/>
        <v>32</v>
      </c>
      <c r="T144" s="51" t="str">
        <f t="shared" si="6"/>
        <v>15</v>
      </c>
      <c r="U144" s="51"/>
      <c r="V144" s="51"/>
      <c r="W144" s="51"/>
      <c r="X144" s="51"/>
      <c r="Y144" s="51"/>
      <c r="Z144" s="51"/>
      <c r="AA144" s="51"/>
      <c r="AB144" s="51"/>
      <c r="AC144" s="51"/>
      <c r="AD144" s="51" t="s">
        <v>1727</v>
      </c>
      <c r="AE144" s="51" t="s">
        <v>1728</v>
      </c>
      <c r="AF144" s="51" t="str">
        <f t="shared" si="9"/>
        <v>A679072</v>
      </c>
      <c r="AG144" s="51" t="str">
        <f>VLOOKUP(AF144,AKT!$C$4:$E$324,3,FALSE)</f>
        <v>0942</v>
      </c>
    </row>
    <row r="145" spans="1:33" ht="15.75" customHeight="1">
      <c r="A145" s="84">
        <v>52</v>
      </c>
      <c r="B145" s="79" t="str">
        <f t="shared" si="10"/>
        <v>Ostale pomoći</v>
      </c>
      <c r="C145" s="84">
        <v>4224</v>
      </c>
      <c r="D145" s="79" t="str">
        <f t="shared" si="11"/>
        <v>Medicinska i laboratorijska oprema</v>
      </c>
      <c r="E145" s="84" t="s">
        <v>1693</v>
      </c>
      <c r="F145" s="79" t="str">
        <f t="shared" si="12"/>
        <v>STIM-REI</v>
      </c>
      <c r="G145" s="79" t="str">
        <f t="shared" si="13"/>
        <v>0150</v>
      </c>
      <c r="H145" s="67">
        <v>10102</v>
      </c>
      <c r="I145" s="67"/>
      <c r="J145" s="67"/>
      <c r="K145" s="89" t="s">
        <v>1694</v>
      </c>
      <c r="L145" s="90">
        <v>43023</v>
      </c>
      <c r="M145" s="90">
        <v>44849</v>
      </c>
      <c r="N145" s="89" t="s">
        <v>1695</v>
      </c>
      <c r="O145" s="73" t="s">
        <v>1694</v>
      </c>
      <c r="P145" s="68"/>
      <c r="Q145" s="51"/>
      <c r="R145" s="51" t="str">
        <f t="shared" si="4"/>
        <v>422</v>
      </c>
      <c r="S145" s="51" t="str">
        <f t="shared" si="5"/>
        <v>42</v>
      </c>
      <c r="T145" s="51" t="str">
        <f t="shared" si="6"/>
        <v>15</v>
      </c>
      <c r="U145" s="51"/>
      <c r="V145" s="51"/>
      <c r="W145" s="51"/>
      <c r="X145" s="51"/>
      <c r="Y145" s="51"/>
      <c r="Z145" s="51"/>
      <c r="AA145" s="51"/>
      <c r="AB145" s="51"/>
      <c r="AC145" s="51"/>
      <c r="AD145" s="51" t="s">
        <v>1729</v>
      </c>
      <c r="AE145" s="51" t="s">
        <v>1730</v>
      </c>
      <c r="AF145" s="51" t="str">
        <f t="shared" si="9"/>
        <v>A679072</v>
      </c>
      <c r="AG145" s="51" t="str">
        <f>VLOOKUP(AF145,AKT!$C$4:$E$324,3,FALSE)</f>
        <v>0942</v>
      </c>
    </row>
    <row r="146" spans="1:33" ht="15.75" customHeight="1">
      <c r="A146" s="84">
        <v>52</v>
      </c>
      <c r="B146" s="79" t="str">
        <f t="shared" si="10"/>
        <v>Ostale pomoći</v>
      </c>
      <c r="C146" s="84">
        <v>3111</v>
      </c>
      <c r="D146" s="79" t="str">
        <f t="shared" si="11"/>
        <v>Plaće za redovan rad</v>
      </c>
      <c r="E146" s="84" t="s">
        <v>5374</v>
      </c>
      <c r="F146" s="79" t="s">
        <v>5375</v>
      </c>
      <c r="G146" s="79" t="s">
        <v>668</v>
      </c>
      <c r="H146" s="67">
        <v>9297</v>
      </c>
      <c r="I146" s="67"/>
      <c r="J146" s="67"/>
      <c r="K146" s="89" t="s">
        <v>1731</v>
      </c>
      <c r="L146" s="90">
        <v>43983</v>
      </c>
      <c r="M146" s="90">
        <v>45078</v>
      </c>
      <c r="N146" s="89" t="s">
        <v>1732</v>
      </c>
      <c r="O146" s="73" t="s">
        <v>1731</v>
      </c>
      <c r="P146" s="68"/>
      <c r="Q146" s="51"/>
      <c r="R146" s="51" t="str">
        <f t="shared" si="4"/>
        <v>311</v>
      </c>
      <c r="S146" s="51" t="str">
        <f t="shared" si="5"/>
        <v>31</v>
      </c>
      <c r="T146" s="51" t="str">
        <f t="shared" si="6"/>
        <v>94</v>
      </c>
      <c r="U146" s="51"/>
      <c r="V146" s="51"/>
      <c r="W146" s="51"/>
      <c r="X146" s="51"/>
      <c r="Y146" s="51"/>
      <c r="Z146" s="51"/>
      <c r="AA146" s="51"/>
      <c r="AB146" s="51"/>
      <c r="AC146" s="51"/>
      <c r="AD146" s="51" t="s">
        <v>1733</v>
      </c>
      <c r="AE146" s="51" t="s">
        <v>1734</v>
      </c>
      <c r="AF146" s="51" t="str">
        <f t="shared" si="9"/>
        <v>A679072</v>
      </c>
      <c r="AG146" s="51" t="str">
        <f>VLOOKUP(AF146,AKT!$C$4:$E$324,3,FALSE)</f>
        <v>0942</v>
      </c>
    </row>
    <row r="147" spans="1:33" ht="15.75" customHeight="1">
      <c r="A147" s="84">
        <v>52</v>
      </c>
      <c r="B147" s="79" t="str">
        <f t="shared" si="10"/>
        <v>Ostale pomoći</v>
      </c>
      <c r="C147" s="84">
        <v>3132</v>
      </c>
      <c r="D147" s="79" t="str">
        <f t="shared" si="11"/>
        <v>Doprinosi za obvezno zdravstveno osiguranje</v>
      </c>
      <c r="E147" s="84" t="s">
        <v>5374</v>
      </c>
      <c r="F147" s="79" t="s">
        <v>5375</v>
      </c>
      <c r="G147" s="79" t="s">
        <v>668</v>
      </c>
      <c r="H147" s="67">
        <v>1395</v>
      </c>
      <c r="I147" s="67"/>
      <c r="J147" s="67"/>
      <c r="K147" s="89" t="s">
        <v>1731</v>
      </c>
      <c r="L147" s="90">
        <v>43983</v>
      </c>
      <c r="M147" s="90">
        <v>45078</v>
      </c>
      <c r="N147" s="89" t="s">
        <v>1732</v>
      </c>
      <c r="O147" s="73" t="s">
        <v>1731</v>
      </c>
      <c r="P147" s="68"/>
      <c r="Q147" s="51"/>
      <c r="R147" s="51" t="str">
        <f t="shared" si="4"/>
        <v>313</v>
      </c>
      <c r="S147" s="51" t="str">
        <f t="shared" si="5"/>
        <v>31</v>
      </c>
      <c r="T147" s="51" t="str">
        <f t="shared" si="6"/>
        <v>94</v>
      </c>
      <c r="U147" s="51"/>
      <c r="V147" s="51"/>
      <c r="W147" s="51"/>
      <c r="X147" s="51"/>
      <c r="Y147" s="51"/>
      <c r="Z147" s="51"/>
      <c r="AA147" s="51"/>
      <c r="AB147" s="51"/>
      <c r="AC147" s="51"/>
      <c r="AD147" s="51" t="s">
        <v>1735</v>
      </c>
      <c r="AE147" s="51" t="s">
        <v>1736</v>
      </c>
      <c r="AF147" s="51" t="str">
        <f t="shared" si="9"/>
        <v>A679072</v>
      </c>
      <c r="AG147" s="51" t="str">
        <f>VLOOKUP(AF147,AKT!$C$4:$E$324,3,FALSE)</f>
        <v>0942</v>
      </c>
    </row>
    <row r="148" spans="1:33" ht="15.75" customHeight="1">
      <c r="A148" s="84">
        <v>52</v>
      </c>
      <c r="B148" s="79" t="str">
        <f t="shared" si="10"/>
        <v>Ostale pomoći</v>
      </c>
      <c r="C148" s="84">
        <v>3211</v>
      </c>
      <c r="D148" s="79" t="str">
        <f t="shared" si="11"/>
        <v>Službena putovanja</v>
      </c>
      <c r="E148" s="84" t="s">
        <v>5374</v>
      </c>
      <c r="F148" s="79" t="s">
        <v>5375</v>
      </c>
      <c r="G148" s="79" t="s">
        <v>668</v>
      </c>
      <c r="H148" s="67">
        <v>4184</v>
      </c>
      <c r="I148" s="67"/>
      <c r="J148" s="67"/>
      <c r="K148" s="89" t="s">
        <v>1731</v>
      </c>
      <c r="L148" s="90">
        <v>43983</v>
      </c>
      <c r="M148" s="90">
        <v>45078</v>
      </c>
      <c r="N148" s="89" t="s">
        <v>1732</v>
      </c>
      <c r="O148" s="73" t="s">
        <v>1731</v>
      </c>
      <c r="P148" s="68"/>
      <c r="Q148" s="51"/>
      <c r="R148" s="51" t="str">
        <f t="shared" si="4"/>
        <v>321</v>
      </c>
      <c r="S148" s="51" t="str">
        <f t="shared" si="5"/>
        <v>32</v>
      </c>
      <c r="T148" s="51" t="str">
        <f t="shared" si="6"/>
        <v>94</v>
      </c>
      <c r="U148" s="51"/>
      <c r="V148" s="51"/>
      <c r="W148" s="51"/>
      <c r="X148" s="51"/>
      <c r="Y148" s="51"/>
      <c r="Z148" s="51"/>
      <c r="AA148" s="51"/>
      <c r="AB148" s="51"/>
      <c r="AC148" s="51"/>
      <c r="AD148" s="51" t="s">
        <v>1737</v>
      </c>
      <c r="AE148" s="51" t="s">
        <v>1738</v>
      </c>
      <c r="AF148" s="51" t="str">
        <f t="shared" si="9"/>
        <v>A679072</v>
      </c>
      <c r="AG148" s="51" t="str">
        <f>VLOOKUP(AF148,AKT!$C$4:$E$324,3,FALSE)</f>
        <v>0942</v>
      </c>
    </row>
    <row r="149" spans="1:33" ht="15.75" customHeight="1">
      <c r="A149" s="84">
        <v>52</v>
      </c>
      <c r="B149" s="79" t="str">
        <f t="shared" si="10"/>
        <v>Ostale pomoći</v>
      </c>
      <c r="C149" s="84">
        <v>3222</v>
      </c>
      <c r="D149" s="79" t="str">
        <f t="shared" si="11"/>
        <v>Materijal i sirovine</v>
      </c>
      <c r="E149" s="84" t="s">
        <v>5374</v>
      </c>
      <c r="F149" s="79" t="s">
        <v>5375</v>
      </c>
      <c r="G149" s="79" t="s">
        <v>668</v>
      </c>
      <c r="H149" s="67">
        <v>6508</v>
      </c>
      <c r="I149" s="67"/>
      <c r="J149" s="67"/>
      <c r="K149" s="89" t="s">
        <v>1731</v>
      </c>
      <c r="L149" s="90">
        <v>43983</v>
      </c>
      <c r="M149" s="90">
        <v>45078</v>
      </c>
      <c r="N149" s="89" t="s">
        <v>1732</v>
      </c>
      <c r="O149" s="73" t="s">
        <v>1731</v>
      </c>
      <c r="P149" s="68"/>
      <c r="Q149" s="51"/>
      <c r="R149" s="51" t="str">
        <f t="shared" si="4"/>
        <v>322</v>
      </c>
      <c r="S149" s="51" t="str">
        <f t="shared" si="5"/>
        <v>32</v>
      </c>
      <c r="T149" s="51" t="str">
        <f t="shared" si="6"/>
        <v>94</v>
      </c>
      <c r="U149" s="51"/>
      <c r="V149" s="51"/>
      <c r="W149" s="51"/>
      <c r="X149" s="51"/>
      <c r="Y149" s="51"/>
      <c r="Z149" s="51"/>
      <c r="AA149" s="51"/>
      <c r="AB149" s="51"/>
      <c r="AC149" s="51"/>
      <c r="AD149" s="51" t="s">
        <v>1739</v>
      </c>
      <c r="AE149" s="51" t="s">
        <v>1740</v>
      </c>
      <c r="AF149" s="51" t="str">
        <f t="shared" si="9"/>
        <v>A679072</v>
      </c>
      <c r="AG149" s="51" t="str">
        <f>VLOOKUP(AF149,AKT!$C$4:$E$324,3,FALSE)</f>
        <v>0942</v>
      </c>
    </row>
    <row r="150" spans="1:33" ht="15.75" customHeight="1">
      <c r="A150" s="84">
        <v>52</v>
      </c>
      <c r="B150" s="79" t="str">
        <f t="shared" si="10"/>
        <v>Ostale pomoći</v>
      </c>
      <c r="C150" s="84">
        <v>3232</v>
      </c>
      <c r="D150" s="79" t="str">
        <f t="shared" si="11"/>
        <v>Usluge tekućeg i investicijskog održavanja</v>
      </c>
      <c r="E150" s="84" t="s">
        <v>5374</v>
      </c>
      <c r="F150" s="79" t="s">
        <v>5375</v>
      </c>
      <c r="G150" s="79" t="s">
        <v>668</v>
      </c>
      <c r="H150" s="67">
        <v>5578</v>
      </c>
      <c r="I150" s="67"/>
      <c r="J150" s="67"/>
      <c r="K150" s="89" t="s">
        <v>1731</v>
      </c>
      <c r="L150" s="90">
        <v>43983</v>
      </c>
      <c r="M150" s="90">
        <v>45078</v>
      </c>
      <c r="N150" s="89" t="s">
        <v>1732</v>
      </c>
      <c r="O150" s="73" t="s">
        <v>1731</v>
      </c>
      <c r="P150" s="68"/>
      <c r="Q150" s="51"/>
      <c r="R150" s="51" t="str">
        <f t="shared" si="4"/>
        <v>323</v>
      </c>
      <c r="S150" s="51" t="str">
        <f t="shared" si="5"/>
        <v>32</v>
      </c>
      <c r="T150" s="51" t="str">
        <f t="shared" si="6"/>
        <v>94</v>
      </c>
      <c r="U150" s="51"/>
      <c r="V150" s="51"/>
      <c r="W150" s="51"/>
      <c r="X150" s="51"/>
      <c r="Y150" s="51"/>
      <c r="Z150" s="51"/>
      <c r="AA150" s="51"/>
      <c r="AB150" s="51"/>
      <c r="AC150" s="51"/>
      <c r="AD150" s="51" t="s">
        <v>1741</v>
      </c>
      <c r="AE150" s="51" t="s">
        <v>1742</v>
      </c>
      <c r="AF150" s="51" t="str">
        <f t="shared" si="9"/>
        <v>A679072</v>
      </c>
      <c r="AG150" s="51" t="str">
        <f>VLOOKUP(AF150,AKT!$C$4:$E$324,3,FALSE)</f>
        <v>0942</v>
      </c>
    </row>
    <row r="151" spans="1:33" ht="15.75" customHeight="1">
      <c r="A151" s="84">
        <v>52</v>
      </c>
      <c r="B151" s="79" t="str">
        <f t="shared" si="10"/>
        <v>Ostale pomoći</v>
      </c>
      <c r="C151" s="84">
        <v>3237</v>
      </c>
      <c r="D151" s="79" t="str">
        <f t="shared" si="11"/>
        <v>Intelektualne i osobne usluge</v>
      </c>
      <c r="E151" s="84" t="s">
        <v>5374</v>
      </c>
      <c r="F151" s="79" t="s">
        <v>5375</v>
      </c>
      <c r="G151" s="79" t="s">
        <v>668</v>
      </c>
      <c r="H151" s="67">
        <v>4649</v>
      </c>
      <c r="I151" s="67"/>
      <c r="J151" s="67"/>
      <c r="K151" s="89" t="s">
        <v>1731</v>
      </c>
      <c r="L151" s="90">
        <v>43983</v>
      </c>
      <c r="M151" s="90">
        <v>45078</v>
      </c>
      <c r="N151" s="89" t="s">
        <v>1732</v>
      </c>
      <c r="O151" s="73" t="s">
        <v>1731</v>
      </c>
      <c r="P151" s="68"/>
      <c r="Q151" s="51"/>
      <c r="R151" s="51" t="str">
        <f t="shared" si="4"/>
        <v>323</v>
      </c>
      <c r="S151" s="51" t="str">
        <f t="shared" si="5"/>
        <v>32</v>
      </c>
      <c r="T151" s="51" t="str">
        <f t="shared" si="6"/>
        <v>94</v>
      </c>
      <c r="U151" s="51"/>
      <c r="V151" s="51"/>
      <c r="W151" s="51"/>
      <c r="X151" s="51"/>
      <c r="Y151" s="51"/>
      <c r="Z151" s="51"/>
      <c r="AA151" s="51"/>
      <c r="AB151" s="51"/>
      <c r="AC151" s="51"/>
      <c r="AD151" s="51" t="s">
        <v>1743</v>
      </c>
      <c r="AE151" s="51" t="s">
        <v>1744</v>
      </c>
      <c r="AF151" s="51" t="str">
        <f t="shared" si="9"/>
        <v>A679072</v>
      </c>
      <c r="AG151" s="51" t="str">
        <f>VLOOKUP(AF151,AKT!$C$4:$E$324,3,FALSE)</f>
        <v>0942</v>
      </c>
    </row>
    <row r="152" spans="1:33" ht="15.75" customHeight="1">
      <c r="A152" s="84">
        <v>52</v>
      </c>
      <c r="B152" s="79" t="str">
        <f t="shared" si="10"/>
        <v>Ostale pomoći</v>
      </c>
      <c r="C152" s="84">
        <v>3299</v>
      </c>
      <c r="D152" s="79" t="str">
        <f t="shared" si="11"/>
        <v>Ostali nespomenuti rashodi poslovanja</v>
      </c>
      <c r="E152" s="84" t="s">
        <v>5374</v>
      </c>
      <c r="F152" s="79" t="s">
        <v>5375</v>
      </c>
      <c r="G152" s="79" t="s">
        <v>668</v>
      </c>
      <c r="H152" s="67">
        <v>5578</v>
      </c>
      <c r="I152" s="67"/>
      <c r="J152" s="67"/>
      <c r="K152" s="89" t="s">
        <v>1731</v>
      </c>
      <c r="L152" s="90">
        <v>43983</v>
      </c>
      <c r="M152" s="90">
        <v>45078</v>
      </c>
      <c r="N152" s="89" t="s">
        <v>1732</v>
      </c>
      <c r="O152" s="73" t="s">
        <v>1731</v>
      </c>
      <c r="P152" s="68"/>
      <c r="Q152" s="51"/>
      <c r="R152" s="51" t="str">
        <f t="shared" si="4"/>
        <v>329</v>
      </c>
      <c r="S152" s="51" t="str">
        <f t="shared" si="5"/>
        <v>32</v>
      </c>
      <c r="T152" s="51" t="str">
        <f t="shared" si="6"/>
        <v>94</v>
      </c>
      <c r="U152" s="51"/>
      <c r="V152" s="51"/>
      <c r="W152" s="51"/>
      <c r="X152" s="51"/>
      <c r="Y152" s="51"/>
      <c r="Z152" s="51"/>
      <c r="AA152" s="51"/>
      <c r="AB152" s="51"/>
      <c r="AC152" s="51"/>
      <c r="AD152" s="51" t="s">
        <v>1745</v>
      </c>
      <c r="AE152" s="51" t="s">
        <v>1746</v>
      </c>
      <c r="AF152" s="51" t="str">
        <f t="shared" si="9"/>
        <v>A679072</v>
      </c>
      <c r="AG152" s="51" t="str">
        <f>VLOOKUP(AF152,AKT!$C$4:$E$324,3,FALSE)</f>
        <v>0942</v>
      </c>
    </row>
    <row r="153" spans="1:33" ht="15.75" customHeight="1">
      <c r="A153" s="84">
        <v>52</v>
      </c>
      <c r="B153" s="79" t="str">
        <f t="shared" si="10"/>
        <v>Ostale pomoći</v>
      </c>
      <c r="C153" s="84">
        <v>4224</v>
      </c>
      <c r="D153" s="79" t="str">
        <f t="shared" si="11"/>
        <v>Medicinska i laboratorijska oprema</v>
      </c>
      <c r="E153" s="84" t="s">
        <v>5374</v>
      </c>
      <c r="F153" s="79" t="s">
        <v>5375</v>
      </c>
      <c r="G153" s="79" t="s">
        <v>668</v>
      </c>
      <c r="H153" s="67">
        <v>9297</v>
      </c>
      <c r="I153" s="67"/>
      <c r="J153" s="67"/>
      <c r="K153" s="89" t="s">
        <v>1731</v>
      </c>
      <c r="L153" s="90">
        <v>43983</v>
      </c>
      <c r="M153" s="90">
        <v>45078</v>
      </c>
      <c r="N153" s="89" t="s">
        <v>1732</v>
      </c>
      <c r="O153" s="73" t="s">
        <v>1731</v>
      </c>
      <c r="P153" s="68"/>
      <c r="Q153" s="51"/>
      <c r="R153" s="51" t="str">
        <f t="shared" si="4"/>
        <v>422</v>
      </c>
      <c r="S153" s="51" t="str">
        <f t="shared" si="5"/>
        <v>42</v>
      </c>
      <c r="T153" s="51" t="str">
        <f t="shared" si="6"/>
        <v>94</v>
      </c>
      <c r="U153" s="51"/>
      <c r="V153" s="51"/>
      <c r="W153" s="51"/>
      <c r="X153" s="51"/>
      <c r="Y153" s="51"/>
      <c r="Z153" s="51"/>
      <c r="AA153" s="51"/>
      <c r="AB153" s="51"/>
      <c r="AC153" s="51"/>
      <c r="AD153" s="51" t="s">
        <v>1747</v>
      </c>
      <c r="AE153" s="51" t="s">
        <v>1748</v>
      </c>
      <c r="AF153" s="51" t="str">
        <f t="shared" si="9"/>
        <v>A679072</v>
      </c>
      <c r="AG153" s="51" t="str">
        <f>VLOOKUP(AF153,AKT!$C$4:$E$324,3,FALSE)</f>
        <v>0942</v>
      </c>
    </row>
    <row r="154" spans="1:33" ht="15.75" customHeight="1">
      <c r="A154" s="84">
        <v>52</v>
      </c>
      <c r="B154" s="79" t="str">
        <f t="shared" si="10"/>
        <v>Ostale pomoći</v>
      </c>
      <c r="C154" s="84">
        <v>3111</v>
      </c>
      <c r="D154" s="79" t="str">
        <f t="shared" si="11"/>
        <v>Plaće za redovan rad</v>
      </c>
      <c r="E154" s="84" t="s">
        <v>5376</v>
      </c>
      <c r="F154" s="79" t="s">
        <v>1750</v>
      </c>
      <c r="G154" s="79" t="s">
        <v>668</v>
      </c>
      <c r="H154" s="67">
        <v>11648</v>
      </c>
      <c r="I154" s="67"/>
      <c r="J154" s="67"/>
      <c r="K154" s="89" t="s">
        <v>1750</v>
      </c>
      <c r="L154" s="90">
        <v>43983</v>
      </c>
      <c r="M154" s="90">
        <v>45078</v>
      </c>
      <c r="N154" s="89" t="s">
        <v>1751</v>
      </c>
      <c r="O154" s="73" t="s">
        <v>1752</v>
      </c>
      <c r="P154" s="68"/>
      <c r="Q154" s="51"/>
      <c r="R154" s="51" t="str">
        <f t="shared" si="4"/>
        <v>311</v>
      </c>
      <c r="S154" s="51" t="str">
        <f t="shared" si="5"/>
        <v>31</v>
      </c>
      <c r="T154" s="51" t="str">
        <f t="shared" si="6"/>
        <v>94</v>
      </c>
      <c r="U154" s="51"/>
      <c r="V154" s="51"/>
      <c r="W154" s="51"/>
      <c r="X154" s="51"/>
      <c r="Y154" s="51"/>
      <c r="Z154" s="51"/>
      <c r="AA154" s="51"/>
      <c r="AB154" s="51"/>
      <c r="AC154" s="51"/>
      <c r="AD154" s="51" t="s">
        <v>1753</v>
      </c>
      <c r="AE154" s="51" t="s">
        <v>1546</v>
      </c>
      <c r="AF154" s="51" t="str">
        <f t="shared" si="9"/>
        <v>A679072</v>
      </c>
      <c r="AG154" s="51" t="str">
        <f>VLOOKUP(AF154,AKT!$C$4:$E$324,3,FALSE)</f>
        <v>0942</v>
      </c>
    </row>
    <row r="155" spans="1:33" ht="15.75" customHeight="1">
      <c r="A155" s="84">
        <v>52</v>
      </c>
      <c r="B155" s="79" t="str">
        <f t="shared" si="10"/>
        <v>Ostale pomoći</v>
      </c>
      <c r="C155" s="84">
        <v>3132</v>
      </c>
      <c r="D155" s="79" t="str">
        <f t="shared" si="11"/>
        <v>Doprinosi za obvezno zdravstveno osiguranje</v>
      </c>
      <c r="E155" s="84" t="s">
        <v>5376</v>
      </c>
      <c r="F155" s="79" t="s">
        <v>1750</v>
      </c>
      <c r="G155" s="79" t="s">
        <v>668</v>
      </c>
      <c r="H155" s="67">
        <v>2003</v>
      </c>
      <c r="I155" s="67"/>
      <c r="J155" s="67"/>
      <c r="K155" s="89" t="s">
        <v>1750</v>
      </c>
      <c r="L155" s="90">
        <v>43983</v>
      </c>
      <c r="M155" s="90">
        <v>45078</v>
      </c>
      <c r="N155" s="89" t="s">
        <v>1751</v>
      </c>
      <c r="O155" s="73" t="s">
        <v>1752</v>
      </c>
      <c r="P155" s="68"/>
      <c r="Q155" s="51"/>
      <c r="R155" s="51" t="str">
        <f t="shared" si="4"/>
        <v>313</v>
      </c>
      <c r="S155" s="51" t="str">
        <f t="shared" si="5"/>
        <v>31</v>
      </c>
      <c r="T155" s="51" t="str">
        <f t="shared" si="6"/>
        <v>94</v>
      </c>
      <c r="U155" s="51"/>
      <c r="V155" s="51"/>
      <c r="W155" s="51"/>
      <c r="X155" s="51"/>
      <c r="Y155" s="51"/>
      <c r="Z155" s="51"/>
      <c r="AA155" s="51"/>
      <c r="AB155" s="51"/>
      <c r="AC155" s="51"/>
      <c r="AD155" s="51" t="s">
        <v>1754</v>
      </c>
      <c r="AE155" s="51" t="s">
        <v>1755</v>
      </c>
      <c r="AF155" s="51" t="str">
        <f t="shared" si="9"/>
        <v>A679072</v>
      </c>
      <c r="AG155" s="51" t="str">
        <f>VLOOKUP(AF155,AKT!$C$4:$E$324,3,FALSE)</f>
        <v>0942</v>
      </c>
    </row>
    <row r="156" spans="1:33" ht="15.75" customHeight="1">
      <c r="A156" s="84">
        <v>52</v>
      </c>
      <c r="B156" s="79" t="str">
        <f t="shared" si="10"/>
        <v>Ostale pomoći</v>
      </c>
      <c r="C156" s="84">
        <v>3211</v>
      </c>
      <c r="D156" s="79" t="str">
        <f t="shared" si="11"/>
        <v>Službena putovanja</v>
      </c>
      <c r="E156" s="84" t="s">
        <v>5376</v>
      </c>
      <c r="F156" s="79" t="s">
        <v>1750</v>
      </c>
      <c r="G156" s="79" t="s">
        <v>668</v>
      </c>
      <c r="H156" s="67">
        <v>5183</v>
      </c>
      <c r="I156" s="67"/>
      <c r="J156" s="67"/>
      <c r="K156" s="89" t="s">
        <v>1750</v>
      </c>
      <c r="L156" s="90">
        <v>43983</v>
      </c>
      <c r="M156" s="90">
        <v>45078</v>
      </c>
      <c r="N156" s="89" t="s">
        <v>1751</v>
      </c>
      <c r="O156" s="73" t="s">
        <v>1752</v>
      </c>
      <c r="P156" s="68"/>
      <c r="Q156" s="51"/>
      <c r="R156" s="51" t="str">
        <f t="shared" si="4"/>
        <v>321</v>
      </c>
      <c r="S156" s="51" t="str">
        <f t="shared" si="5"/>
        <v>32</v>
      </c>
      <c r="T156" s="51" t="str">
        <f t="shared" si="6"/>
        <v>94</v>
      </c>
      <c r="U156" s="51"/>
      <c r="V156" s="51"/>
      <c r="W156" s="51"/>
      <c r="X156" s="51"/>
      <c r="Y156" s="51"/>
      <c r="Z156" s="51"/>
      <c r="AA156" s="51"/>
      <c r="AB156" s="51"/>
      <c r="AC156" s="51"/>
      <c r="AD156" s="51" t="s">
        <v>1756</v>
      </c>
      <c r="AE156" s="51" t="s">
        <v>1757</v>
      </c>
      <c r="AF156" s="51" t="str">
        <f t="shared" si="9"/>
        <v>A679072</v>
      </c>
      <c r="AG156" s="51" t="str">
        <f>VLOOKUP(AF156,AKT!$C$4:$E$324,3,FALSE)</f>
        <v>0942</v>
      </c>
    </row>
    <row r="157" spans="1:33" ht="15.75" customHeight="1">
      <c r="A157" s="84">
        <v>52</v>
      </c>
      <c r="B157" s="79" t="str">
        <f t="shared" si="10"/>
        <v>Ostale pomoći</v>
      </c>
      <c r="C157" s="84">
        <v>3222</v>
      </c>
      <c r="D157" s="79" t="str">
        <f t="shared" si="11"/>
        <v>Materijal i sirovine</v>
      </c>
      <c r="E157" s="84" t="s">
        <v>5376</v>
      </c>
      <c r="F157" s="79" t="s">
        <v>1750</v>
      </c>
      <c r="G157" s="79" t="s">
        <v>668</v>
      </c>
      <c r="H157" s="67">
        <v>8154</v>
      </c>
      <c r="I157" s="67"/>
      <c r="J157" s="67"/>
      <c r="K157" s="89" t="s">
        <v>1750</v>
      </c>
      <c r="L157" s="90">
        <v>43983</v>
      </c>
      <c r="M157" s="90">
        <v>45078</v>
      </c>
      <c r="N157" s="89" t="s">
        <v>1751</v>
      </c>
      <c r="O157" s="73" t="s">
        <v>1752</v>
      </c>
      <c r="P157" s="68"/>
      <c r="Q157" s="51"/>
      <c r="R157" s="51" t="str">
        <f t="shared" si="4"/>
        <v>322</v>
      </c>
      <c r="S157" s="51" t="str">
        <f t="shared" si="5"/>
        <v>32</v>
      </c>
      <c r="T157" s="51" t="str">
        <f t="shared" si="6"/>
        <v>94</v>
      </c>
      <c r="U157" s="51"/>
      <c r="V157" s="51"/>
      <c r="W157" s="51"/>
      <c r="X157" s="51"/>
      <c r="Y157" s="51"/>
      <c r="Z157" s="51"/>
      <c r="AA157" s="51"/>
      <c r="AB157" s="51"/>
      <c r="AC157" s="51"/>
      <c r="AD157" s="51" t="s">
        <v>1758</v>
      </c>
      <c r="AE157" s="51" t="s">
        <v>1759</v>
      </c>
      <c r="AF157" s="51" t="str">
        <f t="shared" si="9"/>
        <v>A679072</v>
      </c>
      <c r="AG157" s="51" t="str">
        <f>VLOOKUP(AF157,AKT!$C$4:$E$324,3,FALSE)</f>
        <v>0942</v>
      </c>
    </row>
    <row r="158" spans="1:33" ht="15.75" customHeight="1">
      <c r="A158" s="84">
        <v>52</v>
      </c>
      <c r="B158" s="79" t="str">
        <f t="shared" si="10"/>
        <v>Ostale pomoći</v>
      </c>
      <c r="C158" s="84">
        <v>3232</v>
      </c>
      <c r="D158" s="79" t="str">
        <f t="shared" si="11"/>
        <v>Usluge tekućeg i investicijskog održavanja</v>
      </c>
      <c r="E158" s="84" t="s">
        <v>5376</v>
      </c>
      <c r="F158" s="79" t="s">
        <v>1750</v>
      </c>
      <c r="G158" s="79" t="s">
        <v>668</v>
      </c>
      <c r="H158" s="67">
        <v>6989</v>
      </c>
      <c r="I158" s="67"/>
      <c r="J158" s="67"/>
      <c r="K158" s="89" t="s">
        <v>1750</v>
      </c>
      <c r="L158" s="90">
        <v>43983</v>
      </c>
      <c r="M158" s="90">
        <v>45078</v>
      </c>
      <c r="N158" s="89" t="s">
        <v>1751</v>
      </c>
      <c r="O158" s="73" t="s">
        <v>1752</v>
      </c>
      <c r="P158" s="68"/>
      <c r="Q158" s="51"/>
      <c r="R158" s="51" t="str">
        <f t="shared" si="4"/>
        <v>323</v>
      </c>
      <c r="S158" s="51" t="str">
        <f t="shared" si="5"/>
        <v>32</v>
      </c>
      <c r="T158" s="51" t="str">
        <f t="shared" si="6"/>
        <v>94</v>
      </c>
      <c r="U158" s="51"/>
      <c r="V158" s="51"/>
      <c r="W158" s="51"/>
      <c r="X158" s="51"/>
      <c r="Y158" s="51"/>
      <c r="Z158" s="51"/>
      <c r="AA158" s="51"/>
      <c r="AB158" s="51"/>
      <c r="AC158" s="51"/>
      <c r="AD158" s="51" t="s">
        <v>1760</v>
      </c>
      <c r="AE158" s="51" t="s">
        <v>1761</v>
      </c>
      <c r="AF158" s="51" t="str">
        <f t="shared" si="9"/>
        <v>A679072</v>
      </c>
      <c r="AG158" s="51" t="str">
        <f>VLOOKUP(AF158,AKT!$C$4:$E$324,3,FALSE)</f>
        <v>0942</v>
      </c>
    </row>
    <row r="159" spans="1:33" ht="15.75" customHeight="1">
      <c r="A159" s="84">
        <v>52</v>
      </c>
      <c r="B159" s="79" t="str">
        <f t="shared" si="10"/>
        <v>Ostale pomoći</v>
      </c>
      <c r="C159" s="84">
        <v>3237</v>
      </c>
      <c r="D159" s="79" t="str">
        <f t="shared" si="11"/>
        <v>Intelektualne i osobne usluge</v>
      </c>
      <c r="E159" s="84" t="s">
        <v>5376</v>
      </c>
      <c r="F159" s="79" t="s">
        <v>1750</v>
      </c>
      <c r="G159" s="79" t="s">
        <v>668</v>
      </c>
      <c r="H159" s="67">
        <v>5824</v>
      </c>
      <c r="I159" s="67"/>
      <c r="J159" s="67"/>
      <c r="K159" s="89" t="s">
        <v>1750</v>
      </c>
      <c r="L159" s="90">
        <v>43983</v>
      </c>
      <c r="M159" s="90">
        <v>45078</v>
      </c>
      <c r="N159" s="89" t="s">
        <v>1751</v>
      </c>
      <c r="O159" s="73" t="s">
        <v>1752</v>
      </c>
      <c r="P159" s="68"/>
      <c r="Q159" s="51"/>
      <c r="R159" s="51" t="str">
        <f t="shared" si="4"/>
        <v>323</v>
      </c>
      <c r="S159" s="51" t="str">
        <f t="shared" si="5"/>
        <v>32</v>
      </c>
      <c r="T159" s="51" t="str">
        <f t="shared" si="6"/>
        <v>94</v>
      </c>
      <c r="U159" s="51"/>
      <c r="V159" s="51"/>
      <c r="W159" s="51"/>
      <c r="X159" s="51"/>
      <c r="Y159" s="51"/>
      <c r="Z159" s="51"/>
      <c r="AA159" s="51"/>
      <c r="AB159" s="51"/>
      <c r="AC159" s="51"/>
      <c r="AD159" s="51" t="s">
        <v>1762</v>
      </c>
      <c r="AE159" s="51" t="s">
        <v>1763</v>
      </c>
      <c r="AF159" s="51" t="str">
        <f t="shared" si="9"/>
        <v>A679072</v>
      </c>
      <c r="AG159" s="51" t="str">
        <f>VLOOKUP(AF159,AKT!$C$4:$E$324,3,FALSE)</f>
        <v>0942</v>
      </c>
    </row>
    <row r="160" spans="1:33" ht="15.75" customHeight="1">
      <c r="A160" s="84">
        <v>52</v>
      </c>
      <c r="B160" s="79" t="str">
        <f t="shared" si="10"/>
        <v>Ostale pomoći</v>
      </c>
      <c r="C160" s="84">
        <v>3299</v>
      </c>
      <c r="D160" s="79" t="str">
        <f t="shared" si="11"/>
        <v>Ostali nespomenuti rashodi poslovanja</v>
      </c>
      <c r="E160" s="84" t="s">
        <v>5376</v>
      </c>
      <c r="F160" s="79" t="s">
        <v>1750</v>
      </c>
      <c r="G160" s="79" t="s">
        <v>668</v>
      </c>
      <c r="H160" s="67">
        <v>6989</v>
      </c>
      <c r="I160" s="67"/>
      <c r="J160" s="67"/>
      <c r="K160" s="89" t="s">
        <v>1750</v>
      </c>
      <c r="L160" s="90">
        <v>43983</v>
      </c>
      <c r="M160" s="90">
        <v>45078</v>
      </c>
      <c r="N160" s="89" t="s">
        <v>1751</v>
      </c>
      <c r="O160" s="73" t="s">
        <v>1752</v>
      </c>
      <c r="P160" s="68"/>
      <c r="Q160" s="51"/>
      <c r="R160" s="51" t="str">
        <f t="shared" si="4"/>
        <v>329</v>
      </c>
      <c r="S160" s="51" t="str">
        <f t="shared" si="5"/>
        <v>32</v>
      </c>
      <c r="T160" s="51" t="str">
        <f t="shared" si="6"/>
        <v>94</v>
      </c>
      <c r="U160" s="51"/>
      <c r="V160" s="51"/>
      <c r="W160" s="51"/>
      <c r="X160" s="51"/>
      <c r="Y160" s="51"/>
      <c r="Z160" s="51"/>
      <c r="AA160" s="51"/>
      <c r="AB160" s="51"/>
      <c r="AC160" s="51"/>
      <c r="AD160" s="51" t="s">
        <v>1764</v>
      </c>
      <c r="AE160" s="51" t="s">
        <v>1765</v>
      </c>
      <c r="AF160" s="51" t="str">
        <f t="shared" si="9"/>
        <v>A679072</v>
      </c>
      <c r="AG160" s="51" t="str">
        <f>VLOOKUP(AF160,AKT!$C$4:$E$324,3,FALSE)</f>
        <v>0942</v>
      </c>
    </row>
    <row r="161" spans="1:33" ht="15.75" customHeight="1">
      <c r="A161" s="84">
        <v>52</v>
      </c>
      <c r="B161" s="79" t="str">
        <f t="shared" si="10"/>
        <v>Ostale pomoći</v>
      </c>
      <c r="C161" s="84">
        <v>4224</v>
      </c>
      <c r="D161" s="79" t="str">
        <f t="shared" si="11"/>
        <v>Medicinska i laboratorijska oprema</v>
      </c>
      <c r="E161" s="84" t="s">
        <v>5376</v>
      </c>
      <c r="F161" s="79" t="s">
        <v>1750</v>
      </c>
      <c r="G161" s="79" t="s">
        <v>668</v>
      </c>
      <c r="H161" s="67">
        <v>11450</v>
      </c>
      <c r="I161" s="67"/>
      <c r="J161" s="67"/>
      <c r="K161" s="89" t="s">
        <v>1750</v>
      </c>
      <c r="L161" s="90">
        <v>43983</v>
      </c>
      <c r="M161" s="90">
        <v>45078</v>
      </c>
      <c r="N161" s="89" t="s">
        <v>1751</v>
      </c>
      <c r="O161" s="73" t="s">
        <v>1752</v>
      </c>
      <c r="P161" s="68"/>
      <c r="Q161" s="51"/>
      <c r="R161" s="51" t="str">
        <f t="shared" si="4"/>
        <v>422</v>
      </c>
      <c r="S161" s="51" t="str">
        <f t="shared" si="5"/>
        <v>42</v>
      </c>
      <c r="T161" s="51" t="str">
        <f t="shared" si="6"/>
        <v>94</v>
      </c>
      <c r="U161" s="51"/>
      <c r="V161" s="51"/>
      <c r="W161" s="51"/>
      <c r="X161" s="51"/>
      <c r="Y161" s="51"/>
      <c r="Z161" s="51"/>
      <c r="AA161" s="51"/>
      <c r="AB161" s="51"/>
      <c r="AC161" s="51"/>
      <c r="AD161" s="51" t="s">
        <v>1766</v>
      </c>
      <c r="AE161" s="51" t="s">
        <v>1767</v>
      </c>
      <c r="AF161" s="51" t="str">
        <f t="shared" si="9"/>
        <v>A679072</v>
      </c>
      <c r="AG161" s="51" t="str">
        <f>VLOOKUP(AF161,AKT!$C$4:$E$324,3,FALSE)</f>
        <v>0942</v>
      </c>
    </row>
    <row r="162" spans="1:33" ht="15.75" customHeight="1">
      <c r="A162" s="84">
        <v>52</v>
      </c>
      <c r="B162" s="79" t="str">
        <f t="shared" si="10"/>
        <v>Ostale pomoći</v>
      </c>
      <c r="C162" s="84">
        <v>3111</v>
      </c>
      <c r="D162" s="79" t="str">
        <f t="shared" si="11"/>
        <v>Plaće za redovan rad</v>
      </c>
      <c r="E162" s="84" t="s">
        <v>5377</v>
      </c>
      <c r="F162" s="79" t="s">
        <v>1769</v>
      </c>
      <c r="G162" s="79" t="s">
        <v>668</v>
      </c>
      <c r="H162" s="67">
        <v>3990</v>
      </c>
      <c r="I162" s="67"/>
      <c r="J162" s="67"/>
      <c r="K162" s="89" t="s">
        <v>1769</v>
      </c>
      <c r="L162" s="90">
        <v>43831</v>
      </c>
      <c r="M162" s="90">
        <v>44927</v>
      </c>
      <c r="N162" s="89" t="s">
        <v>1770</v>
      </c>
      <c r="O162" s="73" t="s">
        <v>1769</v>
      </c>
      <c r="P162" s="68"/>
      <c r="Q162" s="51"/>
      <c r="R162" s="51" t="str">
        <f t="shared" si="4"/>
        <v>311</v>
      </c>
      <c r="S162" s="51" t="str">
        <f t="shared" si="5"/>
        <v>31</v>
      </c>
      <c r="T162" s="51" t="str">
        <f t="shared" si="6"/>
        <v>94</v>
      </c>
      <c r="U162" s="51"/>
      <c r="V162" s="51"/>
      <c r="W162" s="51"/>
      <c r="X162" s="51"/>
      <c r="Y162" s="51"/>
      <c r="Z162" s="51"/>
      <c r="AA162" s="51"/>
      <c r="AB162" s="51"/>
      <c r="AC162" s="51"/>
      <c r="AD162" s="51" t="s">
        <v>1771</v>
      </c>
      <c r="AE162" s="51" t="s">
        <v>1772</v>
      </c>
      <c r="AF162" s="51" t="str">
        <f t="shared" si="9"/>
        <v>A679072</v>
      </c>
      <c r="AG162" s="51" t="str">
        <f>VLOOKUP(AF162,AKT!$C$4:$E$324,3,FALSE)</f>
        <v>0942</v>
      </c>
    </row>
    <row r="163" spans="1:33" ht="15.75" customHeight="1">
      <c r="A163" s="84">
        <v>52</v>
      </c>
      <c r="B163" s="79" t="str">
        <f t="shared" si="10"/>
        <v>Ostale pomoći</v>
      </c>
      <c r="C163" s="84">
        <v>3132</v>
      </c>
      <c r="D163" s="79" t="str">
        <f t="shared" si="11"/>
        <v>Doprinosi za obvezno zdravstveno osiguranje</v>
      </c>
      <c r="E163" s="84" t="s">
        <v>5377</v>
      </c>
      <c r="F163" s="79" t="s">
        <v>1769</v>
      </c>
      <c r="G163" s="79" t="s">
        <v>668</v>
      </c>
      <c r="H163" s="67">
        <v>599</v>
      </c>
      <c r="I163" s="67"/>
      <c r="J163" s="67"/>
      <c r="K163" s="89" t="s">
        <v>1769</v>
      </c>
      <c r="L163" s="90">
        <v>43831</v>
      </c>
      <c r="M163" s="90">
        <v>44927</v>
      </c>
      <c r="N163" s="89" t="s">
        <v>1770</v>
      </c>
      <c r="O163" s="73" t="s">
        <v>1769</v>
      </c>
      <c r="P163" s="68"/>
      <c r="Q163" s="51"/>
      <c r="R163" s="51" t="str">
        <f t="shared" si="4"/>
        <v>313</v>
      </c>
      <c r="S163" s="51" t="str">
        <f t="shared" si="5"/>
        <v>31</v>
      </c>
      <c r="T163" s="51" t="str">
        <f t="shared" si="6"/>
        <v>94</v>
      </c>
      <c r="U163" s="51"/>
      <c r="V163" s="51"/>
      <c r="W163" s="51"/>
      <c r="X163" s="51"/>
      <c r="Y163" s="51"/>
      <c r="Z163" s="51"/>
      <c r="AA163" s="51"/>
      <c r="AB163" s="51"/>
      <c r="AC163" s="51"/>
      <c r="AD163" s="51" t="s">
        <v>1773</v>
      </c>
      <c r="AE163" s="51" t="s">
        <v>1774</v>
      </c>
      <c r="AF163" s="51" t="str">
        <f t="shared" si="9"/>
        <v>A679072</v>
      </c>
      <c r="AG163" s="51" t="str">
        <f>VLOOKUP(AF163,AKT!$C$4:$E$324,3,FALSE)</f>
        <v>0942</v>
      </c>
    </row>
    <row r="164" spans="1:33" ht="15.75" customHeight="1">
      <c r="A164" s="84">
        <v>52</v>
      </c>
      <c r="B164" s="79" t="str">
        <f t="shared" si="10"/>
        <v>Ostale pomoći</v>
      </c>
      <c r="C164" s="84">
        <v>3211</v>
      </c>
      <c r="D164" s="79" t="str">
        <f t="shared" si="11"/>
        <v>Službena putovanja</v>
      </c>
      <c r="E164" s="84" t="s">
        <v>5377</v>
      </c>
      <c r="F164" s="79" t="s">
        <v>1769</v>
      </c>
      <c r="G164" s="79" t="s">
        <v>668</v>
      </c>
      <c r="H164" s="67">
        <v>1796</v>
      </c>
      <c r="I164" s="67"/>
      <c r="J164" s="67"/>
      <c r="K164" s="89" t="s">
        <v>1769</v>
      </c>
      <c r="L164" s="90">
        <v>43831</v>
      </c>
      <c r="M164" s="90">
        <v>44927</v>
      </c>
      <c r="N164" s="89" t="s">
        <v>1770</v>
      </c>
      <c r="O164" s="73" t="s">
        <v>1769</v>
      </c>
      <c r="P164" s="68"/>
      <c r="Q164" s="51"/>
      <c r="R164" s="51" t="str">
        <f t="shared" si="4"/>
        <v>321</v>
      </c>
      <c r="S164" s="51" t="str">
        <f t="shared" si="5"/>
        <v>32</v>
      </c>
      <c r="T164" s="51" t="str">
        <f t="shared" si="6"/>
        <v>94</v>
      </c>
      <c r="U164" s="51"/>
      <c r="V164" s="51"/>
      <c r="W164" s="51"/>
      <c r="X164" s="51"/>
      <c r="Y164" s="51"/>
      <c r="Z164" s="51"/>
      <c r="AA164" s="51"/>
      <c r="AB164" s="51"/>
      <c r="AC164" s="51"/>
      <c r="AD164" s="51" t="s">
        <v>1775</v>
      </c>
      <c r="AE164" s="51" t="s">
        <v>1776</v>
      </c>
      <c r="AF164" s="51" t="str">
        <f t="shared" si="9"/>
        <v>A679072</v>
      </c>
      <c r="AG164" s="51" t="str">
        <f>VLOOKUP(AF164,AKT!$C$4:$E$324,3,FALSE)</f>
        <v>0942</v>
      </c>
    </row>
    <row r="165" spans="1:33" ht="15.75" customHeight="1">
      <c r="A165" s="84">
        <v>52</v>
      </c>
      <c r="B165" s="79" t="str">
        <f t="shared" si="10"/>
        <v>Ostale pomoći</v>
      </c>
      <c r="C165" s="84">
        <v>3222</v>
      </c>
      <c r="D165" s="79" t="str">
        <f t="shared" si="11"/>
        <v>Materijal i sirovine</v>
      </c>
      <c r="E165" s="84" t="s">
        <v>5377</v>
      </c>
      <c r="F165" s="79" t="s">
        <v>1769</v>
      </c>
      <c r="G165" s="79" t="s">
        <v>668</v>
      </c>
      <c r="H165" s="67">
        <v>2793</v>
      </c>
      <c r="I165" s="67"/>
      <c r="J165" s="67"/>
      <c r="K165" s="89" t="s">
        <v>1769</v>
      </c>
      <c r="L165" s="90">
        <v>43831</v>
      </c>
      <c r="M165" s="90">
        <v>44927</v>
      </c>
      <c r="N165" s="89" t="s">
        <v>1770</v>
      </c>
      <c r="O165" s="73" t="s">
        <v>1769</v>
      </c>
      <c r="P165" s="68"/>
      <c r="Q165" s="51"/>
      <c r="R165" s="51" t="str">
        <f t="shared" si="4"/>
        <v>322</v>
      </c>
      <c r="S165" s="51" t="str">
        <f t="shared" si="5"/>
        <v>32</v>
      </c>
      <c r="T165" s="51" t="str">
        <f t="shared" si="6"/>
        <v>94</v>
      </c>
      <c r="U165" s="51"/>
      <c r="V165" s="51"/>
      <c r="W165" s="51"/>
      <c r="X165" s="51"/>
      <c r="Y165" s="51"/>
      <c r="Z165" s="51"/>
      <c r="AA165" s="51"/>
      <c r="AB165" s="51"/>
      <c r="AC165" s="51"/>
      <c r="AD165" s="51" t="s">
        <v>1777</v>
      </c>
      <c r="AE165" s="51" t="s">
        <v>1778</v>
      </c>
      <c r="AF165" s="51" t="str">
        <f t="shared" si="9"/>
        <v>A679072</v>
      </c>
      <c r="AG165" s="51" t="str">
        <f>VLOOKUP(AF165,AKT!$C$4:$E$324,3,FALSE)</f>
        <v>0942</v>
      </c>
    </row>
    <row r="166" spans="1:33" ht="15.75" customHeight="1">
      <c r="A166" s="84">
        <v>52</v>
      </c>
      <c r="B166" s="79" t="str">
        <f t="shared" si="10"/>
        <v>Ostale pomoći</v>
      </c>
      <c r="C166" s="84">
        <v>3232</v>
      </c>
      <c r="D166" s="79" t="str">
        <f t="shared" si="11"/>
        <v>Usluge tekućeg i investicijskog održavanja</v>
      </c>
      <c r="E166" s="84" t="s">
        <v>5377</v>
      </c>
      <c r="F166" s="79" t="s">
        <v>1769</v>
      </c>
      <c r="G166" s="79" t="s">
        <v>668</v>
      </c>
      <c r="H166" s="67">
        <v>2394</v>
      </c>
      <c r="I166" s="67"/>
      <c r="J166" s="67"/>
      <c r="K166" s="89" t="s">
        <v>1769</v>
      </c>
      <c r="L166" s="90">
        <v>43831</v>
      </c>
      <c r="M166" s="90">
        <v>44927</v>
      </c>
      <c r="N166" s="89" t="s">
        <v>1770</v>
      </c>
      <c r="O166" s="73" t="s">
        <v>1769</v>
      </c>
      <c r="P166" s="68"/>
      <c r="Q166" s="51"/>
      <c r="R166" s="51" t="str">
        <f t="shared" si="4"/>
        <v>323</v>
      </c>
      <c r="S166" s="51" t="str">
        <f t="shared" si="5"/>
        <v>32</v>
      </c>
      <c r="T166" s="51" t="str">
        <f t="shared" si="6"/>
        <v>94</v>
      </c>
      <c r="U166" s="51"/>
      <c r="V166" s="51"/>
      <c r="W166" s="51"/>
      <c r="X166" s="51"/>
      <c r="Y166" s="51"/>
      <c r="Z166" s="51"/>
      <c r="AA166" s="51"/>
      <c r="AB166" s="51"/>
      <c r="AC166" s="51"/>
      <c r="AD166" s="51" t="s">
        <v>1779</v>
      </c>
      <c r="AE166" s="51" t="s">
        <v>1780</v>
      </c>
      <c r="AF166" s="51" t="str">
        <f t="shared" si="9"/>
        <v>A679072</v>
      </c>
      <c r="AG166" s="51" t="str">
        <f>VLOOKUP(AF166,AKT!$C$4:$E$324,3,FALSE)</f>
        <v>0942</v>
      </c>
    </row>
    <row r="167" spans="1:33" ht="15.75" customHeight="1">
      <c r="A167" s="84">
        <v>52</v>
      </c>
      <c r="B167" s="79" t="str">
        <f t="shared" si="10"/>
        <v>Ostale pomoći</v>
      </c>
      <c r="C167" s="84">
        <v>3237</v>
      </c>
      <c r="D167" s="79" t="str">
        <f t="shared" si="11"/>
        <v>Intelektualne i osobne usluge</v>
      </c>
      <c r="E167" s="84" t="s">
        <v>5377</v>
      </c>
      <c r="F167" s="79" t="s">
        <v>1769</v>
      </c>
      <c r="G167" s="79" t="s">
        <v>668</v>
      </c>
      <c r="H167" s="67">
        <v>1995</v>
      </c>
      <c r="I167" s="67"/>
      <c r="J167" s="67"/>
      <c r="K167" s="89" t="s">
        <v>1769</v>
      </c>
      <c r="L167" s="90">
        <v>43831</v>
      </c>
      <c r="M167" s="90">
        <v>44927</v>
      </c>
      <c r="N167" s="89" t="s">
        <v>1770</v>
      </c>
      <c r="O167" s="73" t="s">
        <v>1769</v>
      </c>
      <c r="P167" s="68"/>
      <c r="Q167" s="51"/>
      <c r="R167" s="51" t="str">
        <f t="shared" si="4"/>
        <v>323</v>
      </c>
      <c r="S167" s="51" t="str">
        <f t="shared" si="5"/>
        <v>32</v>
      </c>
      <c r="T167" s="51" t="str">
        <f t="shared" si="6"/>
        <v>94</v>
      </c>
      <c r="U167" s="51"/>
      <c r="V167" s="51"/>
      <c r="W167" s="51"/>
      <c r="X167" s="51"/>
      <c r="Y167" s="51"/>
      <c r="Z167" s="51"/>
      <c r="AA167" s="51"/>
      <c r="AB167" s="51"/>
      <c r="AC167" s="51"/>
      <c r="AD167" s="51" t="s">
        <v>1781</v>
      </c>
      <c r="AE167" s="51" t="s">
        <v>1782</v>
      </c>
      <c r="AF167" s="51" t="str">
        <f t="shared" si="9"/>
        <v>A679072</v>
      </c>
      <c r="AG167" s="51" t="str">
        <f>VLOOKUP(AF167,AKT!$C$4:$E$324,3,FALSE)</f>
        <v>0942</v>
      </c>
    </row>
    <row r="168" spans="1:33" ht="15.75" customHeight="1">
      <c r="A168" s="84">
        <v>52</v>
      </c>
      <c r="B168" s="79" t="str">
        <f t="shared" si="10"/>
        <v>Ostale pomoći</v>
      </c>
      <c r="C168" s="84">
        <v>3299</v>
      </c>
      <c r="D168" s="79" t="str">
        <f t="shared" si="11"/>
        <v>Ostali nespomenuti rashodi poslovanja</v>
      </c>
      <c r="E168" s="84" t="s">
        <v>5377</v>
      </c>
      <c r="F168" s="79" t="s">
        <v>1769</v>
      </c>
      <c r="G168" s="79" t="s">
        <v>668</v>
      </c>
      <c r="H168" s="67">
        <v>2394</v>
      </c>
      <c r="I168" s="67"/>
      <c r="J168" s="67"/>
      <c r="K168" s="89" t="s">
        <v>1769</v>
      </c>
      <c r="L168" s="90">
        <v>43831</v>
      </c>
      <c r="M168" s="90">
        <v>44927</v>
      </c>
      <c r="N168" s="89" t="s">
        <v>1770</v>
      </c>
      <c r="O168" s="73" t="s">
        <v>1769</v>
      </c>
      <c r="P168" s="68"/>
      <c r="Q168" s="51"/>
      <c r="R168" s="51" t="str">
        <f t="shared" si="4"/>
        <v>329</v>
      </c>
      <c r="S168" s="51" t="str">
        <f t="shared" si="5"/>
        <v>32</v>
      </c>
      <c r="T168" s="51" t="str">
        <f t="shared" si="6"/>
        <v>94</v>
      </c>
      <c r="U168" s="51"/>
      <c r="V168" s="51"/>
      <c r="W168" s="51"/>
      <c r="X168" s="51"/>
      <c r="Y168" s="51"/>
      <c r="Z168" s="51"/>
      <c r="AA168" s="51"/>
      <c r="AB168" s="51"/>
      <c r="AC168" s="51"/>
      <c r="AD168" s="51" t="s">
        <v>1783</v>
      </c>
      <c r="AE168" s="51" t="s">
        <v>1784</v>
      </c>
      <c r="AF168" s="51" t="str">
        <f t="shared" si="9"/>
        <v>A679072</v>
      </c>
      <c r="AG168" s="51" t="str">
        <f>VLOOKUP(AF168,AKT!$C$4:$E$324,3,FALSE)</f>
        <v>0942</v>
      </c>
    </row>
    <row r="169" spans="1:33" ht="15.75" customHeight="1">
      <c r="A169" s="84">
        <v>52</v>
      </c>
      <c r="B169" s="79" t="str">
        <f t="shared" si="10"/>
        <v>Ostale pomoći</v>
      </c>
      <c r="C169" s="84">
        <v>4224</v>
      </c>
      <c r="D169" s="79" t="str">
        <f t="shared" si="11"/>
        <v>Medicinska i laboratorijska oprema</v>
      </c>
      <c r="E169" s="84" t="s">
        <v>5377</v>
      </c>
      <c r="F169" s="79" t="s">
        <v>1769</v>
      </c>
      <c r="G169" s="79" t="s">
        <v>668</v>
      </c>
      <c r="H169" s="67">
        <v>3990</v>
      </c>
      <c r="I169" s="67"/>
      <c r="J169" s="67"/>
      <c r="K169" s="89" t="s">
        <v>1769</v>
      </c>
      <c r="L169" s="90">
        <v>43831</v>
      </c>
      <c r="M169" s="90">
        <v>44927</v>
      </c>
      <c r="N169" s="89" t="s">
        <v>1770</v>
      </c>
      <c r="O169" s="73" t="s">
        <v>1769</v>
      </c>
      <c r="P169" s="68"/>
      <c r="Q169" s="51"/>
      <c r="R169" s="51" t="str">
        <f t="shared" si="4"/>
        <v>422</v>
      </c>
      <c r="S169" s="51" t="str">
        <f t="shared" si="5"/>
        <v>42</v>
      </c>
      <c r="T169" s="51" t="str">
        <f t="shared" si="6"/>
        <v>94</v>
      </c>
      <c r="U169" s="51"/>
      <c r="V169" s="51"/>
      <c r="W169" s="51"/>
      <c r="X169" s="51"/>
      <c r="Y169" s="51"/>
      <c r="Z169" s="51"/>
      <c r="AA169" s="51"/>
      <c r="AB169" s="51"/>
      <c r="AC169" s="51"/>
      <c r="AD169" s="51" t="s">
        <v>1785</v>
      </c>
      <c r="AE169" s="51" t="s">
        <v>1786</v>
      </c>
      <c r="AF169" s="51" t="str">
        <f t="shared" si="9"/>
        <v>A679072</v>
      </c>
      <c r="AG169" s="51" t="str">
        <f>VLOOKUP(AF169,AKT!$C$4:$E$324,3,FALSE)</f>
        <v>0942</v>
      </c>
    </row>
    <row r="170" spans="1:33" ht="15.75" customHeight="1">
      <c r="A170" s="84">
        <v>52</v>
      </c>
      <c r="B170" s="79" t="str">
        <f t="shared" si="10"/>
        <v>Ostale pomoći</v>
      </c>
      <c r="C170" s="84">
        <v>3111</v>
      </c>
      <c r="D170" s="79" t="str">
        <f t="shared" si="11"/>
        <v>Plaće za redovan rad</v>
      </c>
      <c r="E170" s="84" t="s">
        <v>5378</v>
      </c>
      <c r="F170" s="79" t="s">
        <v>1788</v>
      </c>
      <c r="G170" s="79" t="s">
        <v>668</v>
      </c>
      <c r="H170" s="67">
        <v>2919</v>
      </c>
      <c r="I170" s="67"/>
      <c r="J170" s="67"/>
      <c r="K170" s="89" t="s">
        <v>1788</v>
      </c>
      <c r="L170" s="90">
        <v>43819</v>
      </c>
      <c r="M170" s="90">
        <v>45020</v>
      </c>
      <c r="N170" s="89" t="s">
        <v>1789</v>
      </c>
      <c r="O170" s="73" t="s">
        <v>1788</v>
      </c>
      <c r="P170" s="68"/>
      <c r="Q170" s="51"/>
      <c r="R170" s="51" t="str">
        <f t="shared" si="4"/>
        <v>311</v>
      </c>
      <c r="S170" s="51" t="str">
        <f t="shared" si="5"/>
        <v>31</v>
      </c>
      <c r="T170" s="51" t="str">
        <f t="shared" si="6"/>
        <v>94</v>
      </c>
      <c r="U170" s="51"/>
      <c r="V170" s="51"/>
      <c r="W170" s="51"/>
      <c r="X170" s="51"/>
      <c r="Y170" s="51"/>
      <c r="Z170" s="51"/>
      <c r="AA170" s="51"/>
      <c r="AB170" s="51"/>
      <c r="AC170" s="51"/>
      <c r="AD170" s="51" t="s">
        <v>1790</v>
      </c>
      <c r="AE170" s="51" t="s">
        <v>1791</v>
      </c>
      <c r="AF170" s="51" t="str">
        <f t="shared" si="9"/>
        <v>A679072</v>
      </c>
      <c r="AG170" s="51" t="str">
        <f>VLOOKUP(AF170,AKT!$C$4:$E$324,3,FALSE)</f>
        <v>0942</v>
      </c>
    </row>
    <row r="171" spans="1:33" ht="15.75" customHeight="1">
      <c r="A171" s="84">
        <v>52</v>
      </c>
      <c r="B171" s="79" t="str">
        <f t="shared" si="10"/>
        <v>Ostale pomoći</v>
      </c>
      <c r="C171" s="84">
        <v>3132</v>
      </c>
      <c r="D171" s="79" t="str">
        <f t="shared" si="11"/>
        <v>Doprinosi za obvezno zdravstveno osiguranje</v>
      </c>
      <c r="E171" s="84" t="s">
        <v>5378</v>
      </c>
      <c r="F171" s="79" t="s">
        <v>1788</v>
      </c>
      <c r="G171" s="79" t="s">
        <v>668</v>
      </c>
      <c r="H171" s="67">
        <v>598</v>
      </c>
      <c r="I171" s="67"/>
      <c r="J171" s="67"/>
      <c r="K171" s="89" t="s">
        <v>1788</v>
      </c>
      <c r="L171" s="90">
        <v>43819</v>
      </c>
      <c r="M171" s="90">
        <v>45020</v>
      </c>
      <c r="N171" s="89" t="s">
        <v>1789</v>
      </c>
      <c r="O171" s="73" t="s">
        <v>1788</v>
      </c>
      <c r="P171" s="68"/>
      <c r="Q171" s="51"/>
      <c r="R171" s="51" t="str">
        <f t="shared" si="4"/>
        <v>313</v>
      </c>
      <c r="S171" s="51" t="str">
        <f t="shared" si="5"/>
        <v>31</v>
      </c>
      <c r="T171" s="51" t="str">
        <f t="shared" si="6"/>
        <v>94</v>
      </c>
      <c r="U171" s="51"/>
      <c r="V171" s="51"/>
      <c r="W171" s="51"/>
      <c r="X171" s="51"/>
      <c r="Y171" s="51"/>
      <c r="Z171" s="51"/>
      <c r="AA171" s="51"/>
      <c r="AB171" s="51"/>
      <c r="AC171" s="51"/>
      <c r="AD171" s="51" t="s">
        <v>1792</v>
      </c>
      <c r="AE171" s="51" t="s">
        <v>1793</v>
      </c>
      <c r="AF171" s="51" t="str">
        <f t="shared" si="9"/>
        <v>A679072</v>
      </c>
      <c r="AG171" s="51" t="str">
        <f>VLOOKUP(AF171,AKT!$C$4:$E$324,3,FALSE)</f>
        <v>0942</v>
      </c>
    </row>
    <row r="172" spans="1:33" s="272" customFormat="1" ht="15.75" customHeight="1">
      <c r="A172" s="281">
        <v>563</v>
      </c>
      <c r="B172" s="282" t="s">
        <v>523</v>
      </c>
      <c r="C172" s="281">
        <v>3111</v>
      </c>
      <c r="D172" s="282" t="s">
        <v>626</v>
      </c>
      <c r="E172" s="281" t="s">
        <v>3563</v>
      </c>
      <c r="F172" s="282" t="s">
        <v>3319</v>
      </c>
      <c r="G172" s="79" t="str">
        <f t="shared" si="13"/>
        <v>0150</v>
      </c>
      <c r="H172" s="279">
        <v>136144</v>
      </c>
      <c r="I172" s="279">
        <v>0</v>
      </c>
      <c r="J172" s="279">
        <v>0</v>
      </c>
      <c r="K172" s="284" t="s">
        <v>1795</v>
      </c>
      <c r="L172" s="285">
        <v>43040</v>
      </c>
      <c r="M172" s="285">
        <v>45261</v>
      </c>
      <c r="N172" s="284" t="s">
        <v>1398</v>
      </c>
      <c r="O172" s="286" t="s">
        <v>1795</v>
      </c>
      <c r="P172" s="270"/>
      <c r="Q172" s="271"/>
      <c r="R172" s="271" t="str">
        <f t="shared" si="4"/>
        <v>311</v>
      </c>
      <c r="S172" s="271" t="str">
        <f t="shared" si="5"/>
        <v>31</v>
      </c>
      <c r="T172" s="271" t="str">
        <f t="shared" si="6"/>
        <v>15</v>
      </c>
      <c r="U172" s="271"/>
      <c r="V172" s="271"/>
      <c r="W172" s="271"/>
      <c r="X172" s="271"/>
      <c r="Y172" s="271"/>
      <c r="Z172" s="271"/>
      <c r="AA172" s="271"/>
      <c r="AB172" s="271"/>
      <c r="AC172" s="271"/>
      <c r="AD172" s="271" t="s">
        <v>1796</v>
      </c>
      <c r="AE172" s="271" t="s">
        <v>1797</v>
      </c>
      <c r="AF172" s="271" t="str">
        <f t="shared" si="9"/>
        <v>A679072</v>
      </c>
      <c r="AG172" s="271" t="str">
        <f>VLOOKUP(AF172,AKT!$C$4:$E$324,3,FALSE)</f>
        <v>0942</v>
      </c>
    </row>
    <row r="173" spans="1:33" s="272" customFormat="1" ht="15.75" customHeight="1">
      <c r="A173" s="281">
        <v>12</v>
      </c>
      <c r="B173" s="282" t="s">
        <v>489</v>
      </c>
      <c r="C173" s="281">
        <v>3111</v>
      </c>
      <c r="D173" s="282" t="s">
        <v>626</v>
      </c>
      <c r="E173" s="281" t="s">
        <v>3563</v>
      </c>
      <c r="F173" s="282" t="s">
        <v>3319</v>
      </c>
      <c r="G173" s="79" t="str">
        <f t="shared" si="13"/>
        <v>0150</v>
      </c>
      <c r="H173" s="279">
        <v>22464</v>
      </c>
      <c r="I173" s="279">
        <v>0</v>
      </c>
      <c r="J173" s="279">
        <v>0</v>
      </c>
      <c r="K173" s="284" t="s">
        <v>1795</v>
      </c>
      <c r="L173" s="285">
        <v>43040</v>
      </c>
      <c r="M173" s="285">
        <v>45261</v>
      </c>
      <c r="N173" s="284" t="s">
        <v>1398</v>
      </c>
      <c r="O173" s="286" t="s">
        <v>1795</v>
      </c>
      <c r="P173" s="270"/>
      <c r="Q173" s="271"/>
      <c r="R173" s="271" t="str">
        <f t="shared" si="4"/>
        <v>311</v>
      </c>
      <c r="S173" s="271" t="str">
        <f t="shared" si="5"/>
        <v>31</v>
      </c>
      <c r="T173" s="271" t="str">
        <f t="shared" si="6"/>
        <v>15</v>
      </c>
      <c r="U173" s="271"/>
      <c r="V173" s="271"/>
      <c r="W173" s="271"/>
      <c r="X173" s="271"/>
      <c r="Y173" s="271"/>
      <c r="Z173" s="271"/>
      <c r="AA173" s="271"/>
      <c r="AB173" s="271"/>
      <c r="AC173" s="271"/>
      <c r="AD173" s="271" t="s">
        <v>1798</v>
      </c>
      <c r="AE173" s="271" t="s">
        <v>1799</v>
      </c>
      <c r="AF173" s="271" t="str">
        <f t="shared" si="9"/>
        <v>A679072</v>
      </c>
      <c r="AG173" s="271" t="str">
        <f>VLOOKUP(AF173,AKT!$C$4:$E$324,3,FALSE)</f>
        <v>0942</v>
      </c>
    </row>
    <row r="174" spans="1:33" s="272" customFormat="1" ht="15.75" customHeight="1">
      <c r="A174" s="281">
        <v>563</v>
      </c>
      <c r="B174" s="282" t="s">
        <v>523</v>
      </c>
      <c r="C174" s="281">
        <v>3132</v>
      </c>
      <c r="D174" s="282" t="s">
        <v>651</v>
      </c>
      <c r="E174" s="281" t="s">
        <v>3563</v>
      </c>
      <c r="F174" s="282" t="s">
        <v>3319</v>
      </c>
      <c r="G174" s="79" t="str">
        <f t="shared" si="13"/>
        <v>0150</v>
      </c>
      <c r="H174" s="279">
        <v>26903</v>
      </c>
      <c r="I174" s="279">
        <v>0</v>
      </c>
      <c r="J174" s="279">
        <v>0</v>
      </c>
      <c r="K174" s="284" t="s">
        <v>1795</v>
      </c>
      <c r="L174" s="285">
        <v>43040</v>
      </c>
      <c r="M174" s="285">
        <v>45261</v>
      </c>
      <c r="N174" s="284" t="s">
        <v>1398</v>
      </c>
      <c r="O174" s="286" t="s">
        <v>1795</v>
      </c>
      <c r="P174" s="270"/>
      <c r="Q174" s="271"/>
      <c r="R174" s="271" t="str">
        <f t="shared" si="4"/>
        <v>313</v>
      </c>
      <c r="S174" s="271" t="str">
        <f t="shared" si="5"/>
        <v>31</v>
      </c>
      <c r="T174" s="271" t="str">
        <f t="shared" si="6"/>
        <v>15</v>
      </c>
      <c r="U174" s="271"/>
      <c r="V174" s="271"/>
      <c r="W174" s="271"/>
      <c r="X174" s="271"/>
      <c r="Y174" s="271"/>
      <c r="Z174" s="271"/>
      <c r="AA174" s="271"/>
      <c r="AB174" s="271"/>
      <c r="AC174" s="271"/>
      <c r="AD174" s="271" t="s">
        <v>1800</v>
      </c>
      <c r="AE174" s="271" t="s">
        <v>1801</v>
      </c>
      <c r="AF174" s="271" t="str">
        <f t="shared" si="9"/>
        <v>A679072</v>
      </c>
      <c r="AG174" s="271" t="str">
        <f>VLOOKUP(AF174,AKT!$C$4:$E$324,3,FALSE)</f>
        <v>0942</v>
      </c>
    </row>
    <row r="175" spans="1:33" s="272" customFormat="1" ht="15.75" customHeight="1">
      <c r="A175" s="281">
        <v>12</v>
      </c>
      <c r="B175" s="282" t="s">
        <v>489</v>
      </c>
      <c r="C175" s="281">
        <v>3132</v>
      </c>
      <c r="D175" s="282" t="s">
        <v>651</v>
      </c>
      <c r="E175" s="281" t="s">
        <v>3563</v>
      </c>
      <c r="F175" s="282" t="s">
        <v>3319</v>
      </c>
      <c r="G175" s="79" t="str">
        <f t="shared" si="13"/>
        <v>0150</v>
      </c>
      <c r="H175" s="279">
        <v>4439</v>
      </c>
      <c r="I175" s="279">
        <v>0</v>
      </c>
      <c r="J175" s="279">
        <v>0</v>
      </c>
      <c r="K175" s="284" t="s">
        <v>1795</v>
      </c>
      <c r="L175" s="285">
        <v>43040</v>
      </c>
      <c r="M175" s="285">
        <v>45261</v>
      </c>
      <c r="N175" s="284" t="s">
        <v>1398</v>
      </c>
      <c r="O175" s="286" t="s">
        <v>1795</v>
      </c>
      <c r="P175" s="270"/>
      <c r="Q175" s="271"/>
      <c r="R175" s="271" t="str">
        <f t="shared" si="4"/>
        <v>313</v>
      </c>
      <c r="S175" s="271" t="str">
        <f t="shared" si="5"/>
        <v>31</v>
      </c>
      <c r="T175" s="271" t="str">
        <f t="shared" si="6"/>
        <v>15</v>
      </c>
      <c r="U175" s="271"/>
      <c r="V175" s="271"/>
      <c r="W175" s="271"/>
      <c r="X175" s="271"/>
      <c r="Y175" s="271"/>
      <c r="Z175" s="271"/>
      <c r="AA175" s="271"/>
      <c r="AB175" s="271"/>
      <c r="AC175" s="271"/>
      <c r="AD175" s="271" t="s">
        <v>1802</v>
      </c>
      <c r="AE175" s="271" t="s">
        <v>1803</v>
      </c>
      <c r="AF175" s="271" t="str">
        <f t="shared" si="9"/>
        <v>A679072</v>
      </c>
      <c r="AG175" s="271" t="str">
        <f>VLOOKUP(AF175,AKT!$C$4:$E$324,3,FALSE)</f>
        <v>0942</v>
      </c>
    </row>
    <row r="176" spans="1:33" s="272" customFormat="1" ht="15.75" customHeight="1">
      <c r="A176" s="281">
        <v>563</v>
      </c>
      <c r="B176" s="282" t="s">
        <v>523</v>
      </c>
      <c r="C176" s="281">
        <v>3211</v>
      </c>
      <c r="D176" s="282" t="s">
        <v>655</v>
      </c>
      <c r="E176" s="281" t="s">
        <v>3563</v>
      </c>
      <c r="F176" s="282" t="s">
        <v>3319</v>
      </c>
      <c r="G176" s="79" t="str">
        <f t="shared" si="13"/>
        <v>0150</v>
      </c>
      <c r="H176" s="279">
        <v>67867</v>
      </c>
      <c r="I176" s="279">
        <v>0</v>
      </c>
      <c r="J176" s="279">
        <v>0</v>
      </c>
      <c r="K176" s="284" t="s">
        <v>1795</v>
      </c>
      <c r="L176" s="285">
        <v>43040</v>
      </c>
      <c r="M176" s="285">
        <v>45261</v>
      </c>
      <c r="N176" s="284" t="s">
        <v>1398</v>
      </c>
      <c r="O176" s="286" t="s">
        <v>1795</v>
      </c>
      <c r="P176" s="270"/>
      <c r="Q176" s="271"/>
      <c r="R176" s="271" t="str">
        <f t="shared" si="4"/>
        <v>321</v>
      </c>
      <c r="S176" s="271" t="str">
        <f t="shared" si="5"/>
        <v>32</v>
      </c>
      <c r="T176" s="271" t="str">
        <f t="shared" si="6"/>
        <v>15</v>
      </c>
      <c r="U176" s="271"/>
      <c r="V176" s="271"/>
      <c r="W176" s="271"/>
      <c r="X176" s="271"/>
      <c r="Y176" s="271"/>
      <c r="Z176" s="271"/>
      <c r="AA176" s="271"/>
      <c r="AB176" s="271"/>
      <c r="AC176" s="271"/>
      <c r="AD176" s="271" t="s">
        <v>1804</v>
      </c>
      <c r="AE176" s="271" t="s">
        <v>1805</v>
      </c>
      <c r="AF176" s="271" t="str">
        <f t="shared" si="9"/>
        <v>A679072</v>
      </c>
      <c r="AG176" s="271" t="str">
        <f>VLOOKUP(AF176,AKT!$C$4:$E$324,3,FALSE)</f>
        <v>0942</v>
      </c>
    </row>
    <row r="177" spans="1:33" s="272" customFormat="1" ht="15.75" customHeight="1">
      <c r="A177" s="281">
        <v>12</v>
      </c>
      <c r="B177" s="282" t="s">
        <v>489</v>
      </c>
      <c r="C177" s="281">
        <v>3211</v>
      </c>
      <c r="D177" s="282" t="s">
        <v>655</v>
      </c>
      <c r="E177" s="281" t="s">
        <v>3563</v>
      </c>
      <c r="F177" s="282" t="s">
        <v>3319</v>
      </c>
      <c r="G177" s="79" t="str">
        <f t="shared" si="13"/>
        <v>0150</v>
      </c>
      <c r="H177" s="279">
        <v>11198</v>
      </c>
      <c r="I177" s="279">
        <v>0</v>
      </c>
      <c r="J177" s="279">
        <v>0</v>
      </c>
      <c r="K177" s="284" t="s">
        <v>1795</v>
      </c>
      <c r="L177" s="285">
        <v>43040</v>
      </c>
      <c r="M177" s="285">
        <v>45261</v>
      </c>
      <c r="N177" s="284" t="s">
        <v>1398</v>
      </c>
      <c r="O177" s="286" t="s">
        <v>1795</v>
      </c>
      <c r="P177" s="270"/>
      <c r="Q177" s="271"/>
      <c r="R177" s="271" t="str">
        <f t="shared" si="4"/>
        <v>321</v>
      </c>
      <c r="S177" s="271" t="str">
        <f t="shared" si="5"/>
        <v>32</v>
      </c>
      <c r="T177" s="271" t="str">
        <f t="shared" si="6"/>
        <v>15</v>
      </c>
      <c r="U177" s="271"/>
      <c r="V177" s="271"/>
      <c r="W177" s="271"/>
      <c r="X177" s="271"/>
      <c r="Y177" s="271"/>
      <c r="Z177" s="271"/>
      <c r="AA177" s="271"/>
      <c r="AB177" s="271"/>
      <c r="AC177" s="271"/>
      <c r="AD177" s="271" t="s">
        <v>1806</v>
      </c>
      <c r="AE177" s="271" t="s">
        <v>1807</v>
      </c>
      <c r="AF177" s="271" t="str">
        <f t="shared" si="9"/>
        <v>A679072</v>
      </c>
      <c r="AG177" s="271" t="str">
        <f>VLOOKUP(AF177,AKT!$C$4:$E$324,3,FALSE)</f>
        <v>0942</v>
      </c>
    </row>
    <row r="178" spans="1:33" s="272" customFormat="1" ht="15.75" customHeight="1">
      <c r="A178" s="281">
        <v>563</v>
      </c>
      <c r="B178" s="282" t="s">
        <v>523</v>
      </c>
      <c r="C178" s="281">
        <v>3222</v>
      </c>
      <c r="D178" s="282" t="s">
        <v>674</v>
      </c>
      <c r="E178" s="281" t="s">
        <v>3563</v>
      </c>
      <c r="F178" s="282" t="s">
        <v>3319</v>
      </c>
      <c r="G178" s="79" t="str">
        <f t="shared" si="13"/>
        <v>0150</v>
      </c>
      <c r="H178" s="279">
        <v>6251</v>
      </c>
      <c r="I178" s="279">
        <v>0</v>
      </c>
      <c r="J178" s="279">
        <v>0</v>
      </c>
      <c r="K178" s="284" t="s">
        <v>1795</v>
      </c>
      <c r="L178" s="285">
        <v>43040</v>
      </c>
      <c r="M178" s="285">
        <v>45261</v>
      </c>
      <c r="N178" s="284" t="s">
        <v>1398</v>
      </c>
      <c r="O178" s="286" t="s">
        <v>1795</v>
      </c>
      <c r="P178" s="270"/>
      <c r="Q178" s="271"/>
      <c r="R178" s="271" t="str">
        <f t="shared" si="4"/>
        <v>322</v>
      </c>
      <c r="S178" s="271" t="str">
        <f t="shared" si="5"/>
        <v>32</v>
      </c>
      <c r="T178" s="271" t="str">
        <f t="shared" si="6"/>
        <v>15</v>
      </c>
      <c r="U178" s="271"/>
      <c r="V178" s="271"/>
      <c r="W178" s="271"/>
      <c r="X178" s="271"/>
      <c r="Y178" s="271"/>
      <c r="Z178" s="271"/>
      <c r="AA178" s="271"/>
      <c r="AB178" s="271"/>
      <c r="AC178" s="271"/>
      <c r="AD178" s="271" t="s">
        <v>1808</v>
      </c>
      <c r="AE178" s="271" t="s">
        <v>1809</v>
      </c>
      <c r="AF178" s="271" t="str">
        <f t="shared" si="9"/>
        <v>A679072</v>
      </c>
      <c r="AG178" s="271" t="str">
        <f>VLOOKUP(AF178,AKT!$C$4:$E$324,3,FALSE)</f>
        <v>0942</v>
      </c>
    </row>
    <row r="179" spans="1:33" s="272" customFormat="1" ht="15.75" customHeight="1">
      <c r="A179" s="281">
        <v>12</v>
      </c>
      <c r="B179" s="282" t="s">
        <v>489</v>
      </c>
      <c r="C179" s="281">
        <v>3222</v>
      </c>
      <c r="D179" s="282" t="s">
        <v>674</v>
      </c>
      <c r="E179" s="281" t="s">
        <v>3563</v>
      </c>
      <c r="F179" s="282" t="s">
        <v>3319</v>
      </c>
      <c r="G179" s="79" t="str">
        <f t="shared" si="13"/>
        <v>0150</v>
      </c>
      <c r="H179" s="279">
        <v>992</v>
      </c>
      <c r="I179" s="279">
        <v>0</v>
      </c>
      <c r="J179" s="279">
        <v>0</v>
      </c>
      <c r="K179" s="284" t="s">
        <v>1795</v>
      </c>
      <c r="L179" s="285">
        <v>43040</v>
      </c>
      <c r="M179" s="285">
        <v>45261</v>
      </c>
      <c r="N179" s="284" t="s">
        <v>1398</v>
      </c>
      <c r="O179" s="286" t="s">
        <v>1795</v>
      </c>
      <c r="P179" s="270"/>
      <c r="Q179" s="271"/>
      <c r="R179" s="271" t="str">
        <f t="shared" si="4"/>
        <v>322</v>
      </c>
      <c r="S179" s="271" t="str">
        <f t="shared" si="5"/>
        <v>32</v>
      </c>
      <c r="T179" s="271" t="str">
        <f t="shared" si="6"/>
        <v>15</v>
      </c>
      <c r="U179" s="271"/>
      <c r="V179" s="271"/>
      <c r="W179" s="271"/>
      <c r="X179" s="271"/>
      <c r="Y179" s="271"/>
      <c r="Z179" s="271"/>
      <c r="AA179" s="271"/>
      <c r="AB179" s="271"/>
      <c r="AC179" s="271"/>
      <c r="AD179" s="271" t="s">
        <v>1810</v>
      </c>
      <c r="AE179" s="271" t="s">
        <v>1811</v>
      </c>
      <c r="AF179" s="271" t="str">
        <f t="shared" si="9"/>
        <v>A679072</v>
      </c>
      <c r="AG179" s="271" t="str">
        <f>VLOOKUP(AF179,AKT!$C$4:$E$324,3,FALSE)</f>
        <v>0942</v>
      </c>
    </row>
    <row r="180" spans="1:33" s="272" customFormat="1" ht="15.75" customHeight="1">
      <c r="A180" s="281">
        <v>563</v>
      </c>
      <c r="B180" s="282" t="s">
        <v>523</v>
      </c>
      <c r="C180" s="281">
        <v>3237</v>
      </c>
      <c r="D180" s="282" t="s">
        <v>716</v>
      </c>
      <c r="E180" s="281" t="s">
        <v>3563</v>
      </c>
      <c r="F180" s="282" t="s">
        <v>3319</v>
      </c>
      <c r="G180" s="79" t="str">
        <f t="shared" si="13"/>
        <v>0150</v>
      </c>
      <c r="H180" s="279">
        <v>24897</v>
      </c>
      <c r="I180" s="279">
        <v>0</v>
      </c>
      <c r="J180" s="279">
        <v>0</v>
      </c>
      <c r="K180" s="284" t="s">
        <v>1795</v>
      </c>
      <c r="L180" s="285">
        <v>43040</v>
      </c>
      <c r="M180" s="285">
        <v>45261</v>
      </c>
      <c r="N180" s="284" t="s">
        <v>1398</v>
      </c>
      <c r="O180" s="286" t="s">
        <v>1795</v>
      </c>
      <c r="P180" s="270"/>
      <c r="Q180" s="271"/>
      <c r="R180" s="271" t="str">
        <f t="shared" si="4"/>
        <v>323</v>
      </c>
      <c r="S180" s="271" t="str">
        <f t="shared" si="5"/>
        <v>32</v>
      </c>
      <c r="T180" s="271" t="str">
        <f t="shared" si="6"/>
        <v>15</v>
      </c>
      <c r="U180" s="271"/>
      <c r="V180" s="271"/>
      <c r="W180" s="271"/>
      <c r="X180" s="271"/>
      <c r="Y180" s="271"/>
      <c r="Z180" s="271"/>
      <c r="AA180" s="271"/>
      <c r="AB180" s="271"/>
      <c r="AC180" s="271"/>
      <c r="AD180" s="271" t="s">
        <v>1812</v>
      </c>
      <c r="AE180" s="271" t="s">
        <v>1813</v>
      </c>
      <c r="AF180" s="271" t="str">
        <f t="shared" si="9"/>
        <v>A679072</v>
      </c>
      <c r="AG180" s="271" t="str">
        <f>VLOOKUP(AF180,AKT!$C$4:$E$324,3,FALSE)</f>
        <v>0942</v>
      </c>
    </row>
    <row r="181" spans="1:33" s="272" customFormat="1" ht="15.75" customHeight="1">
      <c r="A181" s="281">
        <v>12</v>
      </c>
      <c r="B181" s="282" t="s">
        <v>489</v>
      </c>
      <c r="C181" s="281">
        <v>3237</v>
      </c>
      <c r="D181" s="282" t="s">
        <v>716</v>
      </c>
      <c r="E181" s="281" t="s">
        <v>3563</v>
      </c>
      <c r="F181" s="282" t="s">
        <v>3319</v>
      </c>
      <c r="G181" s="79" t="str">
        <f t="shared" si="13"/>
        <v>0150</v>
      </c>
      <c r="H181" s="279">
        <v>4108</v>
      </c>
      <c r="I181" s="279">
        <v>0</v>
      </c>
      <c r="J181" s="279">
        <v>0</v>
      </c>
      <c r="K181" s="284" t="s">
        <v>1795</v>
      </c>
      <c r="L181" s="285">
        <v>43040</v>
      </c>
      <c r="M181" s="285">
        <v>45261</v>
      </c>
      <c r="N181" s="284" t="s">
        <v>1398</v>
      </c>
      <c r="O181" s="286" t="s">
        <v>1795</v>
      </c>
      <c r="P181" s="270"/>
      <c r="Q181" s="271"/>
      <c r="R181" s="271" t="str">
        <f t="shared" si="4"/>
        <v>323</v>
      </c>
      <c r="S181" s="271" t="str">
        <f t="shared" si="5"/>
        <v>32</v>
      </c>
      <c r="T181" s="271" t="str">
        <f t="shared" si="6"/>
        <v>15</v>
      </c>
      <c r="U181" s="271"/>
      <c r="V181" s="271"/>
      <c r="W181" s="271"/>
      <c r="X181" s="271"/>
      <c r="Y181" s="271"/>
      <c r="Z181" s="271"/>
      <c r="AA181" s="271"/>
      <c r="AB181" s="271"/>
      <c r="AC181" s="271"/>
      <c r="AD181" s="271" t="s">
        <v>1814</v>
      </c>
      <c r="AE181" s="271" t="s">
        <v>1815</v>
      </c>
      <c r="AF181" s="271" t="str">
        <f t="shared" si="9"/>
        <v>A679072</v>
      </c>
      <c r="AG181" s="271" t="str">
        <f>VLOOKUP(AF181,AKT!$C$4:$E$324,3,FALSE)</f>
        <v>0942</v>
      </c>
    </row>
    <row r="182" spans="1:33" s="272" customFormat="1" ht="15.75" customHeight="1">
      <c r="A182" s="281" t="s">
        <v>5379</v>
      </c>
      <c r="B182" s="282" t="s">
        <v>489</v>
      </c>
      <c r="C182" s="281" t="s">
        <v>5380</v>
      </c>
      <c r="D182" s="282" t="s">
        <v>626</v>
      </c>
      <c r="E182" s="281" t="s">
        <v>3563</v>
      </c>
      <c r="F182" s="282" t="s">
        <v>3319</v>
      </c>
      <c r="G182" s="79" t="str">
        <f t="shared" si="13"/>
        <v>0150</v>
      </c>
      <c r="H182" s="279"/>
      <c r="I182" s="279"/>
      <c r="J182" s="279">
        <v>0</v>
      </c>
      <c r="K182" s="284" t="s">
        <v>1816</v>
      </c>
      <c r="L182" s="285">
        <v>43040</v>
      </c>
      <c r="M182" s="285">
        <v>45018</v>
      </c>
      <c r="N182" s="284" t="s">
        <v>1398</v>
      </c>
      <c r="O182" s="286" t="s">
        <v>1816</v>
      </c>
      <c r="P182" s="270"/>
      <c r="Q182" s="271"/>
      <c r="R182" s="271" t="str">
        <f t="shared" si="4"/>
        <v>311</v>
      </c>
      <c r="S182" s="271" t="str">
        <f t="shared" si="5"/>
        <v>31</v>
      </c>
      <c r="T182" s="271" t="str">
        <f t="shared" si="6"/>
        <v>15</v>
      </c>
      <c r="U182" s="271"/>
      <c r="V182" s="271"/>
      <c r="W182" s="271"/>
      <c r="X182" s="271"/>
      <c r="Y182" s="271"/>
      <c r="Z182" s="271"/>
      <c r="AA182" s="271"/>
      <c r="AB182" s="271"/>
      <c r="AC182" s="271"/>
      <c r="AD182" s="271" t="s">
        <v>1817</v>
      </c>
      <c r="AE182" s="271" t="s">
        <v>1818</v>
      </c>
      <c r="AF182" s="271" t="str">
        <f t="shared" si="9"/>
        <v>A679072</v>
      </c>
      <c r="AG182" s="271" t="str">
        <f>VLOOKUP(AF182,AKT!$C$4:$E$324,3,FALSE)</f>
        <v>0942</v>
      </c>
    </row>
    <row r="183" spans="1:33" s="272" customFormat="1" ht="15.75" customHeight="1">
      <c r="A183" s="281" t="s">
        <v>5379</v>
      </c>
      <c r="B183" s="282" t="s">
        <v>489</v>
      </c>
      <c r="C183" s="281" t="s">
        <v>5381</v>
      </c>
      <c r="D183" s="282" t="s">
        <v>651</v>
      </c>
      <c r="E183" s="281" t="s">
        <v>3563</v>
      </c>
      <c r="F183" s="282" t="s">
        <v>3319</v>
      </c>
      <c r="G183" s="79" t="str">
        <f t="shared" si="13"/>
        <v>0150</v>
      </c>
      <c r="H183" s="279"/>
      <c r="I183" s="279"/>
      <c r="J183" s="279">
        <v>0</v>
      </c>
      <c r="K183" s="284" t="s">
        <v>1816</v>
      </c>
      <c r="L183" s="285">
        <v>43040</v>
      </c>
      <c r="M183" s="285">
        <v>45018</v>
      </c>
      <c r="N183" s="284" t="s">
        <v>1398</v>
      </c>
      <c r="O183" s="286" t="s">
        <v>1816</v>
      </c>
      <c r="P183" s="270"/>
      <c r="Q183" s="271"/>
      <c r="R183" s="271" t="str">
        <f t="shared" si="4"/>
        <v>313</v>
      </c>
      <c r="S183" s="271" t="str">
        <f t="shared" si="5"/>
        <v>31</v>
      </c>
      <c r="T183" s="271" t="str">
        <f t="shared" si="6"/>
        <v>15</v>
      </c>
      <c r="U183" s="271"/>
      <c r="V183" s="271"/>
      <c r="W183" s="271"/>
      <c r="X183" s="271"/>
      <c r="Y183" s="271"/>
      <c r="Z183" s="271"/>
      <c r="AA183" s="271"/>
      <c r="AB183" s="271"/>
      <c r="AC183" s="271"/>
      <c r="AD183" s="271" t="s">
        <v>1819</v>
      </c>
      <c r="AE183" s="271" t="s">
        <v>1820</v>
      </c>
      <c r="AF183" s="271" t="str">
        <f t="shared" si="9"/>
        <v>A679072</v>
      </c>
      <c r="AG183" s="271" t="str">
        <f>VLOOKUP(AF183,AKT!$C$4:$E$324,3,FALSE)</f>
        <v>0942</v>
      </c>
    </row>
    <row r="184" spans="1:33" s="272" customFormat="1" ht="15.75" customHeight="1">
      <c r="A184" s="281" t="s">
        <v>5379</v>
      </c>
      <c r="B184" s="282" t="s">
        <v>489</v>
      </c>
      <c r="C184" s="281" t="s">
        <v>5382</v>
      </c>
      <c r="D184" s="282" t="s">
        <v>655</v>
      </c>
      <c r="E184" s="281" t="s">
        <v>3563</v>
      </c>
      <c r="F184" s="282" t="s">
        <v>3319</v>
      </c>
      <c r="G184" s="79" t="str">
        <f t="shared" si="13"/>
        <v>0150</v>
      </c>
      <c r="H184" s="279">
        <v>13671</v>
      </c>
      <c r="I184" s="279"/>
      <c r="J184" s="279">
        <v>0</v>
      </c>
      <c r="K184" s="284" t="s">
        <v>1816</v>
      </c>
      <c r="L184" s="285">
        <v>43040</v>
      </c>
      <c r="M184" s="285">
        <v>45018</v>
      </c>
      <c r="N184" s="284" t="s">
        <v>1398</v>
      </c>
      <c r="O184" s="286" t="s">
        <v>1816</v>
      </c>
      <c r="P184" s="270"/>
      <c r="Q184" s="271"/>
      <c r="R184" s="271" t="str">
        <f t="shared" si="4"/>
        <v>321</v>
      </c>
      <c r="S184" s="271" t="str">
        <f t="shared" si="5"/>
        <v>32</v>
      </c>
      <c r="T184" s="271" t="str">
        <f t="shared" si="6"/>
        <v>15</v>
      </c>
      <c r="U184" s="271"/>
      <c r="V184" s="271"/>
      <c r="W184" s="271"/>
      <c r="X184" s="271"/>
      <c r="Y184" s="271"/>
      <c r="Z184" s="271"/>
      <c r="AA184" s="271"/>
      <c r="AB184" s="271"/>
      <c r="AC184" s="271"/>
      <c r="AD184" s="271" t="s">
        <v>1821</v>
      </c>
      <c r="AE184" s="271" t="s">
        <v>1822</v>
      </c>
      <c r="AF184" s="271" t="str">
        <f t="shared" si="9"/>
        <v>A679072</v>
      </c>
      <c r="AG184" s="271" t="str">
        <f>VLOOKUP(AF184,AKT!$C$4:$E$324,3,FALSE)</f>
        <v>0942</v>
      </c>
    </row>
    <row r="185" spans="1:33" s="272" customFormat="1" ht="15.75" customHeight="1">
      <c r="A185" s="281" t="s">
        <v>5379</v>
      </c>
      <c r="B185" s="282" t="s">
        <v>489</v>
      </c>
      <c r="C185" s="281" t="s">
        <v>5383</v>
      </c>
      <c r="D185" s="282" t="s">
        <v>659</v>
      </c>
      <c r="E185" s="281" t="s">
        <v>3563</v>
      </c>
      <c r="F185" s="282" t="s">
        <v>3319</v>
      </c>
      <c r="G185" s="79" t="str">
        <f t="shared" si="13"/>
        <v>0150</v>
      </c>
      <c r="H185" s="279">
        <v>223</v>
      </c>
      <c r="I185" s="279"/>
      <c r="J185" s="279">
        <v>0</v>
      </c>
      <c r="K185" s="284" t="s">
        <v>1816</v>
      </c>
      <c r="L185" s="285">
        <v>43040</v>
      </c>
      <c r="M185" s="285">
        <v>45018</v>
      </c>
      <c r="N185" s="284" t="s">
        <v>1398</v>
      </c>
      <c r="O185" s="286" t="s">
        <v>1816</v>
      </c>
      <c r="P185" s="270"/>
      <c r="Q185" s="271"/>
      <c r="R185" s="271" t="str">
        <f t="shared" si="4"/>
        <v>321</v>
      </c>
      <c r="S185" s="271" t="str">
        <f t="shared" si="5"/>
        <v>32</v>
      </c>
      <c r="T185" s="271" t="str">
        <f t="shared" si="6"/>
        <v>15</v>
      </c>
      <c r="U185" s="271"/>
      <c r="V185" s="271"/>
      <c r="W185" s="271"/>
      <c r="X185" s="271"/>
      <c r="Y185" s="271"/>
      <c r="Z185" s="271"/>
      <c r="AA185" s="271"/>
      <c r="AB185" s="271"/>
      <c r="AC185" s="271"/>
      <c r="AD185" s="271" t="s">
        <v>1823</v>
      </c>
      <c r="AE185" s="271" t="s">
        <v>1824</v>
      </c>
      <c r="AF185" s="271" t="str">
        <f t="shared" si="9"/>
        <v>A679072</v>
      </c>
      <c r="AG185" s="271" t="str">
        <f>VLOOKUP(AF185,AKT!$C$4:$E$324,3,FALSE)</f>
        <v>0942</v>
      </c>
    </row>
    <row r="186" spans="1:33" s="272" customFormat="1" ht="15.75" customHeight="1">
      <c r="A186" s="281" t="s">
        <v>5379</v>
      </c>
      <c r="B186" s="282" t="s">
        <v>489</v>
      </c>
      <c r="C186" s="281" t="s">
        <v>5384</v>
      </c>
      <c r="D186" s="282" t="s">
        <v>662</v>
      </c>
      <c r="E186" s="281" t="s">
        <v>3563</v>
      </c>
      <c r="F186" s="282" t="s">
        <v>3319</v>
      </c>
      <c r="G186" s="79" t="str">
        <f t="shared" si="13"/>
        <v>0150</v>
      </c>
      <c r="H186" s="279">
        <v>5962</v>
      </c>
      <c r="I186" s="279"/>
      <c r="J186" s="279">
        <v>0</v>
      </c>
      <c r="K186" s="284" t="s">
        <v>1816</v>
      </c>
      <c r="L186" s="285">
        <v>43040</v>
      </c>
      <c r="M186" s="285">
        <v>45018</v>
      </c>
      <c r="N186" s="284" t="s">
        <v>1398</v>
      </c>
      <c r="O186" s="286" t="s">
        <v>1816</v>
      </c>
      <c r="P186" s="270"/>
      <c r="Q186" s="271"/>
      <c r="R186" s="271" t="str">
        <f t="shared" si="4"/>
        <v>321</v>
      </c>
      <c r="S186" s="271" t="str">
        <f t="shared" si="5"/>
        <v>32</v>
      </c>
      <c r="T186" s="271" t="str">
        <f t="shared" si="6"/>
        <v>15</v>
      </c>
      <c r="U186" s="271"/>
      <c r="V186" s="271"/>
      <c r="W186" s="271"/>
      <c r="X186" s="271"/>
      <c r="Y186" s="271"/>
      <c r="Z186" s="271"/>
      <c r="AA186" s="271"/>
      <c r="AB186" s="271"/>
      <c r="AC186" s="271"/>
      <c r="AD186" s="271" t="s">
        <v>1825</v>
      </c>
      <c r="AE186" s="271" t="s">
        <v>1826</v>
      </c>
      <c r="AF186" s="271" t="str">
        <f t="shared" si="9"/>
        <v>A679072</v>
      </c>
      <c r="AG186" s="271" t="str">
        <f>VLOOKUP(AF186,AKT!$C$4:$E$324,3,FALSE)</f>
        <v>0942</v>
      </c>
    </row>
    <row r="187" spans="1:33" s="272" customFormat="1" ht="15.75" customHeight="1">
      <c r="A187" s="281" t="s">
        <v>5379</v>
      </c>
      <c r="B187" s="282" t="s">
        <v>489</v>
      </c>
      <c r="C187" s="281" t="s">
        <v>5385</v>
      </c>
      <c r="D187" s="282" t="s">
        <v>671</v>
      </c>
      <c r="E187" s="281" t="s">
        <v>3563</v>
      </c>
      <c r="F187" s="282" t="s">
        <v>3319</v>
      </c>
      <c r="G187" s="79" t="str">
        <f t="shared" si="13"/>
        <v>0150</v>
      </c>
      <c r="H187" s="279"/>
      <c r="I187" s="279"/>
      <c r="J187" s="279">
        <v>0</v>
      </c>
      <c r="K187" s="284" t="s">
        <v>1816</v>
      </c>
      <c r="L187" s="285">
        <v>43040</v>
      </c>
      <c r="M187" s="285">
        <v>45018</v>
      </c>
      <c r="N187" s="284" t="s">
        <v>1398</v>
      </c>
      <c r="O187" s="286" t="s">
        <v>1816</v>
      </c>
      <c r="P187" s="270"/>
      <c r="Q187" s="271"/>
      <c r="R187" s="271" t="str">
        <f t="shared" si="4"/>
        <v>322</v>
      </c>
      <c r="S187" s="271" t="str">
        <f t="shared" si="5"/>
        <v>32</v>
      </c>
      <c r="T187" s="271" t="str">
        <f t="shared" si="6"/>
        <v>15</v>
      </c>
      <c r="U187" s="271"/>
      <c r="V187" s="271"/>
      <c r="W187" s="271"/>
      <c r="X187" s="271"/>
      <c r="Y187" s="271"/>
      <c r="Z187" s="271"/>
      <c r="AA187" s="271"/>
      <c r="AB187" s="271"/>
      <c r="AC187" s="271"/>
      <c r="AD187" s="271" t="s">
        <v>1827</v>
      </c>
      <c r="AE187" s="271" t="s">
        <v>1828</v>
      </c>
      <c r="AF187" s="271" t="str">
        <f t="shared" si="9"/>
        <v>A679072</v>
      </c>
      <c r="AG187" s="271" t="str">
        <f>VLOOKUP(AF187,AKT!$C$4:$E$324,3,FALSE)</f>
        <v>0942</v>
      </c>
    </row>
    <row r="188" spans="1:33" s="272" customFormat="1" ht="15.75" customHeight="1">
      <c r="A188" s="281" t="s">
        <v>5379</v>
      </c>
      <c r="B188" s="282" t="s">
        <v>489</v>
      </c>
      <c r="C188" s="281" t="s">
        <v>5386</v>
      </c>
      <c r="D188" s="282" t="s">
        <v>681</v>
      </c>
      <c r="E188" s="281" t="s">
        <v>3563</v>
      </c>
      <c r="F188" s="282" t="s">
        <v>3319</v>
      </c>
      <c r="G188" s="79" t="str">
        <f t="shared" si="13"/>
        <v>0150</v>
      </c>
      <c r="H188" s="279">
        <v>1508</v>
      </c>
      <c r="I188" s="279"/>
      <c r="J188" s="279">
        <v>0</v>
      </c>
      <c r="K188" s="284" t="s">
        <v>1816</v>
      </c>
      <c r="L188" s="285">
        <v>43040</v>
      </c>
      <c r="M188" s="285">
        <v>45018</v>
      </c>
      <c r="N188" s="284" t="s">
        <v>1398</v>
      </c>
      <c r="O188" s="286" t="s">
        <v>1816</v>
      </c>
      <c r="P188" s="270"/>
      <c r="Q188" s="271"/>
      <c r="R188" s="271" t="str">
        <f t="shared" si="4"/>
        <v>322</v>
      </c>
      <c r="S188" s="271" t="str">
        <f t="shared" si="5"/>
        <v>32</v>
      </c>
      <c r="T188" s="271" t="str">
        <f t="shared" si="6"/>
        <v>15</v>
      </c>
      <c r="U188" s="271"/>
      <c r="V188" s="271"/>
      <c r="W188" s="271"/>
      <c r="X188" s="271"/>
      <c r="Y188" s="271"/>
      <c r="Z188" s="271"/>
      <c r="AA188" s="271"/>
      <c r="AB188" s="271"/>
      <c r="AC188" s="271"/>
      <c r="AD188" s="271" t="s">
        <v>1829</v>
      </c>
      <c r="AE188" s="271" t="s">
        <v>1830</v>
      </c>
      <c r="AF188" s="271" t="str">
        <f t="shared" si="9"/>
        <v>A679072</v>
      </c>
      <c r="AG188" s="271" t="str">
        <f>VLOOKUP(AF188,AKT!$C$4:$E$324,3,FALSE)</f>
        <v>0942</v>
      </c>
    </row>
    <row r="189" spans="1:33" s="272" customFormat="1" ht="15.75" customHeight="1">
      <c r="A189" s="281" t="s">
        <v>5379</v>
      </c>
      <c r="B189" s="282" t="s">
        <v>489</v>
      </c>
      <c r="C189" s="281" t="s">
        <v>5387</v>
      </c>
      <c r="D189" s="282" t="s">
        <v>684</v>
      </c>
      <c r="E189" s="281" t="s">
        <v>3563</v>
      </c>
      <c r="F189" s="282" t="s">
        <v>3319</v>
      </c>
      <c r="G189" s="79" t="str">
        <f t="shared" si="13"/>
        <v>0150</v>
      </c>
      <c r="H189" s="279">
        <v>30259</v>
      </c>
      <c r="I189" s="279"/>
      <c r="J189" s="279">
        <v>0</v>
      </c>
      <c r="K189" s="284" t="s">
        <v>1816</v>
      </c>
      <c r="L189" s="285">
        <v>43040</v>
      </c>
      <c r="M189" s="285">
        <v>45018</v>
      </c>
      <c r="N189" s="284" t="s">
        <v>1398</v>
      </c>
      <c r="O189" s="286" t="s">
        <v>1816</v>
      </c>
      <c r="P189" s="270"/>
      <c r="Q189" s="271"/>
      <c r="R189" s="271" t="str">
        <f t="shared" si="4"/>
        <v>322</v>
      </c>
      <c r="S189" s="271" t="str">
        <f t="shared" si="5"/>
        <v>32</v>
      </c>
      <c r="T189" s="271" t="str">
        <f t="shared" si="6"/>
        <v>15</v>
      </c>
      <c r="U189" s="271"/>
      <c r="V189" s="271"/>
      <c r="W189" s="271"/>
      <c r="X189" s="271"/>
      <c r="Y189" s="271"/>
      <c r="Z189" s="271"/>
      <c r="AA189" s="271"/>
      <c r="AB189" s="271"/>
      <c r="AC189" s="271"/>
      <c r="AD189" s="271" t="s">
        <v>1831</v>
      </c>
      <c r="AE189" s="271" t="s">
        <v>1832</v>
      </c>
      <c r="AF189" s="271" t="str">
        <f t="shared" si="9"/>
        <v>A679072</v>
      </c>
      <c r="AG189" s="271" t="str">
        <f>VLOOKUP(AF189,AKT!$C$4:$E$324,3,FALSE)</f>
        <v>0942</v>
      </c>
    </row>
    <row r="190" spans="1:33" s="272" customFormat="1" ht="15.75" customHeight="1">
      <c r="A190" s="281" t="s">
        <v>5379</v>
      </c>
      <c r="B190" s="282" t="s">
        <v>489</v>
      </c>
      <c r="C190" s="281" t="s">
        <v>5388</v>
      </c>
      <c r="D190" s="282" t="s">
        <v>696</v>
      </c>
      <c r="E190" s="281" t="s">
        <v>3563</v>
      </c>
      <c r="F190" s="282" t="s">
        <v>3319</v>
      </c>
      <c r="G190" s="79" t="str">
        <f t="shared" si="13"/>
        <v>0150</v>
      </c>
      <c r="H190" s="279"/>
      <c r="I190" s="279"/>
      <c r="J190" s="279">
        <v>0</v>
      </c>
      <c r="K190" s="284" t="s">
        <v>1816</v>
      </c>
      <c r="L190" s="285">
        <v>43040</v>
      </c>
      <c r="M190" s="285">
        <v>45018</v>
      </c>
      <c r="N190" s="284" t="s">
        <v>1398</v>
      </c>
      <c r="O190" s="286" t="s">
        <v>1816</v>
      </c>
      <c r="P190" s="270"/>
      <c r="Q190" s="271"/>
      <c r="R190" s="271" t="str">
        <f t="shared" si="4"/>
        <v>323</v>
      </c>
      <c r="S190" s="271" t="str">
        <f t="shared" si="5"/>
        <v>32</v>
      </c>
      <c r="T190" s="271" t="str">
        <f t="shared" si="6"/>
        <v>15</v>
      </c>
      <c r="U190" s="271"/>
      <c r="V190" s="271"/>
      <c r="W190" s="271"/>
      <c r="X190" s="271"/>
      <c r="Y190" s="271"/>
      <c r="Z190" s="271"/>
      <c r="AA190" s="271"/>
      <c r="AB190" s="271"/>
      <c r="AC190" s="271"/>
      <c r="AD190" s="271" t="s">
        <v>1833</v>
      </c>
      <c r="AE190" s="271" t="s">
        <v>1834</v>
      </c>
      <c r="AF190" s="271" t="str">
        <f t="shared" si="9"/>
        <v>A679072</v>
      </c>
      <c r="AG190" s="271" t="str">
        <f>VLOOKUP(AF190,AKT!$C$4:$E$324,3,FALSE)</f>
        <v>0942</v>
      </c>
    </row>
    <row r="191" spans="1:33" s="272" customFormat="1" ht="15.75" customHeight="1">
      <c r="A191" s="281" t="s">
        <v>5379</v>
      </c>
      <c r="B191" s="282" t="s">
        <v>489</v>
      </c>
      <c r="C191" s="281" t="s">
        <v>5389</v>
      </c>
      <c r="D191" s="282" t="s">
        <v>702</v>
      </c>
      <c r="E191" s="281" t="s">
        <v>3563</v>
      </c>
      <c r="F191" s="282" t="s">
        <v>3319</v>
      </c>
      <c r="G191" s="79" t="str">
        <f t="shared" si="13"/>
        <v>0150</v>
      </c>
      <c r="H191" s="279"/>
      <c r="I191" s="279"/>
      <c r="J191" s="279">
        <v>0</v>
      </c>
      <c r="K191" s="284" t="s">
        <v>1816</v>
      </c>
      <c r="L191" s="285">
        <v>43040</v>
      </c>
      <c r="M191" s="285">
        <v>45018</v>
      </c>
      <c r="N191" s="284" t="s">
        <v>1398</v>
      </c>
      <c r="O191" s="286" t="s">
        <v>1816</v>
      </c>
      <c r="P191" s="270"/>
      <c r="Q191" s="271"/>
      <c r="R191" s="271" t="str">
        <f t="shared" si="4"/>
        <v>323</v>
      </c>
      <c r="S191" s="271" t="str">
        <f t="shared" si="5"/>
        <v>32</v>
      </c>
      <c r="T191" s="271" t="str">
        <f t="shared" si="6"/>
        <v>15</v>
      </c>
      <c r="U191" s="271"/>
      <c r="V191" s="271"/>
      <c r="W191" s="271"/>
      <c r="X191" s="271"/>
      <c r="Y191" s="271"/>
      <c r="Z191" s="271"/>
      <c r="AA191" s="271"/>
      <c r="AB191" s="271"/>
      <c r="AC191" s="271"/>
      <c r="AD191" s="271" t="s">
        <v>1835</v>
      </c>
      <c r="AE191" s="271" t="s">
        <v>1836</v>
      </c>
      <c r="AF191" s="271" t="str">
        <f t="shared" si="9"/>
        <v>A679072</v>
      </c>
      <c r="AG191" s="271" t="str">
        <f>VLOOKUP(AF191,AKT!$C$4:$E$324,3,FALSE)</f>
        <v>0942</v>
      </c>
    </row>
    <row r="192" spans="1:33" s="272" customFormat="1" ht="15.75" customHeight="1">
      <c r="A192" s="281" t="s">
        <v>5379</v>
      </c>
      <c r="B192" s="282" t="s">
        <v>489</v>
      </c>
      <c r="C192" s="281" t="s">
        <v>5390</v>
      </c>
      <c r="D192" s="282" t="s">
        <v>707</v>
      </c>
      <c r="E192" s="281" t="s">
        <v>3563</v>
      </c>
      <c r="F192" s="282" t="s">
        <v>3319</v>
      </c>
      <c r="G192" s="79" t="str">
        <f t="shared" si="13"/>
        <v>0150</v>
      </c>
      <c r="H192" s="279"/>
      <c r="I192" s="279"/>
      <c r="J192" s="279">
        <v>0</v>
      </c>
      <c r="K192" s="284" t="s">
        <v>1816</v>
      </c>
      <c r="L192" s="285">
        <v>43040</v>
      </c>
      <c r="M192" s="285">
        <v>45018</v>
      </c>
      <c r="N192" s="284" t="s">
        <v>1398</v>
      </c>
      <c r="O192" s="286" t="s">
        <v>1816</v>
      </c>
      <c r="P192" s="270"/>
      <c r="Q192" s="271"/>
      <c r="R192" s="271" t="str">
        <f t="shared" si="4"/>
        <v>323</v>
      </c>
      <c r="S192" s="271" t="str">
        <f t="shared" si="5"/>
        <v>32</v>
      </c>
      <c r="T192" s="271" t="str">
        <f t="shared" si="6"/>
        <v>15</v>
      </c>
      <c r="U192" s="271"/>
      <c r="V192" s="271"/>
      <c r="W192" s="271"/>
      <c r="X192" s="271"/>
      <c r="Y192" s="271"/>
      <c r="Z192" s="271"/>
      <c r="AA192" s="271"/>
      <c r="AB192" s="271"/>
      <c r="AC192" s="271"/>
      <c r="AD192" s="271" t="s">
        <v>1839</v>
      </c>
      <c r="AE192" s="271" t="s">
        <v>1840</v>
      </c>
      <c r="AF192" s="271" t="str">
        <f t="shared" si="9"/>
        <v>A679072</v>
      </c>
      <c r="AG192" s="271" t="str">
        <f>VLOOKUP(AF192,AKT!$C$4:$E$324,3,FALSE)</f>
        <v>0942</v>
      </c>
    </row>
    <row r="193" spans="1:33" s="272" customFormat="1" ht="15.75" customHeight="1">
      <c r="A193" s="281" t="s">
        <v>5379</v>
      </c>
      <c r="B193" s="282" t="s">
        <v>489</v>
      </c>
      <c r="C193" s="281" t="s">
        <v>5391</v>
      </c>
      <c r="D193" s="282" t="s">
        <v>710</v>
      </c>
      <c r="E193" s="281" t="s">
        <v>3563</v>
      </c>
      <c r="F193" s="282" t="s">
        <v>3319</v>
      </c>
      <c r="G193" s="79" t="str">
        <f t="shared" si="13"/>
        <v>0150</v>
      </c>
      <c r="H193" s="279">
        <v>2779</v>
      </c>
      <c r="I193" s="279"/>
      <c r="J193" s="279">
        <v>0</v>
      </c>
      <c r="K193" s="284" t="s">
        <v>1816</v>
      </c>
      <c r="L193" s="285">
        <v>43040</v>
      </c>
      <c r="M193" s="285">
        <v>45018</v>
      </c>
      <c r="N193" s="284" t="s">
        <v>1398</v>
      </c>
      <c r="O193" s="286" t="s">
        <v>1816</v>
      </c>
      <c r="P193" s="270"/>
      <c r="Q193" s="271"/>
      <c r="R193" s="271" t="str">
        <f t="shared" si="4"/>
        <v>323</v>
      </c>
      <c r="S193" s="271" t="str">
        <f t="shared" si="5"/>
        <v>32</v>
      </c>
      <c r="T193" s="271" t="str">
        <f t="shared" si="6"/>
        <v>15</v>
      </c>
      <c r="U193" s="271"/>
      <c r="V193" s="271"/>
      <c r="W193" s="271"/>
      <c r="X193" s="271"/>
      <c r="Y193" s="271"/>
      <c r="Z193" s="271"/>
      <c r="AA193" s="271"/>
      <c r="AB193" s="271"/>
      <c r="AC193" s="271"/>
      <c r="AD193" s="271" t="s">
        <v>1841</v>
      </c>
      <c r="AE193" s="271" t="s">
        <v>1842</v>
      </c>
      <c r="AF193" s="271" t="str">
        <f t="shared" si="9"/>
        <v>A679072</v>
      </c>
      <c r="AG193" s="271" t="str">
        <f>VLOOKUP(AF193,AKT!$C$4:$E$324,3,FALSE)</f>
        <v>0942</v>
      </c>
    </row>
    <row r="194" spans="1:33" s="272" customFormat="1" ht="15.75" customHeight="1">
      <c r="A194" s="281" t="s">
        <v>5379</v>
      </c>
      <c r="B194" s="282" t="s">
        <v>489</v>
      </c>
      <c r="C194" s="281" t="s">
        <v>5392</v>
      </c>
      <c r="D194" s="282" t="s">
        <v>716</v>
      </c>
      <c r="E194" s="281" t="s">
        <v>3563</v>
      </c>
      <c r="F194" s="282" t="s">
        <v>3319</v>
      </c>
      <c r="G194" s="79" t="str">
        <f t="shared" ref="G194:G230" si="14">IFERROR(VLOOKUP(E194,$AD$6:$AG$1090,4,FALSE),"")</f>
        <v>0150</v>
      </c>
      <c r="H194" s="279">
        <v>11492</v>
      </c>
      <c r="I194" s="279"/>
      <c r="J194" s="279">
        <v>0</v>
      </c>
      <c r="K194" s="284" t="s">
        <v>1816</v>
      </c>
      <c r="L194" s="285">
        <v>43040</v>
      </c>
      <c r="M194" s="285">
        <v>45018</v>
      </c>
      <c r="N194" s="284" t="s">
        <v>1398</v>
      </c>
      <c r="O194" s="286" t="s">
        <v>1816</v>
      </c>
      <c r="P194" s="270"/>
      <c r="Q194" s="271"/>
      <c r="R194" s="271" t="str">
        <f t="shared" si="4"/>
        <v>323</v>
      </c>
      <c r="S194" s="271" t="str">
        <f t="shared" si="5"/>
        <v>32</v>
      </c>
      <c r="T194" s="271" t="str">
        <f t="shared" si="6"/>
        <v>15</v>
      </c>
      <c r="U194" s="271"/>
      <c r="V194" s="271"/>
      <c r="W194" s="271"/>
      <c r="X194" s="271"/>
      <c r="Y194" s="271"/>
      <c r="Z194" s="271"/>
      <c r="AA194" s="271"/>
      <c r="AB194" s="271"/>
      <c r="AC194" s="271"/>
      <c r="AD194" s="271" t="s">
        <v>1843</v>
      </c>
      <c r="AE194" s="271" t="s">
        <v>1844</v>
      </c>
      <c r="AF194" s="271" t="str">
        <f t="shared" si="9"/>
        <v>A679072</v>
      </c>
      <c r="AG194" s="271" t="str">
        <f>VLOOKUP(AF194,AKT!$C$4:$E$324,3,FALSE)</f>
        <v>0942</v>
      </c>
    </row>
    <row r="195" spans="1:33" s="272" customFormat="1" ht="15.75" customHeight="1">
      <c r="A195" s="281" t="s">
        <v>5379</v>
      </c>
      <c r="B195" s="282" t="s">
        <v>489</v>
      </c>
      <c r="C195" s="281" t="s">
        <v>5393</v>
      </c>
      <c r="D195" s="282" t="s">
        <v>722</v>
      </c>
      <c r="E195" s="281" t="s">
        <v>3563</v>
      </c>
      <c r="F195" s="282" t="s">
        <v>3319</v>
      </c>
      <c r="G195" s="79" t="str">
        <f t="shared" si="14"/>
        <v>0150</v>
      </c>
      <c r="H195" s="279"/>
      <c r="I195" s="279"/>
      <c r="J195" s="279">
        <v>0</v>
      </c>
      <c r="K195" s="284" t="s">
        <v>1816</v>
      </c>
      <c r="L195" s="285">
        <v>43040</v>
      </c>
      <c r="M195" s="285">
        <v>45018</v>
      </c>
      <c r="N195" s="284" t="s">
        <v>1398</v>
      </c>
      <c r="O195" s="286" t="s">
        <v>1816</v>
      </c>
      <c r="P195" s="270"/>
      <c r="Q195" s="271"/>
      <c r="R195" s="271" t="str">
        <f t="shared" si="4"/>
        <v>323</v>
      </c>
      <c r="S195" s="271" t="str">
        <f t="shared" si="5"/>
        <v>32</v>
      </c>
      <c r="T195" s="271" t="str">
        <f t="shared" si="6"/>
        <v>15</v>
      </c>
      <c r="U195" s="271"/>
      <c r="V195" s="271"/>
      <c r="W195" s="271"/>
      <c r="X195" s="271"/>
      <c r="Y195" s="271"/>
      <c r="Z195" s="271"/>
      <c r="AA195" s="271"/>
      <c r="AB195" s="271"/>
      <c r="AC195" s="271"/>
      <c r="AD195" s="271" t="s">
        <v>1845</v>
      </c>
      <c r="AE195" s="271" t="s">
        <v>1846</v>
      </c>
      <c r="AF195" s="271" t="str">
        <f t="shared" si="9"/>
        <v>A679072</v>
      </c>
      <c r="AG195" s="271" t="str">
        <f>VLOOKUP(AF195,AKT!$C$4:$E$324,3,FALSE)</f>
        <v>0942</v>
      </c>
    </row>
    <row r="196" spans="1:33" s="272" customFormat="1" ht="15.75" customHeight="1">
      <c r="A196" s="281" t="s">
        <v>5379</v>
      </c>
      <c r="B196" s="282" t="s">
        <v>489</v>
      </c>
      <c r="C196" s="281" t="s">
        <v>5394</v>
      </c>
      <c r="D196" s="282" t="s">
        <v>725</v>
      </c>
      <c r="E196" s="281" t="s">
        <v>3563</v>
      </c>
      <c r="F196" s="282" t="s">
        <v>3319</v>
      </c>
      <c r="G196" s="79" t="str">
        <f t="shared" si="14"/>
        <v>0150</v>
      </c>
      <c r="H196" s="279"/>
      <c r="I196" s="279"/>
      <c r="J196" s="279">
        <v>0</v>
      </c>
      <c r="K196" s="284" t="s">
        <v>1816</v>
      </c>
      <c r="L196" s="285">
        <v>43040</v>
      </c>
      <c r="M196" s="285">
        <v>45018</v>
      </c>
      <c r="N196" s="284" t="s">
        <v>1398</v>
      </c>
      <c r="O196" s="286" t="s">
        <v>1816</v>
      </c>
      <c r="P196" s="270"/>
      <c r="Q196" s="271"/>
      <c r="R196" s="271" t="str">
        <f t="shared" si="4"/>
        <v>324</v>
      </c>
      <c r="S196" s="271" t="str">
        <f t="shared" si="5"/>
        <v>32</v>
      </c>
      <c r="T196" s="271" t="str">
        <f t="shared" si="6"/>
        <v>15</v>
      </c>
      <c r="U196" s="271"/>
      <c r="V196" s="271"/>
      <c r="W196" s="271"/>
      <c r="X196" s="271"/>
      <c r="Y196" s="271"/>
      <c r="Z196" s="271"/>
      <c r="AA196" s="271"/>
      <c r="AB196" s="271"/>
      <c r="AC196" s="271"/>
      <c r="AD196" s="271" t="s">
        <v>1847</v>
      </c>
      <c r="AE196" s="271" t="s">
        <v>1848</v>
      </c>
      <c r="AF196" s="271" t="str">
        <f t="shared" si="9"/>
        <v>A679072</v>
      </c>
      <c r="AG196" s="271" t="str">
        <f>VLOOKUP(AF196,AKT!$C$4:$E$324,3,FALSE)</f>
        <v>0942</v>
      </c>
    </row>
    <row r="197" spans="1:33" s="272" customFormat="1" ht="15.75" customHeight="1">
      <c r="A197" s="281" t="s">
        <v>5379</v>
      </c>
      <c r="B197" s="282" t="s">
        <v>489</v>
      </c>
      <c r="C197" s="281" t="s">
        <v>5395</v>
      </c>
      <c r="D197" s="282" t="s">
        <v>734</v>
      </c>
      <c r="E197" s="281" t="s">
        <v>3563</v>
      </c>
      <c r="F197" s="282" t="s">
        <v>3319</v>
      </c>
      <c r="G197" s="79" t="str">
        <f t="shared" si="14"/>
        <v>0150</v>
      </c>
      <c r="H197" s="279"/>
      <c r="I197" s="279"/>
      <c r="J197" s="279">
        <v>0</v>
      </c>
      <c r="K197" s="284" t="s">
        <v>1816</v>
      </c>
      <c r="L197" s="285">
        <v>43040</v>
      </c>
      <c r="M197" s="285">
        <v>45018</v>
      </c>
      <c r="N197" s="284" t="s">
        <v>1398</v>
      </c>
      <c r="O197" s="286" t="s">
        <v>1816</v>
      </c>
      <c r="P197" s="270"/>
      <c r="Q197" s="271"/>
      <c r="R197" s="271" t="str">
        <f t="shared" si="4"/>
        <v>329</v>
      </c>
      <c r="S197" s="271" t="str">
        <f t="shared" si="5"/>
        <v>32</v>
      </c>
      <c r="T197" s="271" t="str">
        <f t="shared" si="6"/>
        <v>15</v>
      </c>
      <c r="U197" s="271"/>
      <c r="V197" s="271"/>
      <c r="W197" s="271"/>
      <c r="X197" s="271"/>
      <c r="Y197" s="271"/>
      <c r="Z197" s="271"/>
      <c r="AA197" s="271"/>
      <c r="AB197" s="271"/>
      <c r="AC197" s="271"/>
      <c r="AD197" s="271" t="s">
        <v>1849</v>
      </c>
      <c r="AE197" s="271" t="s">
        <v>1850</v>
      </c>
      <c r="AF197" s="271" t="str">
        <f t="shared" si="9"/>
        <v>A679072</v>
      </c>
      <c r="AG197" s="271" t="str">
        <f>VLOOKUP(AF197,AKT!$C$4:$E$324,3,FALSE)</f>
        <v>0942</v>
      </c>
    </row>
    <row r="198" spans="1:33" s="272" customFormat="1" ht="15.75" customHeight="1">
      <c r="A198" s="281" t="s">
        <v>5379</v>
      </c>
      <c r="B198" s="282" t="s">
        <v>489</v>
      </c>
      <c r="C198" s="281" t="s">
        <v>5396</v>
      </c>
      <c r="D198" s="282" t="s">
        <v>743</v>
      </c>
      <c r="E198" s="281" t="s">
        <v>3563</v>
      </c>
      <c r="F198" s="282" t="s">
        <v>3319</v>
      </c>
      <c r="G198" s="79" t="str">
        <f t="shared" si="14"/>
        <v>0150</v>
      </c>
      <c r="H198" s="279"/>
      <c r="I198" s="279"/>
      <c r="J198" s="279">
        <v>0</v>
      </c>
      <c r="K198" s="284" t="s">
        <v>1816</v>
      </c>
      <c r="L198" s="285">
        <v>43040</v>
      </c>
      <c r="M198" s="285">
        <v>45018</v>
      </c>
      <c r="N198" s="284" t="s">
        <v>1398</v>
      </c>
      <c r="O198" s="286" t="s">
        <v>1816</v>
      </c>
      <c r="P198" s="270"/>
      <c r="Q198" s="271"/>
      <c r="R198" s="271" t="str">
        <f t="shared" si="4"/>
        <v>329</v>
      </c>
      <c r="S198" s="271" t="str">
        <f t="shared" si="5"/>
        <v>32</v>
      </c>
      <c r="T198" s="271" t="str">
        <f t="shared" si="6"/>
        <v>15</v>
      </c>
      <c r="U198" s="271"/>
      <c r="V198" s="271"/>
      <c r="W198" s="271"/>
      <c r="X198" s="271"/>
      <c r="Y198" s="271"/>
      <c r="Z198" s="271"/>
      <c r="AA198" s="271"/>
      <c r="AB198" s="271"/>
      <c r="AC198" s="271"/>
      <c r="AD198" s="271" t="s">
        <v>1851</v>
      </c>
      <c r="AE198" s="271" t="s">
        <v>1852</v>
      </c>
      <c r="AF198" s="271" t="str">
        <f t="shared" si="9"/>
        <v>A679072</v>
      </c>
      <c r="AG198" s="271" t="str">
        <f>VLOOKUP(AF198,AKT!$C$4:$E$324,3,FALSE)</f>
        <v>0942</v>
      </c>
    </row>
    <row r="199" spans="1:33" s="272" customFormat="1" ht="15.75" customHeight="1">
      <c r="A199" s="281" t="s">
        <v>5379</v>
      </c>
      <c r="B199" s="282" t="s">
        <v>489</v>
      </c>
      <c r="C199" s="281" t="s">
        <v>5397</v>
      </c>
      <c r="D199" s="282" t="s">
        <v>551</v>
      </c>
      <c r="E199" s="281" t="s">
        <v>3563</v>
      </c>
      <c r="F199" s="282" t="s">
        <v>3319</v>
      </c>
      <c r="G199" s="79" t="str">
        <f t="shared" si="14"/>
        <v>0150</v>
      </c>
      <c r="H199" s="279"/>
      <c r="I199" s="279"/>
      <c r="J199" s="279">
        <v>0</v>
      </c>
      <c r="K199" s="284" t="s">
        <v>1816</v>
      </c>
      <c r="L199" s="285">
        <v>43040</v>
      </c>
      <c r="M199" s="285">
        <v>45018</v>
      </c>
      <c r="N199" s="284" t="s">
        <v>1398</v>
      </c>
      <c r="O199" s="286" t="s">
        <v>1816</v>
      </c>
      <c r="P199" s="270"/>
      <c r="Q199" s="271"/>
      <c r="R199" s="271" t="str">
        <f t="shared" si="4"/>
        <v>369</v>
      </c>
      <c r="S199" s="271" t="str">
        <f t="shared" si="5"/>
        <v>36</v>
      </c>
      <c r="T199" s="271" t="str">
        <f t="shared" si="6"/>
        <v>15</v>
      </c>
      <c r="U199" s="271"/>
      <c r="V199" s="271"/>
      <c r="W199" s="271"/>
      <c r="X199" s="271"/>
      <c r="Y199" s="271"/>
      <c r="Z199" s="271"/>
      <c r="AA199" s="271"/>
      <c r="AB199" s="271"/>
      <c r="AC199" s="271"/>
      <c r="AD199" s="271" t="s">
        <v>1853</v>
      </c>
      <c r="AE199" s="271" t="s">
        <v>1854</v>
      </c>
      <c r="AF199" s="271" t="str">
        <f t="shared" si="9"/>
        <v>A679072</v>
      </c>
      <c r="AG199" s="271" t="str">
        <f>VLOOKUP(AF199,AKT!$C$4:$E$324,3,FALSE)</f>
        <v>0942</v>
      </c>
    </row>
    <row r="200" spans="1:33" s="272" customFormat="1" ht="15.75" customHeight="1">
      <c r="A200" s="281" t="s">
        <v>5379</v>
      </c>
      <c r="B200" s="282" t="s">
        <v>489</v>
      </c>
      <c r="C200" s="281" t="s">
        <v>5398</v>
      </c>
      <c r="D200" s="282" t="s">
        <v>552</v>
      </c>
      <c r="E200" s="281" t="s">
        <v>3563</v>
      </c>
      <c r="F200" s="282" t="s">
        <v>3319</v>
      </c>
      <c r="G200" s="79" t="str">
        <f t="shared" si="14"/>
        <v>0150</v>
      </c>
      <c r="H200" s="279"/>
      <c r="I200" s="279"/>
      <c r="J200" s="279">
        <v>0</v>
      </c>
      <c r="K200" s="284" t="s">
        <v>1816</v>
      </c>
      <c r="L200" s="285">
        <v>43040</v>
      </c>
      <c r="M200" s="285">
        <v>45018</v>
      </c>
      <c r="N200" s="284" t="s">
        <v>1398</v>
      </c>
      <c r="O200" s="286" t="s">
        <v>1816</v>
      </c>
      <c r="P200" s="270"/>
      <c r="Q200" s="271"/>
      <c r="R200" s="271" t="str">
        <f t="shared" si="4"/>
        <v>369</v>
      </c>
      <c r="S200" s="271" t="str">
        <f t="shared" si="5"/>
        <v>36</v>
      </c>
      <c r="T200" s="271" t="str">
        <f t="shared" si="6"/>
        <v>15</v>
      </c>
      <c r="U200" s="271"/>
      <c r="V200" s="271"/>
      <c r="W200" s="271"/>
      <c r="X200" s="271"/>
      <c r="Y200" s="271"/>
      <c r="Z200" s="271"/>
      <c r="AA200" s="271"/>
      <c r="AB200" s="271"/>
      <c r="AC200" s="271"/>
      <c r="AD200" s="271" t="s">
        <v>1855</v>
      </c>
      <c r="AE200" s="271" t="s">
        <v>1856</v>
      </c>
      <c r="AF200" s="271" t="str">
        <f t="shared" si="9"/>
        <v>A679072</v>
      </c>
      <c r="AG200" s="271" t="str">
        <f>VLOOKUP(AF200,AKT!$C$4:$E$324,3,FALSE)</f>
        <v>0942</v>
      </c>
    </row>
    <row r="201" spans="1:33" s="272" customFormat="1" ht="15.75" customHeight="1">
      <c r="A201" s="281" t="s">
        <v>5379</v>
      </c>
      <c r="B201" s="282" t="s">
        <v>489</v>
      </c>
      <c r="C201" s="281" t="s">
        <v>5399</v>
      </c>
      <c r="D201" s="282" t="s">
        <v>922</v>
      </c>
      <c r="E201" s="281" t="s">
        <v>3563</v>
      </c>
      <c r="F201" s="282" t="s">
        <v>3319</v>
      </c>
      <c r="G201" s="79" t="str">
        <f t="shared" si="14"/>
        <v>0150</v>
      </c>
      <c r="H201" s="279">
        <v>149330</v>
      </c>
      <c r="I201" s="279">
        <v>25836</v>
      </c>
      <c r="J201" s="279">
        <v>0</v>
      </c>
      <c r="K201" s="284" t="s">
        <v>1816</v>
      </c>
      <c r="L201" s="285">
        <v>43040</v>
      </c>
      <c r="M201" s="285">
        <v>45018</v>
      </c>
      <c r="N201" s="284" t="s">
        <v>1398</v>
      </c>
      <c r="O201" s="286" t="s">
        <v>1816</v>
      </c>
      <c r="P201" s="270"/>
      <c r="Q201" s="271"/>
      <c r="R201" s="271" t="str">
        <f t="shared" si="4"/>
        <v>422</v>
      </c>
      <c r="S201" s="271" t="str">
        <f t="shared" si="5"/>
        <v>42</v>
      </c>
      <c r="T201" s="271" t="str">
        <f t="shared" si="6"/>
        <v>15</v>
      </c>
      <c r="U201" s="271"/>
      <c r="V201" s="271"/>
      <c r="W201" s="271"/>
      <c r="X201" s="271"/>
      <c r="Y201" s="271"/>
      <c r="Z201" s="271"/>
      <c r="AA201" s="271"/>
      <c r="AB201" s="271"/>
      <c r="AC201" s="271"/>
      <c r="AD201" s="271" t="s">
        <v>1857</v>
      </c>
      <c r="AE201" s="271" t="s">
        <v>1858</v>
      </c>
      <c r="AF201" s="271" t="str">
        <f t="shared" si="9"/>
        <v>A679072</v>
      </c>
      <c r="AG201" s="271" t="str">
        <f>VLOOKUP(AF201,AKT!$C$4:$E$324,3,FALSE)</f>
        <v>0942</v>
      </c>
    </row>
    <row r="202" spans="1:33" s="272" customFormat="1" ht="15.75" customHeight="1">
      <c r="A202" s="281" t="s">
        <v>5400</v>
      </c>
      <c r="B202" s="282" t="s">
        <v>523</v>
      </c>
      <c r="C202" s="281" t="s">
        <v>5380</v>
      </c>
      <c r="D202" s="282" t="s">
        <v>626</v>
      </c>
      <c r="E202" s="281" t="s">
        <v>3563</v>
      </c>
      <c r="F202" s="282" t="s">
        <v>3319</v>
      </c>
      <c r="G202" s="79" t="str">
        <f t="shared" si="14"/>
        <v>0150</v>
      </c>
      <c r="H202" s="279">
        <v>47847</v>
      </c>
      <c r="I202" s="279"/>
      <c r="J202" s="279">
        <v>0</v>
      </c>
      <c r="K202" s="284" t="s">
        <v>1816</v>
      </c>
      <c r="L202" s="285">
        <v>43040</v>
      </c>
      <c r="M202" s="285">
        <v>45018</v>
      </c>
      <c r="N202" s="284" t="s">
        <v>1398</v>
      </c>
      <c r="O202" s="286" t="s">
        <v>1816</v>
      </c>
      <c r="P202" s="270"/>
      <c r="Q202" s="271"/>
      <c r="R202" s="271" t="str">
        <f t="shared" si="4"/>
        <v>311</v>
      </c>
      <c r="S202" s="271" t="str">
        <f t="shared" si="5"/>
        <v>31</v>
      </c>
      <c r="T202" s="271" t="str">
        <f t="shared" si="6"/>
        <v>15</v>
      </c>
      <c r="U202" s="271"/>
      <c r="V202" s="271"/>
      <c r="W202" s="271"/>
      <c r="X202" s="271"/>
      <c r="Y202" s="271"/>
      <c r="Z202" s="271"/>
      <c r="AA202" s="271"/>
      <c r="AB202" s="271"/>
      <c r="AC202" s="271"/>
      <c r="AD202" s="271" t="s">
        <v>1859</v>
      </c>
      <c r="AE202" s="271" t="s">
        <v>1860</v>
      </c>
      <c r="AF202" s="271" t="str">
        <f t="shared" si="9"/>
        <v>A679072</v>
      </c>
      <c r="AG202" s="271" t="str">
        <f>VLOOKUP(AF202,AKT!$C$4:$E$324,3,FALSE)</f>
        <v>0942</v>
      </c>
    </row>
    <row r="203" spans="1:33" s="272" customFormat="1" ht="15.75" customHeight="1">
      <c r="A203" s="281" t="s">
        <v>5400</v>
      </c>
      <c r="B203" s="282" t="s">
        <v>523</v>
      </c>
      <c r="C203" s="281" t="s">
        <v>5381</v>
      </c>
      <c r="D203" s="282" t="s">
        <v>651</v>
      </c>
      <c r="E203" s="281" t="s">
        <v>3563</v>
      </c>
      <c r="F203" s="282" t="s">
        <v>3319</v>
      </c>
      <c r="G203" s="79" t="str">
        <f t="shared" si="14"/>
        <v>0150</v>
      </c>
      <c r="H203" s="279">
        <v>8423</v>
      </c>
      <c r="I203" s="279"/>
      <c r="J203" s="279">
        <v>0</v>
      </c>
      <c r="K203" s="284" t="s">
        <v>1816</v>
      </c>
      <c r="L203" s="285">
        <v>43040</v>
      </c>
      <c r="M203" s="285">
        <v>45018</v>
      </c>
      <c r="N203" s="284" t="s">
        <v>1398</v>
      </c>
      <c r="O203" s="286" t="s">
        <v>1816</v>
      </c>
      <c r="P203" s="270"/>
      <c r="Q203" s="271"/>
      <c r="R203" s="271" t="str">
        <f t="shared" si="4"/>
        <v>313</v>
      </c>
      <c r="S203" s="271" t="str">
        <f t="shared" si="5"/>
        <v>31</v>
      </c>
      <c r="T203" s="271" t="str">
        <f t="shared" si="6"/>
        <v>15</v>
      </c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 t="s">
        <v>1861</v>
      </c>
      <c r="AE203" s="271" t="s">
        <v>1862</v>
      </c>
      <c r="AF203" s="271" t="str">
        <f t="shared" si="9"/>
        <v>A679072</v>
      </c>
      <c r="AG203" s="271" t="str">
        <f>VLOOKUP(AF203,AKT!$C$4:$E$324,3,FALSE)</f>
        <v>0942</v>
      </c>
    </row>
    <row r="204" spans="1:33" s="272" customFormat="1" ht="15.75" customHeight="1">
      <c r="A204" s="281" t="s">
        <v>5400</v>
      </c>
      <c r="B204" s="282" t="s">
        <v>523</v>
      </c>
      <c r="C204" s="281" t="s">
        <v>5382</v>
      </c>
      <c r="D204" s="282" t="s">
        <v>655</v>
      </c>
      <c r="E204" s="281" t="s">
        <v>3563</v>
      </c>
      <c r="F204" s="282" t="s">
        <v>3319</v>
      </c>
      <c r="G204" s="79" t="str">
        <f t="shared" si="14"/>
        <v>0150</v>
      </c>
      <c r="H204" s="279">
        <v>84734</v>
      </c>
      <c r="I204" s="279">
        <v>19118</v>
      </c>
      <c r="J204" s="279">
        <v>0</v>
      </c>
      <c r="K204" s="284" t="s">
        <v>1816</v>
      </c>
      <c r="L204" s="285">
        <v>43040</v>
      </c>
      <c r="M204" s="285">
        <v>45018</v>
      </c>
      <c r="N204" s="284" t="s">
        <v>1398</v>
      </c>
      <c r="O204" s="286" t="s">
        <v>1816</v>
      </c>
      <c r="P204" s="270"/>
      <c r="Q204" s="271"/>
      <c r="R204" s="271" t="str">
        <f t="shared" si="4"/>
        <v>321</v>
      </c>
      <c r="S204" s="271" t="str">
        <f t="shared" si="5"/>
        <v>32</v>
      </c>
      <c r="T204" s="271" t="str">
        <f t="shared" si="6"/>
        <v>15</v>
      </c>
      <c r="U204" s="271"/>
      <c r="V204" s="271"/>
      <c r="W204" s="271"/>
      <c r="X204" s="271"/>
      <c r="Y204" s="271"/>
      <c r="Z204" s="271"/>
      <c r="AA204" s="271"/>
      <c r="AB204" s="271"/>
      <c r="AC204" s="271"/>
      <c r="AD204" s="271" t="s">
        <v>1863</v>
      </c>
      <c r="AE204" s="271" t="s">
        <v>1864</v>
      </c>
      <c r="AF204" s="271" t="str">
        <f t="shared" si="9"/>
        <v>A679072</v>
      </c>
      <c r="AG204" s="271" t="str">
        <f>VLOOKUP(AF204,AKT!$C$4:$E$324,3,FALSE)</f>
        <v>0942</v>
      </c>
    </row>
    <row r="205" spans="1:33" s="272" customFormat="1" ht="15.75" customHeight="1">
      <c r="A205" s="281" t="s">
        <v>5400</v>
      </c>
      <c r="B205" s="282" t="s">
        <v>523</v>
      </c>
      <c r="C205" s="281" t="s">
        <v>5383</v>
      </c>
      <c r="D205" s="282" t="s">
        <v>659</v>
      </c>
      <c r="E205" s="281" t="s">
        <v>3563</v>
      </c>
      <c r="F205" s="282" t="s">
        <v>3319</v>
      </c>
      <c r="G205" s="79" t="str">
        <f t="shared" si="14"/>
        <v>0150</v>
      </c>
      <c r="H205" s="279">
        <v>1349</v>
      </c>
      <c r="I205" s="279">
        <v>343</v>
      </c>
      <c r="J205" s="279">
        <v>0</v>
      </c>
      <c r="K205" s="284" t="s">
        <v>1816</v>
      </c>
      <c r="L205" s="285">
        <v>43040</v>
      </c>
      <c r="M205" s="285">
        <v>45018</v>
      </c>
      <c r="N205" s="284" t="s">
        <v>1398</v>
      </c>
      <c r="O205" s="286" t="s">
        <v>1816</v>
      </c>
      <c r="P205" s="270"/>
      <c r="Q205" s="271"/>
      <c r="R205" s="271" t="str">
        <f t="shared" si="4"/>
        <v>321</v>
      </c>
      <c r="S205" s="271" t="str">
        <f t="shared" si="5"/>
        <v>32</v>
      </c>
      <c r="T205" s="271" t="str">
        <f t="shared" si="6"/>
        <v>15</v>
      </c>
      <c r="U205" s="271"/>
      <c r="V205" s="271"/>
      <c r="W205" s="271"/>
      <c r="X205" s="271"/>
      <c r="Y205" s="271"/>
      <c r="Z205" s="271"/>
      <c r="AA205" s="271"/>
      <c r="AB205" s="271"/>
      <c r="AC205" s="271"/>
      <c r="AD205" s="271" t="s">
        <v>1865</v>
      </c>
      <c r="AE205" s="271" t="s">
        <v>1866</v>
      </c>
      <c r="AF205" s="271" t="str">
        <f t="shared" si="9"/>
        <v>A679072</v>
      </c>
      <c r="AG205" s="271" t="str">
        <f>VLOOKUP(AF205,AKT!$C$4:$E$324,3,FALSE)</f>
        <v>0942</v>
      </c>
    </row>
    <row r="206" spans="1:33" s="272" customFormat="1" ht="15.75" customHeight="1">
      <c r="A206" s="281" t="s">
        <v>5400</v>
      </c>
      <c r="B206" s="282" t="s">
        <v>523</v>
      </c>
      <c r="C206" s="281" t="s">
        <v>5384</v>
      </c>
      <c r="D206" s="282" t="s">
        <v>662</v>
      </c>
      <c r="E206" s="281" t="s">
        <v>3563</v>
      </c>
      <c r="F206" s="282" t="s">
        <v>3319</v>
      </c>
      <c r="G206" s="79" t="str">
        <f t="shared" si="14"/>
        <v>0150</v>
      </c>
      <c r="H206" s="279">
        <v>36719</v>
      </c>
      <c r="I206" s="279">
        <v>8500</v>
      </c>
      <c r="J206" s="279">
        <v>0</v>
      </c>
      <c r="K206" s="284" t="s">
        <v>1816</v>
      </c>
      <c r="L206" s="285">
        <v>43040</v>
      </c>
      <c r="M206" s="285">
        <v>45018</v>
      </c>
      <c r="N206" s="284" t="s">
        <v>1398</v>
      </c>
      <c r="O206" s="286" t="s">
        <v>1816</v>
      </c>
      <c r="P206" s="270"/>
      <c r="Q206" s="271"/>
      <c r="R206" s="271" t="str">
        <f t="shared" si="4"/>
        <v>321</v>
      </c>
      <c r="S206" s="271" t="str">
        <f t="shared" si="5"/>
        <v>32</v>
      </c>
      <c r="T206" s="271" t="str">
        <f t="shared" si="6"/>
        <v>15</v>
      </c>
      <c r="U206" s="271"/>
      <c r="V206" s="271"/>
      <c r="W206" s="271"/>
      <c r="X206" s="271"/>
      <c r="Y206" s="271"/>
      <c r="Z206" s="271"/>
      <c r="AA206" s="271"/>
      <c r="AB206" s="271"/>
      <c r="AC206" s="271"/>
      <c r="AD206" s="271" t="s">
        <v>1867</v>
      </c>
      <c r="AE206" s="271" t="s">
        <v>1868</v>
      </c>
      <c r="AF206" s="271" t="str">
        <f t="shared" si="9"/>
        <v>A679072</v>
      </c>
      <c r="AG206" s="271" t="str">
        <f>VLOOKUP(AF206,AKT!$C$4:$E$324,3,FALSE)</f>
        <v>0942</v>
      </c>
    </row>
    <row r="207" spans="1:33" s="272" customFormat="1" ht="15.75" customHeight="1">
      <c r="A207" s="281" t="s">
        <v>5400</v>
      </c>
      <c r="B207" s="282" t="s">
        <v>523</v>
      </c>
      <c r="C207" s="281" t="s">
        <v>5385</v>
      </c>
      <c r="D207" s="282" t="s">
        <v>671</v>
      </c>
      <c r="E207" s="281" t="s">
        <v>3563</v>
      </c>
      <c r="F207" s="282" t="s">
        <v>3319</v>
      </c>
      <c r="G207" s="79" t="str">
        <f t="shared" si="14"/>
        <v>0150</v>
      </c>
      <c r="H207" s="279"/>
      <c r="I207" s="279">
        <v>145</v>
      </c>
      <c r="J207" s="279">
        <v>0</v>
      </c>
      <c r="K207" s="284" t="s">
        <v>1816</v>
      </c>
      <c r="L207" s="285">
        <v>43040</v>
      </c>
      <c r="M207" s="285">
        <v>45018</v>
      </c>
      <c r="N207" s="284" t="s">
        <v>1398</v>
      </c>
      <c r="O207" s="286" t="s">
        <v>1816</v>
      </c>
      <c r="P207" s="270"/>
      <c r="Q207" s="271"/>
      <c r="R207" s="271" t="str">
        <f t="shared" si="4"/>
        <v>322</v>
      </c>
      <c r="S207" s="271" t="str">
        <f t="shared" si="5"/>
        <v>32</v>
      </c>
      <c r="T207" s="271" t="str">
        <f t="shared" si="6"/>
        <v>15</v>
      </c>
      <c r="U207" s="271"/>
      <c r="V207" s="271"/>
      <c r="W207" s="271"/>
      <c r="X207" s="271"/>
      <c r="Y207" s="271"/>
      <c r="Z207" s="271"/>
      <c r="AA207" s="271"/>
      <c r="AB207" s="271"/>
      <c r="AC207" s="271"/>
      <c r="AD207" s="271" t="s">
        <v>1869</v>
      </c>
      <c r="AE207" s="271" t="s">
        <v>1870</v>
      </c>
      <c r="AF207" s="271" t="str">
        <f t="shared" si="9"/>
        <v>A679072</v>
      </c>
      <c r="AG207" s="271" t="str">
        <f>VLOOKUP(AF207,AKT!$C$4:$E$324,3,FALSE)</f>
        <v>0942</v>
      </c>
    </row>
    <row r="208" spans="1:33" s="272" customFormat="1" ht="15.75" customHeight="1">
      <c r="A208" s="281" t="s">
        <v>5400</v>
      </c>
      <c r="B208" s="282" t="s">
        <v>523</v>
      </c>
      <c r="C208" s="281" t="s">
        <v>5386</v>
      </c>
      <c r="D208" s="282" t="s">
        <v>681</v>
      </c>
      <c r="E208" s="281" t="s">
        <v>3563</v>
      </c>
      <c r="F208" s="282" t="s">
        <v>3319</v>
      </c>
      <c r="G208" s="79" t="str">
        <f t="shared" si="14"/>
        <v>0150</v>
      </c>
      <c r="H208" s="279"/>
      <c r="I208" s="279">
        <v>2423</v>
      </c>
      <c r="J208" s="279">
        <v>0</v>
      </c>
      <c r="K208" s="284" t="s">
        <v>1816</v>
      </c>
      <c r="L208" s="285">
        <v>43040</v>
      </c>
      <c r="M208" s="285">
        <v>45018</v>
      </c>
      <c r="N208" s="284" t="s">
        <v>1398</v>
      </c>
      <c r="O208" s="286" t="s">
        <v>1816</v>
      </c>
      <c r="P208" s="270"/>
      <c r="Q208" s="271"/>
      <c r="R208" s="271" t="str">
        <f t="shared" si="4"/>
        <v>322</v>
      </c>
      <c r="S208" s="271" t="str">
        <f t="shared" si="5"/>
        <v>32</v>
      </c>
      <c r="T208" s="271" t="str">
        <f t="shared" si="6"/>
        <v>15</v>
      </c>
      <c r="U208" s="271"/>
      <c r="V208" s="271"/>
      <c r="W208" s="271"/>
      <c r="X208" s="271"/>
      <c r="Y208" s="271"/>
      <c r="Z208" s="271"/>
      <c r="AA208" s="271"/>
      <c r="AB208" s="271"/>
      <c r="AC208" s="271"/>
      <c r="AD208" s="271" t="s">
        <v>1871</v>
      </c>
      <c r="AE208" s="271" t="s">
        <v>1872</v>
      </c>
      <c r="AF208" s="271" t="str">
        <f t="shared" si="9"/>
        <v>A679072</v>
      </c>
      <c r="AG208" s="271" t="str">
        <f>VLOOKUP(AF208,AKT!$C$4:$E$324,3,FALSE)</f>
        <v>0942</v>
      </c>
    </row>
    <row r="209" spans="1:33" s="272" customFormat="1" ht="15.75" customHeight="1">
      <c r="A209" s="281" t="s">
        <v>5400</v>
      </c>
      <c r="B209" s="282" t="s">
        <v>523</v>
      </c>
      <c r="C209" s="281" t="s">
        <v>5387</v>
      </c>
      <c r="D209" s="282" t="s">
        <v>684</v>
      </c>
      <c r="E209" s="281" t="s">
        <v>3563</v>
      </c>
      <c r="F209" s="282" t="s">
        <v>3319</v>
      </c>
      <c r="G209" s="79" t="str">
        <f t="shared" si="14"/>
        <v>0150</v>
      </c>
      <c r="H209" s="279">
        <v>236313</v>
      </c>
      <c r="I209" s="279">
        <v>67997</v>
      </c>
      <c r="J209" s="279">
        <v>0</v>
      </c>
      <c r="K209" s="284" t="s">
        <v>1816</v>
      </c>
      <c r="L209" s="285">
        <v>43040</v>
      </c>
      <c r="M209" s="285">
        <v>45018</v>
      </c>
      <c r="N209" s="284" t="s">
        <v>1398</v>
      </c>
      <c r="O209" s="286" t="s">
        <v>1816</v>
      </c>
      <c r="P209" s="270"/>
      <c r="Q209" s="271"/>
      <c r="R209" s="271" t="str">
        <f t="shared" si="4"/>
        <v>322</v>
      </c>
      <c r="S209" s="271" t="str">
        <f t="shared" si="5"/>
        <v>32</v>
      </c>
      <c r="T209" s="271" t="str">
        <f t="shared" si="6"/>
        <v>15</v>
      </c>
      <c r="U209" s="271"/>
      <c r="V209" s="271"/>
      <c r="W209" s="271"/>
      <c r="X209" s="271"/>
      <c r="Y209" s="271"/>
      <c r="Z209" s="271"/>
      <c r="AA209" s="271"/>
      <c r="AB209" s="271"/>
      <c r="AC209" s="271"/>
      <c r="AD209" s="271" t="s">
        <v>1873</v>
      </c>
      <c r="AE209" s="271" t="s">
        <v>1874</v>
      </c>
      <c r="AF209" s="271" t="str">
        <f t="shared" si="9"/>
        <v>A679072</v>
      </c>
      <c r="AG209" s="271" t="str">
        <f>VLOOKUP(AF209,AKT!$C$4:$E$324,3,FALSE)</f>
        <v>0942</v>
      </c>
    </row>
    <row r="210" spans="1:33" s="272" customFormat="1" ht="15.75" customHeight="1">
      <c r="A210" s="281" t="s">
        <v>5400</v>
      </c>
      <c r="B210" s="282" t="s">
        <v>523</v>
      </c>
      <c r="C210" s="281" t="s">
        <v>5388</v>
      </c>
      <c r="D210" s="282" t="s">
        <v>696</v>
      </c>
      <c r="E210" s="281" t="s">
        <v>3563</v>
      </c>
      <c r="F210" s="282" t="s">
        <v>3319</v>
      </c>
      <c r="G210" s="79" t="str">
        <f t="shared" si="14"/>
        <v>0150</v>
      </c>
      <c r="H210" s="279"/>
      <c r="I210" s="279">
        <v>1163</v>
      </c>
      <c r="J210" s="279">
        <v>0</v>
      </c>
      <c r="K210" s="284" t="s">
        <v>1816</v>
      </c>
      <c r="L210" s="285">
        <v>43040</v>
      </c>
      <c r="M210" s="285">
        <v>45018</v>
      </c>
      <c r="N210" s="284" t="s">
        <v>1398</v>
      </c>
      <c r="O210" s="286" t="s">
        <v>1816</v>
      </c>
      <c r="P210" s="270"/>
      <c r="Q210" s="271"/>
      <c r="R210" s="271" t="str">
        <f t="shared" si="4"/>
        <v>323</v>
      </c>
      <c r="S210" s="271" t="str">
        <f t="shared" si="5"/>
        <v>32</v>
      </c>
      <c r="T210" s="271" t="str">
        <f t="shared" si="6"/>
        <v>15</v>
      </c>
      <c r="U210" s="271"/>
      <c r="V210" s="271"/>
      <c r="W210" s="271"/>
      <c r="X210" s="271"/>
      <c r="Y210" s="271"/>
      <c r="Z210" s="271"/>
      <c r="AA210" s="271"/>
      <c r="AB210" s="271"/>
      <c r="AC210" s="271"/>
      <c r="AD210" s="271" t="s">
        <v>1875</v>
      </c>
      <c r="AE210" s="271" t="s">
        <v>1876</v>
      </c>
      <c r="AF210" s="271" t="str">
        <f t="shared" si="9"/>
        <v>A679072</v>
      </c>
      <c r="AG210" s="271" t="str">
        <f>VLOOKUP(AF210,AKT!$C$4:$E$324,3,FALSE)</f>
        <v>0942</v>
      </c>
    </row>
    <row r="211" spans="1:33" s="272" customFormat="1" ht="15.75" customHeight="1">
      <c r="A211" s="281" t="s">
        <v>5400</v>
      </c>
      <c r="B211" s="282" t="s">
        <v>523</v>
      </c>
      <c r="C211" s="281" t="s">
        <v>5389</v>
      </c>
      <c r="D211" s="282" t="s">
        <v>702</v>
      </c>
      <c r="E211" s="281" t="s">
        <v>3563</v>
      </c>
      <c r="F211" s="282" t="s">
        <v>3319</v>
      </c>
      <c r="G211" s="79" t="str">
        <f t="shared" si="14"/>
        <v>0150</v>
      </c>
      <c r="H211" s="279"/>
      <c r="I211" s="279">
        <v>2794</v>
      </c>
      <c r="J211" s="279">
        <v>0</v>
      </c>
      <c r="K211" s="284" t="s">
        <v>1816</v>
      </c>
      <c r="L211" s="285">
        <v>43040</v>
      </c>
      <c r="M211" s="285">
        <v>45018</v>
      </c>
      <c r="N211" s="284" t="s">
        <v>1398</v>
      </c>
      <c r="O211" s="286" t="s">
        <v>1816</v>
      </c>
      <c r="P211" s="270"/>
      <c r="Q211" s="271"/>
      <c r="R211" s="271" t="str">
        <f t="shared" si="4"/>
        <v>323</v>
      </c>
      <c r="S211" s="271" t="str">
        <f t="shared" si="5"/>
        <v>32</v>
      </c>
      <c r="T211" s="271" t="str">
        <f t="shared" si="6"/>
        <v>15</v>
      </c>
      <c r="U211" s="271"/>
      <c r="V211" s="271"/>
      <c r="W211" s="271"/>
      <c r="X211" s="271"/>
      <c r="Y211" s="271"/>
      <c r="Z211" s="271"/>
      <c r="AA211" s="271"/>
      <c r="AB211" s="271"/>
      <c r="AC211" s="271"/>
      <c r="AD211" s="271" t="s">
        <v>1877</v>
      </c>
      <c r="AE211" s="271" t="s">
        <v>1878</v>
      </c>
      <c r="AF211" s="271" t="str">
        <f t="shared" si="9"/>
        <v>A679072</v>
      </c>
      <c r="AG211" s="271" t="str">
        <f>VLOOKUP(AF211,AKT!$C$4:$E$324,3,FALSE)</f>
        <v>0942</v>
      </c>
    </row>
    <row r="212" spans="1:33" s="272" customFormat="1" ht="15.75" customHeight="1">
      <c r="A212" s="281" t="s">
        <v>5400</v>
      </c>
      <c r="B212" s="282" t="s">
        <v>523</v>
      </c>
      <c r="C212" s="281" t="s">
        <v>5390</v>
      </c>
      <c r="D212" s="282" t="s">
        <v>707</v>
      </c>
      <c r="E212" s="281" t="s">
        <v>3563</v>
      </c>
      <c r="F212" s="282" t="s">
        <v>3319</v>
      </c>
      <c r="G212" s="79" t="str">
        <f t="shared" si="14"/>
        <v>0150</v>
      </c>
      <c r="H212" s="279"/>
      <c r="I212" s="279">
        <v>1018</v>
      </c>
      <c r="J212" s="279">
        <v>0</v>
      </c>
      <c r="K212" s="284" t="s">
        <v>1816</v>
      </c>
      <c r="L212" s="285">
        <v>43040</v>
      </c>
      <c r="M212" s="285">
        <v>45018</v>
      </c>
      <c r="N212" s="284" t="s">
        <v>1398</v>
      </c>
      <c r="O212" s="286" t="s">
        <v>1816</v>
      </c>
      <c r="P212" s="270"/>
      <c r="Q212" s="271"/>
      <c r="R212" s="271" t="str">
        <f t="shared" si="4"/>
        <v>323</v>
      </c>
      <c r="S212" s="271" t="str">
        <f t="shared" si="5"/>
        <v>32</v>
      </c>
      <c r="T212" s="271" t="str">
        <f t="shared" si="6"/>
        <v>15</v>
      </c>
      <c r="U212" s="271"/>
      <c r="V212" s="271"/>
      <c r="W212" s="271"/>
      <c r="X212" s="271"/>
      <c r="Y212" s="271"/>
      <c r="Z212" s="271"/>
      <c r="AA212" s="271"/>
      <c r="AB212" s="271"/>
      <c r="AC212" s="271"/>
      <c r="AD212" s="271" t="s">
        <v>1879</v>
      </c>
      <c r="AE212" s="271" t="s">
        <v>1880</v>
      </c>
      <c r="AF212" s="271" t="str">
        <f t="shared" si="9"/>
        <v>A679072</v>
      </c>
      <c r="AG212" s="271" t="str">
        <f>VLOOKUP(AF212,AKT!$C$4:$E$324,3,FALSE)</f>
        <v>0942</v>
      </c>
    </row>
    <row r="213" spans="1:33" s="272" customFormat="1" ht="15.75" customHeight="1">
      <c r="A213" s="281" t="s">
        <v>5400</v>
      </c>
      <c r="B213" s="282" t="s">
        <v>523</v>
      </c>
      <c r="C213" s="281" t="s">
        <v>5391</v>
      </c>
      <c r="D213" s="282" t="s">
        <v>710</v>
      </c>
      <c r="E213" s="281" t="s">
        <v>3563</v>
      </c>
      <c r="F213" s="282" t="s">
        <v>3319</v>
      </c>
      <c r="G213" s="79" t="str">
        <f t="shared" si="14"/>
        <v>0150</v>
      </c>
      <c r="H213" s="279"/>
      <c r="I213" s="279">
        <v>4788</v>
      </c>
      <c r="J213" s="279">
        <v>0</v>
      </c>
      <c r="K213" s="284" t="s">
        <v>1816</v>
      </c>
      <c r="L213" s="285">
        <v>43040</v>
      </c>
      <c r="M213" s="285">
        <v>45018</v>
      </c>
      <c r="N213" s="284" t="s">
        <v>1398</v>
      </c>
      <c r="O213" s="286" t="s">
        <v>1816</v>
      </c>
      <c r="P213" s="270"/>
      <c r="Q213" s="271"/>
      <c r="R213" s="271" t="str">
        <f t="shared" si="4"/>
        <v>323</v>
      </c>
      <c r="S213" s="271" t="str">
        <f t="shared" si="5"/>
        <v>32</v>
      </c>
      <c r="T213" s="271" t="str">
        <f t="shared" si="6"/>
        <v>15</v>
      </c>
      <c r="U213" s="271"/>
      <c r="V213" s="271"/>
      <c r="W213" s="271"/>
      <c r="X213" s="271"/>
      <c r="Y213" s="271"/>
      <c r="Z213" s="271"/>
      <c r="AA213" s="271"/>
      <c r="AB213" s="271"/>
      <c r="AC213" s="271"/>
      <c r="AD213" s="271" t="s">
        <v>1881</v>
      </c>
      <c r="AE213" s="271" t="s">
        <v>1882</v>
      </c>
      <c r="AF213" s="271" t="str">
        <f t="shared" si="9"/>
        <v>A679072</v>
      </c>
      <c r="AG213" s="271" t="str">
        <f>VLOOKUP(AF213,AKT!$C$4:$E$324,3,FALSE)</f>
        <v>0942</v>
      </c>
    </row>
    <row r="214" spans="1:33" s="272" customFormat="1" ht="15.75" customHeight="1">
      <c r="A214" s="281" t="s">
        <v>5400</v>
      </c>
      <c r="B214" s="282" t="s">
        <v>523</v>
      </c>
      <c r="C214" s="281" t="s">
        <v>5392</v>
      </c>
      <c r="D214" s="282" t="s">
        <v>716</v>
      </c>
      <c r="E214" s="281" t="s">
        <v>3563</v>
      </c>
      <c r="F214" s="282" t="s">
        <v>3319</v>
      </c>
      <c r="G214" s="79" t="str">
        <f t="shared" si="14"/>
        <v>0150</v>
      </c>
      <c r="H214" s="279"/>
      <c r="I214" s="279">
        <v>18171</v>
      </c>
      <c r="J214" s="279">
        <v>0</v>
      </c>
      <c r="K214" s="284" t="s">
        <v>1816</v>
      </c>
      <c r="L214" s="285">
        <v>43040</v>
      </c>
      <c r="M214" s="285">
        <v>45018</v>
      </c>
      <c r="N214" s="284" t="s">
        <v>1398</v>
      </c>
      <c r="O214" s="286" t="s">
        <v>1816</v>
      </c>
      <c r="P214" s="270"/>
      <c r="Q214" s="271"/>
      <c r="R214" s="271" t="str">
        <f t="shared" si="4"/>
        <v>323</v>
      </c>
      <c r="S214" s="271" t="str">
        <f t="shared" si="5"/>
        <v>32</v>
      </c>
      <c r="T214" s="271" t="str">
        <f t="shared" si="6"/>
        <v>15</v>
      </c>
      <c r="U214" s="271"/>
      <c r="V214" s="271"/>
      <c r="W214" s="271"/>
      <c r="X214" s="271"/>
      <c r="Y214" s="271"/>
      <c r="Z214" s="271"/>
      <c r="AA214" s="271"/>
      <c r="AB214" s="271"/>
      <c r="AC214" s="271"/>
      <c r="AD214" s="271" t="s">
        <v>1883</v>
      </c>
      <c r="AE214" s="271" t="s">
        <v>1884</v>
      </c>
      <c r="AF214" s="271" t="str">
        <f t="shared" si="9"/>
        <v>A679072</v>
      </c>
      <c r="AG214" s="271" t="str">
        <f>VLOOKUP(AF214,AKT!$C$4:$E$324,3,FALSE)</f>
        <v>0942</v>
      </c>
    </row>
    <row r="215" spans="1:33" s="272" customFormat="1" ht="15.75" customHeight="1">
      <c r="A215" s="281" t="s">
        <v>5400</v>
      </c>
      <c r="B215" s="282" t="s">
        <v>523</v>
      </c>
      <c r="C215" s="281" t="s">
        <v>5393</v>
      </c>
      <c r="D215" s="282" t="s">
        <v>722</v>
      </c>
      <c r="E215" s="281" t="s">
        <v>3563</v>
      </c>
      <c r="F215" s="282" t="s">
        <v>3319</v>
      </c>
      <c r="G215" s="79" t="str">
        <f t="shared" si="14"/>
        <v>0150</v>
      </c>
      <c r="H215" s="279"/>
      <c r="I215" s="279">
        <v>97</v>
      </c>
      <c r="J215" s="279">
        <v>0</v>
      </c>
      <c r="K215" s="284" t="s">
        <v>1816</v>
      </c>
      <c r="L215" s="285">
        <v>43040</v>
      </c>
      <c r="M215" s="285">
        <v>45018</v>
      </c>
      <c r="N215" s="284" t="s">
        <v>1398</v>
      </c>
      <c r="O215" s="286" t="s">
        <v>1816</v>
      </c>
      <c r="P215" s="270"/>
      <c r="Q215" s="271"/>
      <c r="R215" s="271" t="str">
        <f t="shared" si="4"/>
        <v>323</v>
      </c>
      <c r="S215" s="271" t="str">
        <f t="shared" si="5"/>
        <v>32</v>
      </c>
      <c r="T215" s="271" t="str">
        <f t="shared" si="6"/>
        <v>15</v>
      </c>
      <c r="U215" s="271"/>
      <c r="V215" s="271"/>
      <c r="W215" s="271"/>
      <c r="X215" s="271"/>
      <c r="Y215" s="271"/>
      <c r="Z215" s="271"/>
      <c r="AA215" s="271"/>
      <c r="AB215" s="271"/>
      <c r="AC215" s="271"/>
      <c r="AD215" s="271" t="s">
        <v>1885</v>
      </c>
      <c r="AE215" s="271" t="s">
        <v>1886</v>
      </c>
      <c r="AF215" s="271" t="str">
        <f t="shared" si="9"/>
        <v>A679072</v>
      </c>
      <c r="AG215" s="271" t="str">
        <f>VLOOKUP(AF215,AKT!$C$4:$E$324,3,FALSE)</f>
        <v>0942</v>
      </c>
    </row>
    <row r="216" spans="1:33" s="272" customFormat="1" ht="15.75" customHeight="1">
      <c r="A216" s="281" t="s">
        <v>5400</v>
      </c>
      <c r="B216" s="282" t="s">
        <v>523</v>
      </c>
      <c r="C216" s="281" t="s">
        <v>5394</v>
      </c>
      <c r="D216" s="282" t="s">
        <v>725</v>
      </c>
      <c r="E216" s="281" t="s">
        <v>3563</v>
      </c>
      <c r="F216" s="282" t="s">
        <v>3319</v>
      </c>
      <c r="G216" s="79" t="str">
        <f t="shared" si="14"/>
        <v>0150</v>
      </c>
      <c r="H216" s="279"/>
      <c r="I216" s="279">
        <v>3216</v>
      </c>
      <c r="J216" s="279">
        <v>0</v>
      </c>
      <c r="K216" s="284" t="s">
        <v>1816</v>
      </c>
      <c r="L216" s="285">
        <v>43040</v>
      </c>
      <c r="M216" s="285">
        <v>45018</v>
      </c>
      <c r="N216" s="284" t="s">
        <v>1398</v>
      </c>
      <c r="O216" s="286" t="s">
        <v>1816</v>
      </c>
      <c r="P216" s="270"/>
      <c r="Q216" s="271"/>
      <c r="R216" s="271" t="str">
        <f t="shared" si="4"/>
        <v>324</v>
      </c>
      <c r="S216" s="271" t="str">
        <f t="shared" si="5"/>
        <v>32</v>
      </c>
      <c r="T216" s="271" t="str">
        <f t="shared" si="6"/>
        <v>15</v>
      </c>
      <c r="U216" s="271"/>
      <c r="V216" s="271"/>
      <c r="W216" s="271"/>
      <c r="X216" s="271"/>
      <c r="Y216" s="271"/>
      <c r="Z216" s="271"/>
      <c r="AA216" s="271"/>
      <c r="AB216" s="271"/>
      <c r="AC216" s="271"/>
      <c r="AD216" s="271" t="s">
        <v>1891</v>
      </c>
      <c r="AE216" s="271" t="s">
        <v>1892</v>
      </c>
      <c r="AF216" s="271" t="str">
        <f t="shared" si="9"/>
        <v>A679072</v>
      </c>
      <c r="AG216" s="271" t="str">
        <f>VLOOKUP(AF216,AKT!$C$4:$E$324,3,FALSE)</f>
        <v>0942</v>
      </c>
    </row>
    <row r="217" spans="1:33" s="272" customFormat="1" ht="15.75" customHeight="1">
      <c r="A217" s="281" t="s">
        <v>5400</v>
      </c>
      <c r="B217" s="282" t="s">
        <v>523</v>
      </c>
      <c r="C217" s="281" t="s">
        <v>5395</v>
      </c>
      <c r="D217" s="282" t="s">
        <v>734</v>
      </c>
      <c r="E217" s="281" t="s">
        <v>3563</v>
      </c>
      <c r="F217" s="282" t="s">
        <v>3319</v>
      </c>
      <c r="G217" s="79" t="str">
        <f t="shared" si="14"/>
        <v>0150</v>
      </c>
      <c r="H217" s="279"/>
      <c r="I217" s="279">
        <v>356</v>
      </c>
      <c r="J217" s="279">
        <v>0</v>
      </c>
      <c r="K217" s="284" t="s">
        <v>1816</v>
      </c>
      <c r="L217" s="285">
        <v>43040</v>
      </c>
      <c r="M217" s="285">
        <v>45018</v>
      </c>
      <c r="N217" s="284" t="s">
        <v>1398</v>
      </c>
      <c r="O217" s="286" t="s">
        <v>1816</v>
      </c>
      <c r="P217" s="270"/>
      <c r="Q217" s="271"/>
      <c r="R217" s="271" t="str">
        <f t="shared" si="4"/>
        <v>329</v>
      </c>
      <c r="S217" s="271" t="str">
        <f t="shared" si="5"/>
        <v>32</v>
      </c>
      <c r="T217" s="271" t="str">
        <f t="shared" si="6"/>
        <v>15</v>
      </c>
      <c r="U217" s="271"/>
      <c r="V217" s="271"/>
      <c r="W217" s="271"/>
      <c r="X217" s="271"/>
      <c r="Y217" s="271"/>
      <c r="Z217" s="271"/>
      <c r="AA217" s="271"/>
      <c r="AB217" s="271"/>
      <c r="AC217" s="271"/>
      <c r="AD217" s="271" t="s">
        <v>1893</v>
      </c>
      <c r="AE217" s="271" t="s">
        <v>1894</v>
      </c>
      <c r="AF217" s="271" t="str">
        <f t="shared" si="9"/>
        <v>A679072</v>
      </c>
      <c r="AG217" s="271" t="str">
        <f>VLOOKUP(AF217,AKT!$C$4:$E$324,3,FALSE)</f>
        <v>0942</v>
      </c>
    </row>
    <row r="218" spans="1:33" s="272" customFormat="1" ht="15.75" customHeight="1">
      <c r="A218" s="281" t="s">
        <v>5400</v>
      </c>
      <c r="B218" s="282" t="s">
        <v>523</v>
      </c>
      <c r="C218" s="281" t="s">
        <v>5396</v>
      </c>
      <c r="D218" s="282" t="s">
        <v>743</v>
      </c>
      <c r="E218" s="281" t="s">
        <v>3563</v>
      </c>
      <c r="F218" s="282" t="s">
        <v>3319</v>
      </c>
      <c r="G218" s="79" t="str">
        <f t="shared" si="14"/>
        <v>0150</v>
      </c>
      <c r="H218" s="279"/>
      <c r="I218" s="279">
        <v>357</v>
      </c>
      <c r="J218" s="279">
        <v>0</v>
      </c>
      <c r="K218" s="284" t="s">
        <v>1816</v>
      </c>
      <c r="L218" s="285">
        <v>43040</v>
      </c>
      <c r="M218" s="285">
        <v>45018</v>
      </c>
      <c r="N218" s="284" t="s">
        <v>1398</v>
      </c>
      <c r="O218" s="286" t="s">
        <v>1816</v>
      </c>
      <c r="P218" s="270"/>
      <c r="Q218" s="271"/>
      <c r="R218" s="271" t="str">
        <f t="shared" si="4"/>
        <v>329</v>
      </c>
      <c r="S218" s="271" t="str">
        <f t="shared" si="5"/>
        <v>32</v>
      </c>
      <c r="T218" s="271" t="str">
        <f t="shared" si="6"/>
        <v>15</v>
      </c>
      <c r="U218" s="271"/>
      <c r="V218" s="271"/>
      <c r="W218" s="271"/>
      <c r="X218" s="271"/>
      <c r="Y218" s="271"/>
      <c r="Z218" s="271"/>
      <c r="AA218" s="271"/>
      <c r="AB218" s="271"/>
      <c r="AC218" s="271"/>
      <c r="AD218" s="271" t="s">
        <v>1895</v>
      </c>
      <c r="AE218" s="271" t="s">
        <v>1896</v>
      </c>
      <c r="AF218" s="271" t="str">
        <f t="shared" si="9"/>
        <v>A679073</v>
      </c>
      <c r="AG218" s="271" t="str">
        <f>VLOOKUP(AF218,AKT!$C$4:$E$324,3,FALSE)</f>
        <v>0942</v>
      </c>
    </row>
    <row r="219" spans="1:33" s="272" customFormat="1" ht="15.75" customHeight="1">
      <c r="A219" s="281" t="s">
        <v>5400</v>
      </c>
      <c r="B219" s="282" t="s">
        <v>523</v>
      </c>
      <c r="C219" s="281" t="s">
        <v>5401</v>
      </c>
      <c r="D219" s="282" t="s">
        <v>553</v>
      </c>
      <c r="E219" s="281" t="s">
        <v>3563</v>
      </c>
      <c r="F219" s="282" t="s">
        <v>3319</v>
      </c>
      <c r="G219" s="79" t="str">
        <f t="shared" si="14"/>
        <v>0150</v>
      </c>
      <c r="H219" s="279"/>
      <c r="I219" s="279"/>
      <c r="J219" s="279">
        <v>0</v>
      </c>
      <c r="K219" s="284" t="s">
        <v>1816</v>
      </c>
      <c r="L219" s="285">
        <v>43040</v>
      </c>
      <c r="M219" s="285">
        <v>45018</v>
      </c>
      <c r="N219" s="284" t="s">
        <v>1398</v>
      </c>
      <c r="O219" s="286" t="s">
        <v>1816</v>
      </c>
      <c r="P219" s="270"/>
      <c r="Q219" s="271"/>
      <c r="R219" s="271" t="str">
        <f t="shared" si="4"/>
        <v>369</v>
      </c>
      <c r="S219" s="271" t="str">
        <f t="shared" si="5"/>
        <v>36</v>
      </c>
      <c r="T219" s="271" t="str">
        <f t="shared" si="6"/>
        <v>15</v>
      </c>
      <c r="U219" s="271"/>
      <c r="V219" s="271"/>
      <c r="W219" s="271"/>
      <c r="X219" s="271"/>
      <c r="Y219" s="271"/>
      <c r="Z219" s="271"/>
      <c r="AA219" s="271"/>
      <c r="AB219" s="271"/>
      <c r="AC219" s="271"/>
      <c r="AD219" s="271" t="s">
        <v>1897</v>
      </c>
      <c r="AE219" s="271" t="s">
        <v>1898</v>
      </c>
      <c r="AF219" s="271" t="str">
        <f t="shared" si="9"/>
        <v>A679073</v>
      </c>
      <c r="AG219" s="271" t="str">
        <f>VLOOKUP(AF219,AKT!$C$4:$E$324,3,FALSE)</f>
        <v>0942</v>
      </c>
    </row>
    <row r="220" spans="1:33" s="272" customFormat="1" ht="15.75" customHeight="1">
      <c r="A220" s="281" t="s">
        <v>5400</v>
      </c>
      <c r="B220" s="282" t="s">
        <v>523</v>
      </c>
      <c r="C220" s="281" t="s">
        <v>5402</v>
      </c>
      <c r="D220" s="282" t="s">
        <v>554</v>
      </c>
      <c r="E220" s="281" t="s">
        <v>3563</v>
      </c>
      <c r="F220" s="282" t="s">
        <v>3319</v>
      </c>
      <c r="G220" s="79" t="str">
        <f t="shared" si="14"/>
        <v>0150</v>
      </c>
      <c r="H220" s="279"/>
      <c r="I220" s="279"/>
      <c r="J220" s="279">
        <v>0</v>
      </c>
      <c r="K220" s="284" t="s">
        <v>1816</v>
      </c>
      <c r="L220" s="285">
        <v>43040</v>
      </c>
      <c r="M220" s="285">
        <v>45018</v>
      </c>
      <c r="N220" s="284" t="s">
        <v>1398</v>
      </c>
      <c r="O220" s="286" t="s">
        <v>1816</v>
      </c>
      <c r="P220" s="270"/>
      <c r="Q220" s="271"/>
      <c r="R220" s="271" t="str">
        <f t="shared" si="4"/>
        <v>369</v>
      </c>
      <c r="S220" s="271" t="str">
        <f t="shared" si="5"/>
        <v>36</v>
      </c>
      <c r="T220" s="271" t="str">
        <f t="shared" si="6"/>
        <v>15</v>
      </c>
      <c r="U220" s="271"/>
      <c r="V220" s="271"/>
      <c r="W220" s="271"/>
      <c r="X220" s="271"/>
      <c r="Y220" s="271"/>
      <c r="Z220" s="271"/>
      <c r="AA220" s="271"/>
      <c r="AB220" s="271"/>
      <c r="AC220" s="271"/>
      <c r="AD220" s="271" t="s">
        <v>1899</v>
      </c>
      <c r="AE220" s="271" t="s">
        <v>1900</v>
      </c>
      <c r="AF220" s="271" t="str">
        <f t="shared" si="9"/>
        <v>A679073</v>
      </c>
      <c r="AG220" s="271" t="str">
        <f>VLOOKUP(AF220,AKT!$C$4:$E$324,3,FALSE)</f>
        <v>0942</v>
      </c>
    </row>
    <row r="221" spans="1:33" s="272" customFormat="1" ht="15.75" customHeight="1">
      <c r="A221" s="281" t="s">
        <v>5400</v>
      </c>
      <c r="B221" s="282" t="s">
        <v>523</v>
      </c>
      <c r="C221" s="281" t="s">
        <v>5399</v>
      </c>
      <c r="D221" s="282" t="s">
        <v>922</v>
      </c>
      <c r="E221" s="281" t="s">
        <v>3563</v>
      </c>
      <c r="F221" s="282" t="s">
        <v>3319</v>
      </c>
      <c r="G221" s="79" t="str">
        <f t="shared" si="14"/>
        <v>0150</v>
      </c>
      <c r="H221" s="279">
        <v>883596</v>
      </c>
      <c r="I221" s="279">
        <v>146401</v>
      </c>
      <c r="J221" s="279">
        <v>0</v>
      </c>
      <c r="K221" s="284" t="s">
        <v>1816</v>
      </c>
      <c r="L221" s="285">
        <v>43040</v>
      </c>
      <c r="M221" s="285">
        <v>45018</v>
      </c>
      <c r="N221" s="284" t="s">
        <v>1398</v>
      </c>
      <c r="O221" s="286" t="s">
        <v>1816</v>
      </c>
      <c r="P221" s="270"/>
      <c r="Q221" s="271"/>
      <c r="R221" s="271" t="str">
        <f t="shared" si="4"/>
        <v>422</v>
      </c>
      <c r="S221" s="271" t="str">
        <f t="shared" si="5"/>
        <v>42</v>
      </c>
      <c r="T221" s="271" t="str">
        <f t="shared" si="6"/>
        <v>15</v>
      </c>
      <c r="U221" s="271"/>
      <c r="V221" s="271"/>
      <c r="W221" s="271"/>
      <c r="X221" s="271"/>
      <c r="Y221" s="271"/>
      <c r="Z221" s="271"/>
      <c r="AA221" s="271"/>
      <c r="AB221" s="271"/>
      <c r="AC221" s="271"/>
      <c r="AD221" s="271" t="s">
        <v>1901</v>
      </c>
      <c r="AE221" s="271" t="s">
        <v>1902</v>
      </c>
      <c r="AF221" s="271" t="str">
        <f t="shared" si="9"/>
        <v>A679073</v>
      </c>
      <c r="AG221" s="271" t="str">
        <f>VLOOKUP(AF221,AKT!$C$4:$E$324,3,FALSE)</f>
        <v>0942</v>
      </c>
    </row>
    <row r="222" spans="1:33" s="272" customFormat="1" ht="15.75" customHeight="1">
      <c r="A222" s="281" t="s">
        <v>5400</v>
      </c>
      <c r="B222" s="282" t="s">
        <v>523</v>
      </c>
      <c r="C222" s="281" t="s">
        <v>5380</v>
      </c>
      <c r="D222" s="282" t="s">
        <v>626</v>
      </c>
      <c r="E222" s="281" t="s">
        <v>1787</v>
      </c>
      <c r="F222" s="282" t="s">
        <v>1403</v>
      </c>
      <c r="G222" s="79" t="str">
        <f t="shared" si="14"/>
        <v>0150</v>
      </c>
      <c r="H222" s="279">
        <v>88544</v>
      </c>
      <c r="I222" s="279"/>
      <c r="J222" s="279">
        <v>0</v>
      </c>
      <c r="K222" s="284" t="s">
        <v>5403</v>
      </c>
      <c r="L222" s="285">
        <v>43819</v>
      </c>
      <c r="M222" s="285">
        <v>45020</v>
      </c>
      <c r="N222" s="284" t="s">
        <v>1398</v>
      </c>
      <c r="O222" s="286" t="s">
        <v>5403</v>
      </c>
      <c r="P222" s="270"/>
      <c r="Q222" s="271"/>
      <c r="R222" s="271" t="str">
        <f t="shared" si="4"/>
        <v>311</v>
      </c>
      <c r="S222" s="271" t="str">
        <f t="shared" si="5"/>
        <v>31</v>
      </c>
      <c r="T222" s="271" t="str">
        <f t="shared" si="6"/>
        <v>15</v>
      </c>
      <c r="U222" s="271"/>
      <c r="V222" s="271"/>
      <c r="W222" s="271"/>
      <c r="X222" s="271"/>
      <c r="Y222" s="271"/>
      <c r="Z222" s="271"/>
      <c r="AA222" s="271"/>
      <c r="AB222" s="271"/>
      <c r="AC222" s="271"/>
      <c r="AD222" s="271" t="s">
        <v>1903</v>
      </c>
      <c r="AE222" s="271" t="s">
        <v>1904</v>
      </c>
      <c r="AF222" s="271" t="str">
        <f t="shared" si="9"/>
        <v>A679073</v>
      </c>
      <c r="AG222" s="271" t="str">
        <f>VLOOKUP(AF222,AKT!$C$4:$E$324,3,FALSE)</f>
        <v>0942</v>
      </c>
    </row>
    <row r="223" spans="1:33" s="272" customFormat="1" ht="15.75" customHeight="1">
      <c r="A223" s="281" t="s">
        <v>5400</v>
      </c>
      <c r="B223" s="282" t="s">
        <v>523</v>
      </c>
      <c r="C223" s="281" t="s">
        <v>5381</v>
      </c>
      <c r="D223" s="282" t="s">
        <v>651</v>
      </c>
      <c r="E223" s="281" t="s">
        <v>1787</v>
      </c>
      <c r="F223" s="282" t="s">
        <v>1403</v>
      </c>
      <c r="G223" s="79" t="str">
        <f t="shared" si="14"/>
        <v>0150</v>
      </c>
      <c r="H223" s="279">
        <v>16082</v>
      </c>
      <c r="I223" s="279"/>
      <c r="J223" s="279">
        <v>0</v>
      </c>
      <c r="K223" s="284" t="s">
        <v>5403</v>
      </c>
      <c r="L223" s="285">
        <v>43819</v>
      </c>
      <c r="M223" s="285">
        <v>45020</v>
      </c>
      <c r="N223" s="284" t="s">
        <v>1398</v>
      </c>
      <c r="O223" s="286" t="s">
        <v>5403</v>
      </c>
      <c r="P223" s="270"/>
      <c r="Q223" s="271"/>
      <c r="R223" s="271" t="str">
        <f t="shared" si="4"/>
        <v>313</v>
      </c>
      <c r="S223" s="271" t="str">
        <f t="shared" si="5"/>
        <v>31</v>
      </c>
      <c r="T223" s="271" t="str">
        <f t="shared" si="6"/>
        <v>15</v>
      </c>
      <c r="U223" s="271"/>
      <c r="V223" s="271"/>
      <c r="W223" s="271"/>
      <c r="X223" s="271"/>
      <c r="Y223" s="271"/>
      <c r="Z223" s="271"/>
      <c r="AA223" s="271"/>
      <c r="AB223" s="271"/>
      <c r="AC223" s="271"/>
      <c r="AD223" s="271" t="s">
        <v>1905</v>
      </c>
      <c r="AE223" s="271" t="s">
        <v>1906</v>
      </c>
      <c r="AF223" s="271" t="str">
        <f t="shared" si="9"/>
        <v>A679073</v>
      </c>
      <c r="AG223" s="271" t="str">
        <f>VLOOKUP(AF223,AKT!$C$4:$E$324,3,FALSE)</f>
        <v>0942</v>
      </c>
    </row>
    <row r="224" spans="1:33" s="272" customFormat="1" ht="15.75" customHeight="1">
      <c r="A224" s="281" t="s">
        <v>5400</v>
      </c>
      <c r="B224" s="282" t="s">
        <v>523</v>
      </c>
      <c r="C224" s="281" t="s">
        <v>5382</v>
      </c>
      <c r="D224" s="282" t="s">
        <v>655</v>
      </c>
      <c r="E224" s="281" t="s">
        <v>1787</v>
      </c>
      <c r="F224" s="282" t="s">
        <v>1403</v>
      </c>
      <c r="G224" s="79" t="str">
        <f t="shared" si="14"/>
        <v>0150</v>
      </c>
      <c r="H224" s="279">
        <v>45853</v>
      </c>
      <c r="I224" s="279"/>
      <c r="J224" s="279">
        <v>0</v>
      </c>
      <c r="K224" s="284" t="s">
        <v>5403</v>
      </c>
      <c r="L224" s="285">
        <v>43819</v>
      </c>
      <c r="M224" s="285">
        <v>45020</v>
      </c>
      <c r="N224" s="284" t="s">
        <v>1398</v>
      </c>
      <c r="O224" s="286" t="s">
        <v>5403</v>
      </c>
      <c r="P224" s="270"/>
      <c r="Q224" s="271"/>
      <c r="R224" s="271" t="str">
        <f t="shared" si="4"/>
        <v>321</v>
      </c>
      <c r="S224" s="271" t="str">
        <f t="shared" si="5"/>
        <v>32</v>
      </c>
      <c r="T224" s="271" t="str">
        <f t="shared" si="6"/>
        <v>15</v>
      </c>
      <c r="U224" s="271"/>
      <c r="V224" s="271"/>
      <c r="W224" s="271"/>
      <c r="X224" s="271"/>
      <c r="Y224" s="271"/>
      <c r="Z224" s="271"/>
      <c r="AA224" s="271"/>
      <c r="AB224" s="271"/>
      <c r="AC224" s="271"/>
      <c r="AD224" s="271" t="s">
        <v>1749</v>
      </c>
      <c r="AE224" s="271" t="s">
        <v>1752</v>
      </c>
      <c r="AF224" s="271" t="str">
        <f t="shared" si="9"/>
        <v>A679073</v>
      </c>
      <c r="AG224" s="271" t="str">
        <f>VLOOKUP(AF224,AKT!$C$4:$E$324,3,FALSE)</f>
        <v>0942</v>
      </c>
    </row>
    <row r="225" spans="1:33" s="272" customFormat="1" ht="15.75" customHeight="1">
      <c r="A225" s="281" t="s">
        <v>5400</v>
      </c>
      <c r="B225" s="282" t="s">
        <v>523</v>
      </c>
      <c r="C225" s="281" t="s">
        <v>5383</v>
      </c>
      <c r="D225" s="282" t="s">
        <v>659</v>
      </c>
      <c r="E225" s="281" t="s">
        <v>1787</v>
      </c>
      <c r="F225" s="282" t="s">
        <v>1403</v>
      </c>
      <c r="G225" s="79" t="str">
        <f t="shared" si="14"/>
        <v>0150</v>
      </c>
      <c r="H225" s="279">
        <v>1529</v>
      </c>
      <c r="I225" s="279"/>
      <c r="J225" s="279">
        <v>0</v>
      </c>
      <c r="K225" s="284" t="s">
        <v>5403</v>
      </c>
      <c r="L225" s="285">
        <v>43819</v>
      </c>
      <c r="M225" s="285">
        <v>45020</v>
      </c>
      <c r="N225" s="284" t="s">
        <v>1398</v>
      </c>
      <c r="O225" s="286" t="s">
        <v>5403</v>
      </c>
      <c r="P225" s="270"/>
      <c r="Q225" s="271"/>
      <c r="R225" s="271" t="str">
        <f t="shared" si="4"/>
        <v>321</v>
      </c>
      <c r="S225" s="271" t="str">
        <f t="shared" si="5"/>
        <v>32</v>
      </c>
      <c r="T225" s="271" t="str">
        <f t="shared" si="6"/>
        <v>15</v>
      </c>
      <c r="U225" s="271"/>
      <c r="V225" s="271"/>
      <c r="W225" s="271"/>
      <c r="X225" s="271"/>
      <c r="Y225" s="271"/>
      <c r="Z225" s="271"/>
      <c r="AA225" s="271"/>
      <c r="AB225" s="271"/>
      <c r="AC225" s="271"/>
      <c r="AD225" s="271" t="s">
        <v>1909</v>
      </c>
      <c r="AE225" s="271" t="s">
        <v>1910</v>
      </c>
      <c r="AF225" s="271" t="str">
        <f t="shared" si="9"/>
        <v>A679073</v>
      </c>
      <c r="AG225" s="271" t="str">
        <f>VLOOKUP(AF225,AKT!$C$4:$E$324,3,FALSE)</f>
        <v>0942</v>
      </c>
    </row>
    <row r="226" spans="1:33" s="272" customFormat="1" ht="15.75" customHeight="1">
      <c r="A226" s="281" t="s">
        <v>5400</v>
      </c>
      <c r="B226" s="282" t="s">
        <v>523</v>
      </c>
      <c r="C226" s="281" t="s">
        <v>5389</v>
      </c>
      <c r="D226" s="282" t="s">
        <v>702</v>
      </c>
      <c r="E226" s="281" t="s">
        <v>1787</v>
      </c>
      <c r="F226" s="282" t="s">
        <v>1403</v>
      </c>
      <c r="G226" s="79" t="str">
        <f t="shared" si="14"/>
        <v>0150</v>
      </c>
      <c r="H226" s="279">
        <v>2273</v>
      </c>
      <c r="I226" s="279">
        <v>1425</v>
      </c>
      <c r="J226" s="279">
        <v>0</v>
      </c>
      <c r="K226" s="284" t="s">
        <v>5403</v>
      </c>
      <c r="L226" s="285">
        <v>43819</v>
      </c>
      <c r="M226" s="285">
        <v>45020</v>
      </c>
      <c r="N226" s="284" t="s">
        <v>1398</v>
      </c>
      <c r="O226" s="286" t="s">
        <v>5403</v>
      </c>
      <c r="P226" s="270"/>
      <c r="Q226" s="271"/>
      <c r="R226" s="271" t="str">
        <f t="shared" si="4"/>
        <v>323</v>
      </c>
      <c r="S226" s="271" t="str">
        <f t="shared" si="5"/>
        <v>32</v>
      </c>
      <c r="T226" s="271" t="str">
        <f t="shared" si="6"/>
        <v>15</v>
      </c>
      <c r="U226" s="271"/>
      <c r="V226" s="271"/>
      <c r="W226" s="271"/>
      <c r="X226" s="271"/>
      <c r="Y226" s="271"/>
      <c r="Z226" s="271"/>
      <c r="AA226" s="271"/>
      <c r="AB226" s="271"/>
      <c r="AC226" s="271"/>
      <c r="AD226" s="271" t="s">
        <v>1911</v>
      </c>
      <c r="AE226" s="271" t="s">
        <v>1912</v>
      </c>
      <c r="AF226" s="271" t="str">
        <f t="shared" si="9"/>
        <v>A679073</v>
      </c>
      <c r="AG226" s="271" t="str">
        <f>VLOOKUP(AF226,AKT!$C$4:$E$324,3,FALSE)</f>
        <v>0942</v>
      </c>
    </row>
    <row r="227" spans="1:33" s="272" customFormat="1" ht="15.75" customHeight="1">
      <c r="A227" s="281" t="s">
        <v>5400</v>
      </c>
      <c r="B227" s="282" t="s">
        <v>523</v>
      </c>
      <c r="C227" s="281" t="s">
        <v>5392</v>
      </c>
      <c r="D227" s="282" t="s">
        <v>716</v>
      </c>
      <c r="E227" s="281" t="s">
        <v>1787</v>
      </c>
      <c r="F227" s="282" t="s">
        <v>1403</v>
      </c>
      <c r="G227" s="79" t="str">
        <f t="shared" si="14"/>
        <v>0150</v>
      </c>
      <c r="H227" s="279">
        <v>80510</v>
      </c>
      <c r="I227" s="279"/>
      <c r="J227" s="279">
        <v>0</v>
      </c>
      <c r="K227" s="284" t="s">
        <v>5403</v>
      </c>
      <c r="L227" s="285">
        <v>43819</v>
      </c>
      <c r="M227" s="285">
        <v>45020</v>
      </c>
      <c r="N227" s="284" t="s">
        <v>1398</v>
      </c>
      <c r="O227" s="286" t="s">
        <v>5403</v>
      </c>
      <c r="P227" s="270"/>
      <c r="Q227" s="271"/>
      <c r="R227" s="271" t="str">
        <f t="shared" si="4"/>
        <v>323</v>
      </c>
      <c r="S227" s="271" t="str">
        <f t="shared" si="5"/>
        <v>32</v>
      </c>
      <c r="T227" s="271" t="str">
        <f t="shared" si="6"/>
        <v>15</v>
      </c>
      <c r="U227" s="271"/>
      <c r="V227" s="271"/>
      <c r="W227" s="271"/>
      <c r="X227" s="271"/>
      <c r="Y227" s="271"/>
      <c r="Z227" s="271"/>
      <c r="AA227" s="271"/>
      <c r="AB227" s="271"/>
      <c r="AC227" s="271"/>
      <c r="AD227" s="271" t="s">
        <v>1913</v>
      </c>
      <c r="AE227" s="271" t="s">
        <v>1914</v>
      </c>
      <c r="AF227" s="271" t="str">
        <f t="shared" si="9"/>
        <v>A679073</v>
      </c>
      <c r="AG227" s="271" t="str">
        <f>VLOOKUP(AF227,AKT!$C$4:$E$324,3,FALSE)</f>
        <v>0942</v>
      </c>
    </row>
    <row r="228" spans="1:33" s="272" customFormat="1" ht="15.75" customHeight="1">
      <c r="A228" s="281" t="s">
        <v>5400</v>
      </c>
      <c r="B228" s="282" t="s">
        <v>523</v>
      </c>
      <c r="C228" s="281" t="s">
        <v>5393</v>
      </c>
      <c r="D228" s="282" t="s">
        <v>722</v>
      </c>
      <c r="E228" s="281" t="s">
        <v>1787</v>
      </c>
      <c r="F228" s="282" t="s">
        <v>1403</v>
      </c>
      <c r="G228" s="79" t="str">
        <f t="shared" si="14"/>
        <v>0150</v>
      </c>
      <c r="H228" s="279">
        <v>25976</v>
      </c>
      <c r="I228" s="279"/>
      <c r="J228" s="279">
        <v>0</v>
      </c>
      <c r="K228" s="284" t="s">
        <v>5403</v>
      </c>
      <c r="L228" s="285">
        <v>43819</v>
      </c>
      <c r="M228" s="285">
        <v>45020</v>
      </c>
      <c r="N228" s="284" t="s">
        <v>1398</v>
      </c>
      <c r="O228" s="286" t="s">
        <v>5403</v>
      </c>
      <c r="P228" s="270"/>
      <c r="Q228" s="271"/>
      <c r="R228" s="271" t="str">
        <f t="shared" si="4"/>
        <v>323</v>
      </c>
      <c r="S228" s="271" t="str">
        <f t="shared" si="5"/>
        <v>32</v>
      </c>
      <c r="T228" s="271" t="str">
        <f t="shared" si="6"/>
        <v>15</v>
      </c>
      <c r="U228" s="271"/>
      <c r="V228" s="271"/>
      <c r="W228" s="271"/>
      <c r="X228" s="271"/>
      <c r="Y228" s="271"/>
      <c r="Z228" s="271"/>
      <c r="AA228" s="271"/>
      <c r="AB228" s="271"/>
      <c r="AC228" s="271"/>
      <c r="AD228" s="271" t="s">
        <v>1915</v>
      </c>
      <c r="AE228" s="271" t="s">
        <v>1916</v>
      </c>
      <c r="AF228" s="271" t="str">
        <f t="shared" si="9"/>
        <v>A679073</v>
      </c>
      <c r="AG228" s="271" t="str">
        <f>VLOOKUP(AF228,AKT!$C$4:$E$324,3,FALSE)</f>
        <v>0942</v>
      </c>
    </row>
    <row r="229" spans="1:33" s="272" customFormat="1" ht="15.75" customHeight="1">
      <c r="A229" s="281" t="s">
        <v>5400</v>
      </c>
      <c r="B229" s="282" t="s">
        <v>523</v>
      </c>
      <c r="C229" s="281" t="s">
        <v>5395</v>
      </c>
      <c r="D229" s="282" t="s">
        <v>734</v>
      </c>
      <c r="E229" s="281" t="s">
        <v>1787</v>
      </c>
      <c r="F229" s="282" t="s">
        <v>1403</v>
      </c>
      <c r="G229" s="79" t="str">
        <f t="shared" si="14"/>
        <v>0150</v>
      </c>
      <c r="H229" s="279">
        <v>1401</v>
      </c>
      <c r="I229" s="279"/>
      <c r="J229" s="279">
        <v>0</v>
      </c>
      <c r="K229" s="284" t="s">
        <v>5403</v>
      </c>
      <c r="L229" s="285">
        <v>43819</v>
      </c>
      <c r="M229" s="285">
        <v>45020</v>
      </c>
      <c r="N229" s="284" t="s">
        <v>1398</v>
      </c>
      <c r="O229" s="286" t="s">
        <v>5403</v>
      </c>
      <c r="P229" s="270"/>
      <c r="Q229" s="271"/>
      <c r="R229" s="271" t="str">
        <f t="shared" si="4"/>
        <v>329</v>
      </c>
      <c r="S229" s="271" t="str">
        <f t="shared" si="5"/>
        <v>32</v>
      </c>
      <c r="T229" s="271" t="str">
        <f t="shared" si="6"/>
        <v>15</v>
      </c>
      <c r="U229" s="271"/>
      <c r="V229" s="271"/>
      <c r="W229" s="271"/>
      <c r="X229" s="271"/>
      <c r="Y229" s="271"/>
      <c r="Z229" s="271"/>
      <c r="AA229" s="271"/>
      <c r="AB229" s="271"/>
      <c r="AC229" s="271"/>
      <c r="AD229" s="271" t="s">
        <v>1917</v>
      </c>
      <c r="AE229" s="271" t="s">
        <v>1918</v>
      </c>
      <c r="AF229" s="271" t="str">
        <f t="shared" si="9"/>
        <v>A679073</v>
      </c>
      <c r="AG229" s="271" t="str">
        <f>VLOOKUP(AF229,AKT!$C$4:$E$324,3,FALSE)</f>
        <v>0942</v>
      </c>
    </row>
    <row r="230" spans="1:33" s="272" customFormat="1" ht="15.75" customHeight="1">
      <c r="A230" s="281" t="s">
        <v>5400</v>
      </c>
      <c r="B230" s="282" t="s">
        <v>523</v>
      </c>
      <c r="C230" s="281" t="s">
        <v>5399</v>
      </c>
      <c r="D230" s="282" t="s">
        <v>922</v>
      </c>
      <c r="E230" s="281" t="s">
        <v>1787</v>
      </c>
      <c r="F230" s="282" t="s">
        <v>1403</v>
      </c>
      <c r="G230" s="79" t="str">
        <f t="shared" si="14"/>
        <v>0150</v>
      </c>
      <c r="H230" s="279">
        <v>165695</v>
      </c>
      <c r="I230" s="279"/>
      <c r="J230" s="279"/>
      <c r="K230" s="284" t="s">
        <v>5403</v>
      </c>
      <c r="L230" s="285">
        <v>43819</v>
      </c>
      <c r="M230" s="285">
        <v>45020</v>
      </c>
      <c r="N230" s="284" t="s">
        <v>1398</v>
      </c>
      <c r="O230" s="286" t="s">
        <v>5403</v>
      </c>
      <c r="P230" s="270"/>
      <c r="Q230" s="271"/>
      <c r="R230" s="271" t="str">
        <f t="shared" si="4"/>
        <v>422</v>
      </c>
      <c r="S230" s="271" t="str">
        <f t="shared" si="5"/>
        <v>42</v>
      </c>
      <c r="T230" s="271" t="str">
        <f t="shared" si="6"/>
        <v>15</v>
      </c>
      <c r="U230" s="271"/>
      <c r="V230" s="271"/>
      <c r="W230" s="271"/>
      <c r="X230" s="271"/>
      <c r="Y230" s="271"/>
      <c r="Z230" s="271"/>
      <c r="AA230" s="271"/>
      <c r="AB230" s="271"/>
      <c r="AC230" s="271"/>
      <c r="AD230" s="271" t="s">
        <v>1919</v>
      </c>
      <c r="AE230" s="271" t="s">
        <v>1920</v>
      </c>
      <c r="AF230" s="271" t="str">
        <f t="shared" si="9"/>
        <v>A679073</v>
      </c>
      <c r="AG230" s="271" t="str">
        <f>VLOOKUP(AF230,AKT!$C$4:$E$324,3,FALSE)</f>
        <v>0942</v>
      </c>
    </row>
    <row r="231" spans="1:33" s="272" customFormat="1" ht="15.75" customHeight="1">
      <c r="A231" s="281">
        <v>563</v>
      </c>
      <c r="B231" s="282" t="s">
        <v>523</v>
      </c>
      <c r="C231" s="281">
        <v>3111</v>
      </c>
      <c r="D231" s="282" t="s">
        <v>626</v>
      </c>
      <c r="E231" s="281" t="s">
        <v>3570</v>
      </c>
      <c r="F231" s="282" t="s">
        <v>1413</v>
      </c>
      <c r="G231" s="79" t="s">
        <v>668</v>
      </c>
      <c r="H231" s="279"/>
      <c r="I231" s="279">
        <v>0</v>
      </c>
      <c r="J231" s="279">
        <v>0</v>
      </c>
      <c r="K231" s="284" t="s">
        <v>1888</v>
      </c>
      <c r="L231" s="285">
        <v>43955</v>
      </c>
      <c r="M231" s="285">
        <v>45050</v>
      </c>
      <c r="N231" s="284" t="s">
        <v>1889</v>
      </c>
      <c r="O231" s="286" t="s">
        <v>1890</v>
      </c>
      <c r="P231" s="270"/>
      <c r="Q231" s="271"/>
      <c r="R231" s="271" t="str">
        <f t="shared" si="4"/>
        <v>311</v>
      </c>
      <c r="S231" s="271" t="str">
        <f t="shared" si="5"/>
        <v>31</v>
      </c>
      <c r="T231" s="271" t="str">
        <f t="shared" si="6"/>
        <v>94</v>
      </c>
      <c r="U231" s="271"/>
      <c r="V231" s="271"/>
      <c r="W231" s="271"/>
      <c r="X231" s="271"/>
      <c r="Y231" s="271"/>
      <c r="Z231" s="271"/>
      <c r="AA231" s="271"/>
      <c r="AB231" s="271"/>
      <c r="AC231" s="271"/>
      <c r="AD231" s="271" t="s">
        <v>1921</v>
      </c>
      <c r="AE231" s="271" t="s">
        <v>1922</v>
      </c>
      <c r="AF231" s="271" t="str">
        <f t="shared" si="9"/>
        <v>A679073</v>
      </c>
      <c r="AG231" s="271" t="str">
        <f>VLOOKUP(AF231,AKT!$C$4:$E$324,3,FALSE)</f>
        <v>0942</v>
      </c>
    </row>
    <row r="232" spans="1:33" s="272" customFormat="1" ht="15.75" customHeight="1">
      <c r="A232" s="281">
        <v>12</v>
      </c>
      <c r="B232" s="282" t="s">
        <v>489</v>
      </c>
      <c r="C232" s="281">
        <v>3111</v>
      </c>
      <c r="D232" s="282" t="s">
        <v>626</v>
      </c>
      <c r="E232" s="281" t="s">
        <v>3570</v>
      </c>
      <c r="F232" s="282" t="s">
        <v>1413</v>
      </c>
      <c r="G232" s="79" t="s">
        <v>668</v>
      </c>
      <c r="H232" s="279">
        <v>4000</v>
      </c>
      <c r="I232" s="279">
        <v>0</v>
      </c>
      <c r="J232" s="279">
        <v>0</v>
      </c>
      <c r="K232" s="284" t="s">
        <v>1888</v>
      </c>
      <c r="L232" s="285">
        <v>43955</v>
      </c>
      <c r="M232" s="285">
        <v>45050</v>
      </c>
      <c r="N232" s="284" t="s">
        <v>1889</v>
      </c>
      <c r="O232" s="286" t="s">
        <v>1890</v>
      </c>
      <c r="P232" s="270"/>
      <c r="Q232" s="271"/>
      <c r="R232" s="271" t="str">
        <f t="shared" si="4"/>
        <v>311</v>
      </c>
      <c r="S232" s="271" t="str">
        <f t="shared" si="5"/>
        <v>31</v>
      </c>
      <c r="T232" s="271" t="str">
        <f t="shared" si="6"/>
        <v>94</v>
      </c>
      <c r="U232" s="271"/>
      <c r="V232" s="271"/>
      <c r="W232" s="271"/>
      <c r="X232" s="271"/>
      <c r="Y232" s="271"/>
      <c r="Z232" s="271"/>
      <c r="AA232" s="271"/>
      <c r="AB232" s="271"/>
      <c r="AC232" s="271"/>
      <c r="AD232" s="271" t="s">
        <v>1924</v>
      </c>
      <c r="AE232" s="271" t="s">
        <v>1925</v>
      </c>
      <c r="AF232" s="271" t="str">
        <f t="shared" si="9"/>
        <v>A679073</v>
      </c>
      <c r="AG232" s="271" t="str">
        <f>VLOOKUP(AF232,AKT!$C$4:$E$324,3,FALSE)</f>
        <v>0942</v>
      </c>
    </row>
    <row r="233" spans="1:33" s="272" customFormat="1" ht="15.75" customHeight="1">
      <c r="A233" s="281">
        <v>563</v>
      </c>
      <c r="B233" s="282" t="s">
        <v>523</v>
      </c>
      <c r="C233" s="281">
        <v>3132</v>
      </c>
      <c r="D233" s="282" t="s">
        <v>651</v>
      </c>
      <c r="E233" s="281" t="s">
        <v>3570</v>
      </c>
      <c r="F233" s="282" t="s">
        <v>1413</v>
      </c>
      <c r="G233" s="79" t="s">
        <v>668</v>
      </c>
      <c r="H233" s="279"/>
      <c r="I233" s="279">
        <v>0</v>
      </c>
      <c r="J233" s="279">
        <v>0</v>
      </c>
      <c r="K233" s="284" t="s">
        <v>1888</v>
      </c>
      <c r="L233" s="285">
        <v>43955</v>
      </c>
      <c r="M233" s="285">
        <v>45050</v>
      </c>
      <c r="N233" s="284" t="s">
        <v>1889</v>
      </c>
      <c r="O233" s="286" t="s">
        <v>1890</v>
      </c>
      <c r="P233" s="270"/>
      <c r="Q233" s="271"/>
      <c r="R233" s="271" t="str">
        <f t="shared" si="4"/>
        <v>313</v>
      </c>
      <c r="S233" s="271" t="str">
        <f t="shared" si="5"/>
        <v>31</v>
      </c>
      <c r="T233" s="271" t="str">
        <f t="shared" si="6"/>
        <v>94</v>
      </c>
      <c r="U233" s="271"/>
      <c r="V233" s="271"/>
      <c r="W233" s="271"/>
      <c r="X233" s="271"/>
      <c r="Y233" s="271"/>
      <c r="Z233" s="271"/>
      <c r="AA233" s="271"/>
      <c r="AB233" s="271"/>
      <c r="AC233" s="271"/>
      <c r="AD233" s="271" t="s">
        <v>1926</v>
      </c>
      <c r="AE233" s="271" t="s">
        <v>1927</v>
      </c>
      <c r="AF233" s="271" t="str">
        <f t="shared" si="9"/>
        <v>A679073</v>
      </c>
      <c r="AG233" s="271" t="str">
        <f>VLOOKUP(AF233,AKT!$C$4:$E$324,3,FALSE)</f>
        <v>0942</v>
      </c>
    </row>
    <row r="234" spans="1:33" s="272" customFormat="1" ht="15.75" customHeight="1">
      <c r="A234" s="281">
        <v>12</v>
      </c>
      <c r="B234" s="282" t="s">
        <v>489</v>
      </c>
      <c r="C234" s="281">
        <v>3132</v>
      </c>
      <c r="D234" s="282" t="s">
        <v>651</v>
      </c>
      <c r="E234" s="281" t="s">
        <v>3570</v>
      </c>
      <c r="F234" s="282" t="s">
        <v>1413</v>
      </c>
      <c r="G234" s="79" t="s">
        <v>668</v>
      </c>
      <c r="H234" s="279">
        <v>732</v>
      </c>
      <c r="I234" s="279">
        <v>0</v>
      </c>
      <c r="J234" s="279">
        <v>0</v>
      </c>
      <c r="K234" s="284" t="s">
        <v>1888</v>
      </c>
      <c r="L234" s="285">
        <v>43955</v>
      </c>
      <c r="M234" s="285">
        <v>45050</v>
      </c>
      <c r="N234" s="284" t="s">
        <v>1889</v>
      </c>
      <c r="O234" s="286" t="s">
        <v>1890</v>
      </c>
      <c r="P234" s="270"/>
      <c r="Q234" s="271"/>
      <c r="R234" s="271" t="str">
        <f t="shared" si="4"/>
        <v>313</v>
      </c>
      <c r="S234" s="271" t="str">
        <f t="shared" si="5"/>
        <v>31</v>
      </c>
      <c r="T234" s="271" t="str">
        <f t="shared" si="6"/>
        <v>94</v>
      </c>
      <c r="U234" s="271"/>
      <c r="V234" s="271"/>
      <c r="W234" s="271"/>
      <c r="X234" s="271"/>
      <c r="Y234" s="271"/>
      <c r="Z234" s="271"/>
      <c r="AA234" s="271"/>
      <c r="AB234" s="271"/>
      <c r="AC234" s="271"/>
      <c r="AD234" s="271" t="s">
        <v>1928</v>
      </c>
      <c r="AE234" s="271" t="s">
        <v>1929</v>
      </c>
      <c r="AF234" s="271" t="str">
        <f t="shared" si="9"/>
        <v>A679073</v>
      </c>
      <c r="AG234" s="271" t="str">
        <f>VLOOKUP(AF234,AKT!$C$4:$E$324,3,FALSE)</f>
        <v>0942</v>
      </c>
    </row>
    <row r="235" spans="1:33" s="272" customFormat="1" ht="15.75" customHeight="1">
      <c r="A235" s="281">
        <v>563</v>
      </c>
      <c r="B235" s="282" t="s">
        <v>523</v>
      </c>
      <c r="C235" s="281">
        <v>3211</v>
      </c>
      <c r="D235" s="282" t="s">
        <v>655</v>
      </c>
      <c r="E235" s="281" t="s">
        <v>3570</v>
      </c>
      <c r="F235" s="282" t="s">
        <v>1413</v>
      </c>
      <c r="G235" s="79" t="s">
        <v>668</v>
      </c>
      <c r="H235" s="279"/>
      <c r="I235" s="279">
        <v>0</v>
      </c>
      <c r="J235" s="279">
        <v>0</v>
      </c>
      <c r="K235" s="284" t="s">
        <v>1888</v>
      </c>
      <c r="L235" s="285">
        <v>43955</v>
      </c>
      <c r="M235" s="285">
        <v>45050</v>
      </c>
      <c r="N235" s="284" t="s">
        <v>1889</v>
      </c>
      <c r="O235" s="286" t="s">
        <v>1890</v>
      </c>
      <c r="P235" s="270"/>
      <c r="Q235" s="271"/>
      <c r="R235" s="271" t="str">
        <f t="shared" si="4"/>
        <v>321</v>
      </c>
      <c r="S235" s="271" t="str">
        <f t="shared" si="5"/>
        <v>32</v>
      </c>
      <c r="T235" s="271" t="str">
        <f t="shared" si="6"/>
        <v>94</v>
      </c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 t="s">
        <v>1930</v>
      </c>
      <c r="AE235" s="271" t="s">
        <v>1931</v>
      </c>
      <c r="AF235" s="271" t="str">
        <f t="shared" si="9"/>
        <v>A679073</v>
      </c>
      <c r="AG235" s="271" t="str">
        <f>VLOOKUP(AF235,AKT!$C$4:$E$324,3,FALSE)</f>
        <v>0942</v>
      </c>
    </row>
    <row r="236" spans="1:33" s="272" customFormat="1" ht="15.75" customHeight="1">
      <c r="A236" s="281">
        <v>12</v>
      </c>
      <c r="B236" s="282" t="s">
        <v>489</v>
      </c>
      <c r="C236" s="281">
        <v>3221</v>
      </c>
      <c r="D236" s="282" t="s">
        <v>5404</v>
      </c>
      <c r="E236" s="281" t="s">
        <v>3570</v>
      </c>
      <c r="F236" s="282" t="s">
        <v>1413</v>
      </c>
      <c r="G236" s="79" t="s">
        <v>668</v>
      </c>
      <c r="H236" s="279"/>
      <c r="I236" s="279"/>
      <c r="J236" s="279">
        <v>0</v>
      </c>
      <c r="K236" s="284" t="s">
        <v>1888</v>
      </c>
      <c r="L236" s="285">
        <v>43955</v>
      </c>
      <c r="M236" s="285">
        <v>45050</v>
      </c>
      <c r="N236" s="284" t="s">
        <v>1889</v>
      </c>
      <c r="O236" s="286" t="s">
        <v>1890</v>
      </c>
      <c r="P236" s="270"/>
      <c r="Q236" s="271"/>
      <c r="R236" s="271" t="str">
        <f t="shared" si="4"/>
        <v>322</v>
      </c>
      <c r="S236" s="271" t="str">
        <f t="shared" si="5"/>
        <v>32</v>
      </c>
      <c r="T236" s="271" t="str">
        <f t="shared" si="6"/>
        <v>94</v>
      </c>
      <c r="U236" s="271"/>
      <c r="V236" s="271"/>
      <c r="W236" s="271"/>
      <c r="X236" s="271"/>
      <c r="Y236" s="271"/>
      <c r="Z236" s="271"/>
      <c r="AA236" s="271"/>
      <c r="AB236" s="271"/>
      <c r="AC236" s="271"/>
      <c r="AD236" s="271" t="s">
        <v>1932</v>
      </c>
      <c r="AE236" s="271" t="s">
        <v>1933</v>
      </c>
      <c r="AF236" s="271" t="str">
        <f t="shared" si="9"/>
        <v>A679074</v>
      </c>
      <c r="AG236" s="271" t="str">
        <f>VLOOKUP(AF236,AKT!$C$4:$E$324,3,FALSE)</f>
        <v>0942</v>
      </c>
    </row>
    <row r="237" spans="1:33" s="272" customFormat="1" ht="15.75" customHeight="1">
      <c r="A237" s="281">
        <v>563</v>
      </c>
      <c r="B237" s="282" t="s">
        <v>523</v>
      </c>
      <c r="C237" s="281">
        <v>3222</v>
      </c>
      <c r="D237" s="282" t="s">
        <v>674</v>
      </c>
      <c r="E237" s="281" t="s">
        <v>3570</v>
      </c>
      <c r="F237" s="282" t="s">
        <v>1413</v>
      </c>
      <c r="G237" s="79" t="s">
        <v>668</v>
      </c>
      <c r="H237" s="279"/>
      <c r="I237" s="279">
        <v>0</v>
      </c>
      <c r="J237" s="279">
        <v>0</v>
      </c>
      <c r="K237" s="284" t="s">
        <v>1888</v>
      </c>
      <c r="L237" s="285">
        <v>43955</v>
      </c>
      <c r="M237" s="285">
        <v>45050</v>
      </c>
      <c r="N237" s="284" t="s">
        <v>1889</v>
      </c>
      <c r="O237" s="286" t="s">
        <v>1890</v>
      </c>
      <c r="P237" s="270"/>
      <c r="Q237" s="271"/>
      <c r="R237" s="271" t="str">
        <f t="shared" si="4"/>
        <v>322</v>
      </c>
      <c r="S237" s="271" t="str">
        <f t="shared" si="5"/>
        <v>32</v>
      </c>
      <c r="T237" s="271" t="str">
        <f t="shared" si="6"/>
        <v>94</v>
      </c>
      <c r="U237" s="271"/>
      <c r="V237" s="271"/>
      <c r="W237" s="271"/>
      <c r="X237" s="271"/>
      <c r="Y237" s="271"/>
      <c r="Z237" s="271"/>
      <c r="AA237" s="271"/>
      <c r="AB237" s="271"/>
      <c r="AC237" s="271"/>
      <c r="AD237" s="271" t="s">
        <v>1934</v>
      </c>
      <c r="AE237" s="271" t="s">
        <v>1935</v>
      </c>
      <c r="AF237" s="271" t="str">
        <f t="shared" si="9"/>
        <v>A679074</v>
      </c>
      <c r="AG237" s="271" t="str">
        <f>VLOOKUP(AF237,AKT!$C$4:$E$324,3,FALSE)</f>
        <v>0942</v>
      </c>
    </row>
    <row r="238" spans="1:33" s="272" customFormat="1" ht="15.75" customHeight="1">
      <c r="A238" s="281">
        <v>12</v>
      </c>
      <c r="B238" s="282" t="s">
        <v>489</v>
      </c>
      <c r="C238" s="281">
        <v>3222</v>
      </c>
      <c r="D238" s="282" t="s">
        <v>674</v>
      </c>
      <c r="E238" s="281" t="s">
        <v>3570</v>
      </c>
      <c r="F238" s="282" t="s">
        <v>1413</v>
      </c>
      <c r="G238" s="79" t="s">
        <v>668</v>
      </c>
      <c r="H238" s="279"/>
      <c r="I238" s="279">
        <v>0</v>
      </c>
      <c r="J238" s="279">
        <v>0</v>
      </c>
      <c r="K238" s="284" t="s">
        <v>1888</v>
      </c>
      <c r="L238" s="285">
        <v>43955</v>
      </c>
      <c r="M238" s="285">
        <v>45050</v>
      </c>
      <c r="N238" s="284" t="s">
        <v>1889</v>
      </c>
      <c r="O238" s="286" t="s">
        <v>1890</v>
      </c>
      <c r="P238" s="270"/>
      <c r="Q238" s="271"/>
      <c r="R238" s="271" t="str">
        <f t="shared" si="4"/>
        <v>322</v>
      </c>
      <c r="S238" s="271" t="str">
        <f t="shared" si="5"/>
        <v>32</v>
      </c>
      <c r="T238" s="271" t="str">
        <f t="shared" si="6"/>
        <v>94</v>
      </c>
      <c r="U238" s="271"/>
      <c r="V238" s="271"/>
      <c r="W238" s="271"/>
      <c r="X238" s="271"/>
      <c r="Y238" s="271"/>
      <c r="Z238" s="271"/>
      <c r="AA238" s="271"/>
      <c r="AB238" s="271"/>
      <c r="AC238" s="271"/>
      <c r="AD238" s="271" t="s">
        <v>1936</v>
      </c>
      <c r="AE238" s="271" t="s">
        <v>1937</v>
      </c>
      <c r="AF238" s="271" t="str">
        <f t="shared" si="9"/>
        <v>A679074</v>
      </c>
      <c r="AG238" s="271" t="str">
        <f>VLOOKUP(AF238,AKT!$C$4:$E$324,3,FALSE)</f>
        <v>0942</v>
      </c>
    </row>
    <row r="239" spans="1:33" s="272" customFormat="1" ht="15.75" customHeight="1">
      <c r="A239" s="281">
        <v>563</v>
      </c>
      <c r="B239" s="282" t="s">
        <v>523</v>
      </c>
      <c r="C239" s="281">
        <v>3111</v>
      </c>
      <c r="D239" s="282" t="s">
        <v>626</v>
      </c>
      <c r="E239" s="281" t="s">
        <v>3569</v>
      </c>
      <c r="F239" s="282" t="s">
        <v>3274</v>
      </c>
      <c r="G239" s="79" t="s">
        <v>668</v>
      </c>
      <c r="H239" s="279">
        <v>30325.569049041074</v>
      </c>
      <c r="I239" s="279">
        <v>0</v>
      </c>
      <c r="J239" s="279">
        <v>0</v>
      </c>
      <c r="K239" s="284" t="s">
        <v>1908</v>
      </c>
      <c r="L239" s="285">
        <v>44180</v>
      </c>
      <c r="M239" s="285">
        <v>45275</v>
      </c>
      <c r="N239" s="284" t="s">
        <v>1398</v>
      </c>
      <c r="O239" s="286" t="s">
        <v>1908</v>
      </c>
      <c r="P239" s="270"/>
      <c r="Q239" s="271"/>
      <c r="R239" s="271" t="str">
        <f t="shared" si="4"/>
        <v>311</v>
      </c>
      <c r="S239" s="271" t="str">
        <f t="shared" si="5"/>
        <v>31</v>
      </c>
      <c r="T239" s="271" t="str">
        <f t="shared" si="6"/>
        <v>94</v>
      </c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 t="s">
        <v>1938</v>
      </c>
      <c r="AE239" s="271" t="s">
        <v>1939</v>
      </c>
      <c r="AF239" s="271" t="str">
        <f t="shared" si="9"/>
        <v>A679074</v>
      </c>
      <c r="AG239" s="271" t="str">
        <f>VLOOKUP(AF239,AKT!$C$4:$E$324,3,FALSE)</f>
        <v>0942</v>
      </c>
    </row>
    <row r="240" spans="1:33" s="272" customFormat="1" ht="15.75" customHeight="1">
      <c r="A240" s="281">
        <v>12</v>
      </c>
      <c r="B240" s="282" t="s">
        <v>489</v>
      </c>
      <c r="C240" s="281">
        <v>3111</v>
      </c>
      <c r="D240" s="282" t="s">
        <v>626</v>
      </c>
      <c r="E240" s="281" t="s">
        <v>3569</v>
      </c>
      <c r="F240" s="282" t="s">
        <v>3274</v>
      </c>
      <c r="G240" s="79" t="s">
        <v>668</v>
      </c>
      <c r="H240" s="279">
        <v>13249.850686840533</v>
      </c>
      <c r="I240" s="279">
        <v>0</v>
      </c>
      <c r="J240" s="279">
        <v>0</v>
      </c>
      <c r="K240" s="284" t="s">
        <v>1908</v>
      </c>
      <c r="L240" s="285">
        <v>44180</v>
      </c>
      <c r="M240" s="285">
        <v>45275</v>
      </c>
      <c r="N240" s="284" t="s">
        <v>1398</v>
      </c>
      <c r="O240" s="286" t="s">
        <v>1908</v>
      </c>
      <c r="P240" s="270"/>
      <c r="Q240" s="271"/>
      <c r="R240" s="271" t="str">
        <f t="shared" si="4"/>
        <v>311</v>
      </c>
      <c r="S240" s="271" t="str">
        <f t="shared" si="5"/>
        <v>31</v>
      </c>
      <c r="T240" s="271" t="str">
        <f t="shared" si="6"/>
        <v>94</v>
      </c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 t="s">
        <v>1942</v>
      </c>
      <c r="AE240" s="271" t="s">
        <v>1943</v>
      </c>
      <c r="AF240" s="271" t="str">
        <f t="shared" si="9"/>
        <v>A679074</v>
      </c>
      <c r="AG240" s="271" t="str">
        <f>VLOOKUP(AF240,AKT!$C$4:$E$324,3,FALSE)</f>
        <v>0942</v>
      </c>
    </row>
    <row r="241" spans="1:33" s="272" customFormat="1" ht="15.75" customHeight="1">
      <c r="A241" s="281">
        <v>563</v>
      </c>
      <c r="B241" s="282" t="s">
        <v>523</v>
      </c>
      <c r="C241" s="281">
        <v>3132</v>
      </c>
      <c r="D241" s="282" t="s">
        <v>651</v>
      </c>
      <c r="E241" s="281" t="s">
        <v>3569</v>
      </c>
      <c r="F241" s="282" t="s">
        <v>3274</v>
      </c>
      <c r="G241" s="79" t="s">
        <v>668</v>
      </c>
      <c r="H241" s="279">
        <v>5818.1697524719621</v>
      </c>
      <c r="I241" s="279">
        <v>0</v>
      </c>
      <c r="J241" s="279">
        <v>0</v>
      </c>
      <c r="K241" s="284" t="s">
        <v>1908</v>
      </c>
      <c r="L241" s="285">
        <v>44180</v>
      </c>
      <c r="M241" s="285">
        <v>45275</v>
      </c>
      <c r="N241" s="284" t="s">
        <v>1398</v>
      </c>
      <c r="O241" s="286" t="s">
        <v>1908</v>
      </c>
      <c r="P241" s="270"/>
      <c r="Q241" s="271"/>
      <c r="R241" s="271" t="str">
        <f t="shared" si="4"/>
        <v>313</v>
      </c>
      <c r="S241" s="271" t="str">
        <f t="shared" si="5"/>
        <v>31</v>
      </c>
      <c r="T241" s="271" t="str">
        <f t="shared" si="6"/>
        <v>94</v>
      </c>
      <c r="U241" s="271"/>
      <c r="V241" s="271"/>
      <c r="W241" s="271"/>
      <c r="X241" s="271"/>
      <c r="Y241" s="271"/>
      <c r="Z241" s="271"/>
      <c r="AA241" s="271"/>
      <c r="AB241" s="271"/>
      <c r="AC241" s="271"/>
      <c r="AD241" s="271" t="s">
        <v>1944</v>
      </c>
      <c r="AE241" s="271" t="s">
        <v>1945</v>
      </c>
      <c r="AF241" s="271" t="str">
        <f t="shared" si="9"/>
        <v>A679074</v>
      </c>
      <c r="AG241" s="271" t="str">
        <f>VLOOKUP(AF241,AKT!$C$4:$E$324,3,FALSE)</f>
        <v>0942</v>
      </c>
    </row>
    <row r="242" spans="1:33" s="272" customFormat="1" ht="15.75" customHeight="1">
      <c r="A242" s="281">
        <v>12</v>
      </c>
      <c r="B242" s="282" t="s">
        <v>489</v>
      </c>
      <c r="C242" s="281">
        <v>3132</v>
      </c>
      <c r="D242" s="282" t="s">
        <v>651</v>
      </c>
      <c r="E242" s="281" t="s">
        <v>3569</v>
      </c>
      <c r="F242" s="282" t="s">
        <v>3274</v>
      </c>
      <c r="G242" s="79" t="s">
        <v>668</v>
      </c>
      <c r="H242" s="279">
        <v>2618.2228415953282</v>
      </c>
      <c r="I242" s="279">
        <v>0</v>
      </c>
      <c r="J242" s="279">
        <v>0</v>
      </c>
      <c r="K242" s="284" t="s">
        <v>1908</v>
      </c>
      <c r="L242" s="285">
        <v>44180</v>
      </c>
      <c r="M242" s="285">
        <v>45275</v>
      </c>
      <c r="N242" s="284" t="s">
        <v>1398</v>
      </c>
      <c r="O242" s="286" t="s">
        <v>1908</v>
      </c>
      <c r="P242" s="270"/>
      <c r="Q242" s="271"/>
      <c r="R242" s="271" t="str">
        <f t="shared" si="4"/>
        <v>313</v>
      </c>
      <c r="S242" s="271" t="str">
        <f t="shared" si="5"/>
        <v>31</v>
      </c>
      <c r="T242" s="271" t="str">
        <f t="shared" si="6"/>
        <v>94</v>
      </c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 t="s">
        <v>1947</v>
      </c>
      <c r="AE242" s="271" t="s">
        <v>1948</v>
      </c>
      <c r="AF242" s="271" t="str">
        <f t="shared" si="9"/>
        <v>A679074</v>
      </c>
      <c r="AG242" s="271" t="str">
        <f>VLOOKUP(AF242,AKT!$C$4:$E$324,3,FALSE)</f>
        <v>0942</v>
      </c>
    </row>
    <row r="243" spans="1:33" s="272" customFormat="1" ht="15.75" customHeight="1">
      <c r="A243" s="281">
        <v>563</v>
      </c>
      <c r="B243" s="282" t="s">
        <v>523</v>
      </c>
      <c r="C243" s="281">
        <v>3222</v>
      </c>
      <c r="D243" s="282" t="s">
        <v>674</v>
      </c>
      <c r="E243" s="281" t="s">
        <v>3569</v>
      </c>
      <c r="F243" s="282" t="s">
        <v>3274</v>
      </c>
      <c r="G243" s="79" t="s">
        <v>668</v>
      </c>
      <c r="H243" s="279">
        <v>0</v>
      </c>
      <c r="I243" s="279">
        <v>0</v>
      </c>
      <c r="J243" s="279">
        <v>0</v>
      </c>
      <c r="K243" s="284" t="s">
        <v>1908</v>
      </c>
      <c r="L243" s="285">
        <v>44180</v>
      </c>
      <c r="M243" s="285">
        <v>45275</v>
      </c>
      <c r="N243" s="284" t="s">
        <v>1398</v>
      </c>
      <c r="O243" s="286" t="s">
        <v>1908</v>
      </c>
      <c r="P243" s="270"/>
      <c r="Q243" s="271"/>
      <c r="R243" s="271" t="str">
        <f t="shared" si="4"/>
        <v>322</v>
      </c>
      <c r="S243" s="271" t="str">
        <f t="shared" si="5"/>
        <v>32</v>
      </c>
      <c r="T243" s="271" t="str">
        <f t="shared" si="6"/>
        <v>94</v>
      </c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 t="s">
        <v>1949</v>
      </c>
      <c r="AE243" s="271" t="s">
        <v>1950</v>
      </c>
      <c r="AF243" s="271" t="str">
        <f t="shared" si="9"/>
        <v>A679074</v>
      </c>
      <c r="AG243" s="271" t="str">
        <f>VLOOKUP(AF243,AKT!$C$4:$E$324,3,FALSE)</f>
        <v>0942</v>
      </c>
    </row>
    <row r="244" spans="1:33" s="272" customFormat="1" ht="15.75" customHeight="1">
      <c r="A244" s="281">
        <v>12</v>
      </c>
      <c r="B244" s="282" t="s">
        <v>489</v>
      </c>
      <c r="C244" s="281">
        <v>3222</v>
      </c>
      <c r="D244" s="282" t="s">
        <v>674</v>
      </c>
      <c r="E244" s="281" t="s">
        <v>3569</v>
      </c>
      <c r="F244" s="282" t="s">
        <v>3274</v>
      </c>
      <c r="G244" s="79" t="s">
        <v>668</v>
      </c>
      <c r="H244" s="279">
        <v>4746.8312429491007</v>
      </c>
      <c r="I244" s="279">
        <v>0</v>
      </c>
      <c r="J244" s="279">
        <v>0</v>
      </c>
      <c r="K244" s="284" t="s">
        <v>1908</v>
      </c>
      <c r="L244" s="285">
        <v>44180</v>
      </c>
      <c r="M244" s="285">
        <v>45275</v>
      </c>
      <c r="N244" s="284" t="s">
        <v>1398</v>
      </c>
      <c r="O244" s="286" t="s">
        <v>1908</v>
      </c>
      <c r="P244" s="270"/>
      <c r="Q244" s="271"/>
      <c r="R244" s="271" t="str">
        <f t="shared" si="4"/>
        <v>322</v>
      </c>
      <c r="S244" s="271" t="str">
        <f t="shared" si="5"/>
        <v>32</v>
      </c>
      <c r="T244" s="271" t="str">
        <f t="shared" si="6"/>
        <v>94</v>
      </c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 t="s">
        <v>1952</v>
      </c>
      <c r="AE244" s="271" t="s">
        <v>1953</v>
      </c>
      <c r="AF244" s="271" t="str">
        <f t="shared" si="9"/>
        <v>A679074</v>
      </c>
      <c r="AG244" s="271" t="str">
        <f>VLOOKUP(AF244,AKT!$C$4:$E$324,3,FALSE)</f>
        <v>0942</v>
      </c>
    </row>
    <row r="245" spans="1:33" s="272" customFormat="1" ht="15.75" customHeight="1">
      <c r="A245" s="281">
        <v>563</v>
      </c>
      <c r="B245" s="282" t="s">
        <v>523</v>
      </c>
      <c r="C245" s="281">
        <v>4224</v>
      </c>
      <c r="D245" s="282" t="s">
        <v>922</v>
      </c>
      <c r="E245" s="281" t="s">
        <v>3569</v>
      </c>
      <c r="F245" s="282" t="s">
        <v>3274</v>
      </c>
      <c r="G245" s="79" t="s">
        <v>668</v>
      </c>
      <c r="H245" s="279">
        <v>119790.03251708805</v>
      </c>
      <c r="I245" s="279">
        <v>0</v>
      </c>
      <c r="J245" s="279">
        <v>0</v>
      </c>
      <c r="K245" s="284" t="s">
        <v>1908</v>
      </c>
      <c r="L245" s="285">
        <v>44180</v>
      </c>
      <c r="M245" s="285">
        <v>45275</v>
      </c>
      <c r="N245" s="284" t="s">
        <v>1398</v>
      </c>
      <c r="O245" s="286" t="s">
        <v>1908</v>
      </c>
      <c r="P245" s="270"/>
      <c r="Q245" s="271"/>
      <c r="R245" s="271" t="str">
        <f t="shared" si="4"/>
        <v>422</v>
      </c>
      <c r="S245" s="271" t="str">
        <f t="shared" si="5"/>
        <v>42</v>
      </c>
      <c r="T245" s="271" t="str">
        <f t="shared" si="6"/>
        <v>94</v>
      </c>
      <c r="U245" s="271"/>
      <c r="V245" s="271"/>
      <c r="W245" s="271"/>
      <c r="X245" s="271"/>
      <c r="Y245" s="271"/>
      <c r="Z245" s="271"/>
      <c r="AA245" s="271"/>
      <c r="AB245" s="271"/>
      <c r="AC245" s="271"/>
      <c r="AD245" s="271" t="s">
        <v>1954</v>
      </c>
      <c r="AE245" s="271" t="s">
        <v>1955</v>
      </c>
      <c r="AF245" s="271" t="str">
        <f t="shared" si="9"/>
        <v>A679074</v>
      </c>
      <c r="AG245" s="271" t="str">
        <f>VLOOKUP(AF245,AKT!$C$4:$E$324,3,FALSE)</f>
        <v>0942</v>
      </c>
    </row>
    <row r="246" spans="1:33" s="272" customFormat="1" ht="15.75" customHeight="1">
      <c r="A246" s="281">
        <v>12</v>
      </c>
      <c r="B246" s="282" t="s">
        <v>489</v>
      </c>
      <c r="C246" s="281">
        <v>4224</v>
      </c>
      <c r="D246" s="282" t="s">
        <v>922</v>
      </c>
      <c r="E246" s="281" t="s">
        <v>3569</v>
      </c>
      <c r="F246" s="282" t="s">
        <v>3274</v>
      </c>
      <c r="G246" s="79" t="s">
        <v>668</v>
      </c>
      <c r="H246" s="279">
        <v>21139.425310239563</v>
      </c>
      <c r="I246" s="279">
        <v>0</v>
      </c>
      <c r="J246" s="279">
        <v>0</v>
      </c>
      <c r="K246" s="284" t="s">
        <v>1908</v>
      </c>
      <c r="L246" s="285">
        <v>44180</v>
      </c>
      <c r="M246" s="285">
        <v>45275</v>
      </c>
      <c r="N246" s="284" t="s">
        <v>1398</v>
      </c>
      <c r="O246" s="286" t="s">
        <v>1908</v>
      </c>
      <c r="P246" s="270"/>
      <c r="Q246" s="271"/>
      <c r="R246" s="271" t="str">
        <f t="shared" si="4"/>
        <v>422</v>
      </c>
      <c r="S246" s="271" t="str">
        <f t="shared" si="5"/>
        <v>42</v>
      </c>
      <c r="T246" s="271" t="str">
        <f t="shared" si="6"/>
        <v>94</v>
      </c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 t="s">
        <v>1958</v>
      </c>
      <c r="AE246" s="271" t="s">
        <v>1959</v>
      </c>
      <c r="AF246" s="271" t="str">
        <f t="shared" si="9"/>
        <v>A679074</v>
      </c>
      <c r="AG246" s="271" t="str">
        <f>VLOOKUP(AF246,AKT!$C$4:$E$324,3,FALSE)</f>
        <v>0942</v>
      </c>
    </row>
    <row r="247" spans="1:33" s="272" customFormat="1" ht="15.75" customHeight="1">
      <c r="A247" s="281">
        <v>563</v>
      </c>
      <c r="B247" s="282" t="s">
        <v>523</v>
      </c>
      <c r="C247" s="281">
        <v>3111</v>
      </c>
      <c r="D247" s="282" t="s">
        <v>626</v>
      </c>
      <c r="E247" s="281" t="s">
        <v>3569</v>
      </c>
      <c r="F247" s="282" t="s">
        <v>3274</v>
      </c>
      <c r="G247" s="79" t="s">
        <v>668</v>
      </c>
      <c r="H247" s="279">
        <v>60546.419802243014</v>
      </c>
      <c r="I247" s="279">
        <v>0</v>
      </c>
      <c r="J247" s="279">
        <v>0</v>
      </c>
      <c r="K247" s="284" t="s">
        <v>1923</v>
      </c>
      <c r="L247" s="285">
        <v>44181</v>
      </c>
      <c r="M247" s="285">
        <v>45276</v>
      </c>
      <c r="N247" s="284" t="s">
        <v>1398</v>
      </c>
      <c r="O247" s="286" t="s">
        <v>1923</v>
      </c>
      <c r="P247" s="270"/>
      <c r="Q247" s="271"/>
      <c r="R247" s="271" t="str">
        <f t="shared" si="4"/>
        <v>311</v>
      </c>
      <c r="S247" s="271" t="str">
        <f t="shared" si="5"/>
        <v>31</v>
      </c>
      <c r="T247" s="271" t="str">
        <f t="shared" si="6"/>
        <v>94</v>
      </c>
      <c r="U247" s="271"/>
      <c r="V247" s="271"/>
      <c r="W247" s="271"/>
      <c r="X247" s="271"/>
      <c r="Y247" s="271"/>
      <c r="Z247" s="271"/>
      <c r="AA247" s="271"/>
      <c r="AB247" s="271"/>
      <c r="AC247" s="271"/>
      <c r="AD247" s="271" t="s">
        <v>1960</v>
      </c>
      <c r="AE247" s="271" t="s">
        <v>1961</v>
      </c>
      <c r="AF247" s="271" t="str">
        <f t="shared" si="9"/>
        <v>A679074</v>
      </c>
      <c r="AG247" s="271" t="str">
        <f>VLOOKUP(AF247,AKT!$C$4:$E$324,3,FALSE)</f>
        <v>0942</v>
      </c>
    </row>
    <row r="248" spans="1:33" s="272" customFormat="1" ht="15.75" customHeight="1">
      <c r="A248" s="281">
        <v>12</v>
      </c>
      <c r="B248" s="282" t="s">
        <v>489</v>
      </c>
      <c r="C248" s="281">
        <v>3111</v>
      </c>
      <c r="D248" s="282" t="s">
        <v>626</v>
      </c>
      <c r="E248" s="281" t="s">
        <v>3569</v>
      </c>
      <c r="F248" s="282" t="s">
        <v>3274</v>
      </c>
      <c r="G248" s="79" t="s">
        <v>668</v>
      </c>
      <c r="H248" s="279">
        <v>15215</v>
      </c>
      <c r="I248" s="279">
        <v>0</v>
      </c>
      <c r="J248" s="279">
        <v>0</v>
      </c>
      <c r="K248" s="284" t="s">
        <v>1923</v>
      </c>
      <c r="L248" s="285">
        <v>44181</v>
      </c>
      <c r="M248" s="285">
        <v>45276</v>
      </c>
      <c r="N248" s="284" t="s">
        <v>1398</v>
      </c>
      <c r="O248" s="286" t="s">
        <v>1923</v>
      </c>
      <c r="P248" s="273"/>
      <c r="Q248" s="271"/>
      <c r="R248" s="271" t="str">
        <f t="shared" si="4"/>
        <v>311</v>
      </c>
      <c r="S248" s="271" t="str">
        <f t="shared" si="5"/>
        <v>31</v>
      </c>
      <c r="T248" s="271" t="str">
        <f t="shared" si="6"/>
        <v>94</v>
      </c>
      <c r="U248" s="271"/>
      <c r="V248" s="271"/>
      <c r="W248" s="271"/>
      <c r="X248" s="271"/>
      <c r="Y248" s="271"/>
      <c r="Z248" s="271"/>
      <c r="AA248" s="271"/>
      <c r="AB248" s="271"/>
      <c r="AC248" s="271"/>
      <c r="AD248" s="271" t="s">
        <v>1962</v>
      </c>
      <c r="AE248" s="271" t="s">
        <v>1963</v>
      </c>
      <c r="AF248" s="271" t="str">
        <f t="shared" si="9"/>
        <v>A679074</v>
      </c>
      <c r="AG248" s="271" t="str">
        <f>VLOOKUP(AF248,AKT!$C$4:$E$324,3,FALSE)</f>
        <v>0942</v>
      </c>
    </row>
    <row r="249" spans="1:33" s="272" customFormat="1" ht="15.75" customHeight="1">
      <c r="A249" s="281">
        <v>563</v>
      </c>
      <c r="B249" s="282" t="s">
        <v>523</v>
      </c>
      <c r="C249" s="281">
        <v>3132</v>
      </c>
      <c r="D249" s="282" t="s">
        <v>651</v>
      </c>
      <c r="E249" s="281" t="s">
        <v>3569</v>
      </c>
      <c r="F249" s="282" t="s">
        <v>3274</v>
      </c>
      <c r="G249" s="79" t="s">
        <v>668</v>
      </c>
      <c r="H249" s="279">
        <v>11964.297564536464</v>
      </c>
      <c r="I249" s="279">
        <v>0</v>
      </c>
      <c r="J249" s="279">
        <v>0</v>
      </c>
      <c r="K249" s="284" t="s">
        <v>1923</v>
      </c>
      <c r="L249" s="285">
        <v>44181</v>
      </c>
      <c r="M249" s="285">
        <v>45276</v>
      </c>
      <c r="N249" s="284" t="s">
        <v>1398</v>
      </c>
      <c r="O249" s="286" t="s">
        <v>1923</v>
      </c>
      <c r="P249" s="273"/>
      <c r="Q249" s="271"/>
      <c r="R249" s="271" t="str">
        <f t="shared" si="4"/>
        <v>313</v>
      </c>
      <c r="S249" s="271" t="str">
        <f t="shared" si="5"/>
        <v>31</v>
      </c>
      <c r="T249" s="271" t="str">
        <f t="shared" si="6"/>
        <v>94</v>
      </c>
      <c r="U249" s="271"/>
      <c r="V249" s="271"/>
      <c r="W249" s="271"/>
      <c r="X249" s="271"/>
      <c r="Y249" s="271"/>
      <c r="Z249" s="271"/>
      <c r="AA249" s="271"/>
      <c r="AB249" s="271"/>
      <c r="AC249" s="271"/>
      <c r="AD249" s="271" t="s">
        <v>1964</v>
      </c>
      <c r="AE249" s="271" t="s">
        <v>1965</v>
      </c>
      <c r="AF249" s="271" t="str">
        <f t="shared" si="9"/>
        <v>A679074</v>
      </c>
      <c r="AG249" s="271" t="str">
        <f>VLOOKUP(AF249,AKT!$C$4:$E$324,3,FALSE)</f>
        <v>0942</v>
      </c>
    </row>
    <row r="250" spans="1:33" s="272" customFormat="1" ht="15.75" customHeight="1">
      <c r="A250" s="281">
        <v>12</v>
      </c>
      <c r="B250" s="282" t="s">
        <v>489</v>
      </c>
      <c r="C250" s="281">
        <v>3132</v>
      </c>
      <c r="D250" s="282" t="s">
        <v>651</v>
      </c>
      <c r="E250" s="281" t="s">
        <v>3569</v>
      </c>
      <c r="F250" s="282" t="s">
        <v>3274</v>
      </c>
      <c r="G250" s="79" t="s">
        <v>668</v>
      </c>
      <c r="H250" s="279">
        <v>2975</v>
      </c>
      <c r="I250" s="279">
        <v>0</v>
      </c>
      <c r="J250" s="279">
        <v>0</v>
      </c>
      <c r="K250" s="284" t="s">
        <v>1923</v>
      </c>
      <c r="L250" s="285">
        <v>44181</v>
      </c>
      <c r="M250" s="285">
        <v>45276</v>
      </c>
      <c r="N250" s="284" t="s">
        <v>1398</v>
      </c>
      <c r="O250" s="286" t="s">
        <v>1923</v>
      </c>
      <c r="P250" s="273"/>
      <c r="Q250" s="271"/>
      <c r="R250" s="271" t="str">
        <f t="shared" si="4"/>
        <v>313</v>
      </c>
      <c r="S250" s="271" t="str">
        <f t="shared" si="5"/>
        <v>31</v>
      </c>
      <c r="T250" s="271" t="str">
        <f t="shared" si="6"/>
        <v>94</v>
      </c>
      <c r="U250" s="271"/>
      <c r="V250" s="271"/>
      <c r="W250" s="271"/>
      <c r="X250" s="271"/>
      <c r="Y250" s="271"/>
      <c r="Z250" s="271"/>
      <c r="AA250" s="271"/>
      <c r="AB250" s="271"/>
      <c r="AC250" s="271"/>
      <c r="AD250" s="271" t="s">
        <v>1966</v>
      </c>
      <c r="AE250" s="271" t="s">
        <v>1967</v>
      </c>
      <c r="AF250" s="271" t="str">
        <f t="shared" si="9"/>
        <v>A679074</v>
      </c>
      <c r="AG250" s="271" t="str">
        <f>VLOOKUP(AF250,AKT!$C$4:$E$324,3,FALSE)</f>
        <v>0942</v>
      </c>
    </row>
    <row r="251" spans="1:33" s="272" customFormat="1" ht="15.75" customHeight="1">
      <c r="A251" s="281">
        <v>563</v>
      </c>
      <c r="B251" s="282" t="s">
        <v>523</v>
      </c>
      <c r="C251" s="281">
        <v>3222</v>
      </c>
      <c r="D251" s="282" t="s">
        <v>674</v>
      </c>
      <c r="E251" s="281" t="s">
        <v>3569</v>
      </c>
      <c r="F251" s="282" t="s">
        <v>3274</v>
      </c>
      <c r="G251" s="79" t="s">
        <v>668</v>
      </c>
      <c r="H251" s="279">
        <v>72510.584643971059</v>
      </c>
      <c r="I251" s="279">
        <v>0</v>
      </c>
      <c r="J251" s="279">
        <v>0</v>
      </c>
      <c r="K251" s="284" t="s">
        <v>1923</v>
      </c>
      <c r="L251" s="285">
        <v>44181</v>
      </c>
      <c r="M251" s="285">
        <v>45276</v>
      </c>
      <c r="N251" s="284" t="s">
        <v>1398</v>
      </c>
      <c r="O251" s="286" t="s">
        <v>1923</v>
      </c>
      <c r="P251" s="273"/>
      <c r="Q251" s="271"/>
      <c r="R251" s="271" t="str">
        <f t="shared" si="4"/>
        <v>322</v>
      </c>
      <c r="S251" s="271" t="str">
        <f t="shared" si="5"/>
        <v>32</v>
      </c>
      <c r="T251" s="271" t="str">
        <f t="shared" si="6"/>
        <v>94</v>
      </c>
      <c r="U251" s="271"/>
      <c r="V251" s="271"/>
      <c r="W251" s="271"/>
      <c r="X251" s="271"/>
      <c r="Y251" s="271"/>
      <c r="Z251" s="271"/>
      <c r="AA251" s="271"/>
      <c r="AB251" s="271"/>
      <c r="AC251" s="271"/>
      <c r="AD251" s="271" t="s">
        <v>1968</v>
      </c>
      <c r="AE251" s="271" t="s">
        <v>1969</v>
      </c>
      <c r="AF251" s="271" t="str">
        <f t="shared" si="9"/>
        <v>A679074</v>
      </c>
      <c r="AG251" s="271" t="str">
        <f>VLOOKUP(AF251,AKT!$C$4:$E$324,3,FALSE)</f>
        <v>0942</v>
      </c>
    </row>
    <row r="252" spans="1:33" s="272" customFormat="1" ht="15.75" customHeight="1">
      <c r="A252" s="281">
        <v>12</v>
      </c>
      <c r="B252" s="282" t="s">
        <v>489</v>
      </c>
      <c r="C252" s="281">
        <v>3222</v>
      </c>
      <c r="D252" s="282" t="s">
        <v>674</v>
      </c>
      <c r="E252" s="281" t="s">
        <v>3569</v>
      </c>
      <c r="F252" s="282" t="s">
        <v>3274</v>
      </c>
      <c r="G252" s="79" t="s">
        <v>668</v>
      </c>
      <c r="H252" s="279">
        <v>12795.938682062511</v>
      </c>
      <c r="I252" s="279">
        <v>0</v>
      </c>
      <c r="J252" s="279">
        <v>0</v>
      </c>
      <c r="K252" s="284" t="s">
        <v>1923</v>
      </c>
      <c r="L252" s="285">
        <v>44181</v>
      </c>
      <c r="M252" s="285">
        <v>45276</v>
      </c>
      <c r="N252" s="284" t="s">
        <v>1398</v>
      </c>
      <c r="O252" s="286" t="s">
        <v>1923</v>
      </c>
      <c r="P252" s="273"/>
      <c r="Q252" s="271"/>
      <c r="R252" s="271" t="str">
        <f t="shared" si="4"/>
        <v>322</v>
      </c>
      <c r="S252" s="271" t="str">
        <f t="shared" si="5"/>
        <v>32</v>
      </c>
      <c r="T252" s="271" t="str">
        <f t="shared" si="6"/>
        <v>94</v>
      </c>
      <c r="U252" s="271"/>
      <c r="V252" s="271"/>
      <c r="W252" s="271"/>
      <c r="X252" s="271"/>
      <c r="Y252" s="271"/>
      <c r="Z252" s="271"/>
      <c r="AA252" s="271"/>
      <c r="AB252" s="271"/>
      <c r="AC252" s="271"/>
      <c r="AD252" s="271" t="s">
        <v>1970</v>
      </c>
      <c r="AE252" s="271" t="s">
        <v>1971</v>
      </c>
      <c r="AF252" s="271" t="str">
        <f t="shared" si="9"/>
        <v>A679074</v>
      </c>
      <c r="AG252" s="271" t="str">
        <f>VLOOKUP(AF252,AKT!$C$4:$E$324,3,FALSE)</f>
        <v>0942</v>
      </c>
    </row>
    <row r="253" spans="1:33" s="272" customFormat="1" ht="15.75" customHeight="1">
      <c r="A253" s="281">
        <v>563</v>
      </c>
      <c r="B253" s="282" t="s">
        <v>523</v>
      </c>
      <c r="C253" s="281">
        <v>4224</v>
      </c>
      <c r="D253" s="282" t="s">
        <v>922</v>
      </c>
      <c r="E253" s="281" t="s">
        <v>3569</v>
      </c>
      <c r="F253" s="282" t="s">
        <v>3274</v>
      </c>
      <c r="G253" s="79" t="s">
        <v>668</v>
      </c>
      <c r="H253" s="279">
        <v>72510.584643971059</v>
      </c>
      <c r="I253" s="279">
        <v>0</v>
      </c>
      <c r="J253" s="279">
        <v>0</v>
      </c>
      <c r="K253" s="284" t="s">
        <v>1923</v>
      </c>
      <c r="L253" s="285">
        <v>44181</v>
      </c>
      <c r="M253" s="285">
        <v>45276</v>
      </c>
      <c r="N253" s="284" t="s">
        <v>1398</v>
      </c>
      <c r="O253" s="286" t="s">
        <v>1923</v>
      </c>
      <c r="P253" s="273"/>
      <c r="Q253" s="271"/>
      <c r="R253" s="271" t="str">
        <f t="shared" si="4"/>
        <v>422</v>
      </c>
      <c r="S253" s="271" t="str">
        <f t="shared" si="5"/>
        <v>42</v>
      </c>
      <c r="T253" s="271" t="str">
        <f t="shared" si="6"/>
        <v>94</v>
      </c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 t="s">
        <v>1972</v>
      </c>
      <c r="AE253" s="271" t="s">
        <v>1973</v>
      </c>
      <c r="AF253" s="271" t="str">
        <f t="shared" si="9"/>
        <v>A679074</v>
      </c>
      <c r="AG253" s="271" t="str">
        <f>VLOOKUP(AF253,AKT!$C$4:$E$324,3,FALSE)</f>
        <v>0942</v>
      </c>
    </row>
    <row r="254" spans="1:33" s="272" customFormat="1" ht="15.75" customHeight="1">
      <c r="A254" s="281">
        <v>12</v>
      </c>
      <c r="B254" s="282" t="s">
        <v>489</v>
      </c>
      <c r="C254" s="281">
        <v>4224</v>
      </c>
      <c r="D254" s="282" t="s">
        <v>922</v>
      </c>
      <c r="E254" s="281" t="s">
        <v>3569</v>
      </c>
      <c r="F254" s="282" t="s">
        <v>3274</v>
      </c>
      <c r="G254" s="79" t="s">
        <v>668</v>
      </c>
      <c r="H254" s="279">
        <v>12795.938682062511</v>
      </c>
      <c r="I254" s="279">
        <v>0</v>
      </c>
      <c r="J254" s="279">
        <v>0</v>
      </c>
      <c r="K254" s="284" t="s">
        <v>1923</v>
      </c>
      <c r="L254" s="285">
        <v>44181</v>
      </c>
      <c r="M254" s="285">
        <v>45276</v>
      </c>
      <c r="N254" s="284" t="s">
        <v>1398</v>
      </c>
      <c r="O254" s="286" t="s">
        <v>1923</v>
      </c>
      <c r="P254" s="270"/>
      <c r="Q254" s="271"/>
      <c r="R254" s="271" t="str">
        <f t="shared" si="4"/>
        <v>422</v>
      </c>
      <c r="S254" s="271" t="str">
        <f t="shared" si="5"/>
        <v>42</v>
      </c>
      <c r="T254" s="271" t="str">
        <f t="shared" si="6"/>
        <v>94</v>
      </c>
      <c r="U254" s="271"/>
      <c r="V254" s="271"/>
      <c r="W254" s="271"/>
      <c r="X254" s="271"/>
      <c r="Y254" s="271"/>
      <c r="Z254" s="271"/>
      <c r="AA254" s="271"/>
      <c r="AB254" s="271"/>
      <c r="AC254" s="271"/>
      <c r="AD254" s="271" t="s">
        <v>1976</v>
      </c>
      <c r="AE254" s="271" t="s">
        <v>1977</v>
      </c>
      <c r="AF254" s="271" t="str">
        <f t="shared" si="9"/>
        <v>A679074</v>
      </c>
      <c r="AG254" s="271" t="str">
        <f>VLOOKUP(AF254,AKT!$C$4:$E$324,3,FALSE)</f>
        <v>0942</v>
      </c>
    </row>
    <row r="255" spans="1:33" s="272" customFormat="1" ht="15.75" customHeight="1">
      <c r="A255" s="281">
        <v>563</v>
      </c>
      <c r="B255" s="282" t="s">
        <v>523</v>
      </c>
      <c r="C255" s="281">
        <v>3691</v>
      </c>
      <c r="D255" s="282" t="s">
        <v>5405</v>
      </c>
      <c r="E255" s="281"/>
      <c r="F255" s="282"/>
      <c r="G255" s="79" t="s">
        <v>668</v>
      </c>
      <c r="H255" s="279"/>
      <c r="I255" s="279"/>
      <c r="J255" s="279"/>
      <c r="K255" s="284" t="s">
        <v>1940</v>
      </c>
      <c r="L255" s="285">
        <v>43983</v>
      </c>
      <c r="M255" s="285">
        <v>45291</v>
      </c>
      <c r="N255" s="284" t="s">
        <v>1398</v>
      </c>
      <c r="O255" s="286" t="s">
        <v>5406</v>
      </c>
      <c r="P255" s="270" t="s">
        <v>1941</v>
      </c>
      <c r="Q255" s="271"/>
      <c r="R255" s="271" t="str">
        <f t="shared" si="4"/>
        <v>369</v>
      </c>
      <c r="S255" s="271" t="str">
        <f t="shared" si="5"/>
        <v>36</v>
      </c>
      <c r="T255" s="271" t="str">
        <f t="shared" si="6"/>
        <v>94</v>
      </c>
      <c r="U255" s="271"/>
      <c r="V255" s="271"/>
      <c r="W255" s="271"/>
      <c r="X255" s="271"/>
      <c r="Y255" s="271"/>
      <c r="Z255" s="271"/>
      <c r="AA255" s="271"/>
      <c r="AB255" s="271"/>
      <c r="AC255" s="271"/>
      <c r="AD255" s="271" t="s">
        <v>1979</v>
      </c>
      <c r="AE255" s="271" t="s">
        <v>1980</v>
      </c>
      <c r="AF255" s="271" t="str">
        <f t="shared" si="9"/>
        <v>A679074</v>
      </c>
      <c r="AG255" s="271" t="str">
        <f>VLOOKUP(AF255,AKT!$C$4:$E$324,3,FALSE)</f>
        <v>0942</v>
      </c>
    </row>
    <row r="256" spans="1:33" s="272" customFormat="1" ht="15.75" customHeight="1">
      <c r="A256" s="281">
        <v>12</v>
      </c>
      <c r="B256" s="282" t="s">
        <v>489</v>
      </c>
      <c r="C256" s="281">
        <v>3691</v>
      </c>
      <c r="D256" s="282" t="s">
        <v>5405</v>
      </c>
      <c r="E256" s="281"/>
      <c r="F256" s="282"/>
      <c r="G256" s="79" t="s">
        <v>668</v>
      </c>
      <c r="H256" s="279"/>
      <c r="I256" s="279"/>
      <c r="J256" s="279"/>
      <c r="K256" s="284" t="s">
        <v>1940</v>
      </c>
      <c r="L256" s="285">
        <v>43983</v>
      </c>
      <c r="M256" s="285">
        <v>45291</v>
      </c>
      <c r="N256" s="284" t="s">
        <v>1398</v>
      </c>
      <c r="O256" s="286" t="s">
        <v>5406</v>
      </c>
      <c r="P256" s="270" t="s">
        <v>1941</v>
      </c>
      <c r="Q256" s="271"/>
      <c r="R256" s="271" t="str">
        <f t="shared" si="4"/>
        <v>369</v>
      </c>
      <c r="S256" s="271" t="str">
        <f t="shared" si="5"/>
        <v>36</v>
      </c>
      <c r="T256" s="271" t="str">
        <f t="shared" si="6"/>
        <v>94</v>
      </c>
      <c r="U256" s="271"/>
      <c r="V256" s="271"/>
      <c r="W256" s="271"/>
      <c r="X256" s="271"/>
      <c r="Y256" s="271"/>
      <c r="Z256" s="271"/>
      <c r="AA256" s="271"/>
      <c r="AB256" s="271"/>
      <c r="AC256" s="271"/>
      <c r="AD256" s="271" t="s">
        <v>1982</v>
      </c>
      <c r="AE256" s="271" t="s">
        <v>1983</v>
      </c>
      <c r="AF256" s="271" t="str">
        <f t="shared" si="9"/>
        <v>A679074</v>
      </c>
      <c r="AG256" s="271" t="str">
        <f>VLOOKUP(AF256,AKT!$C$4:$E$324,3,FALSE)</f>
        <v>0942</v>
      </c>
    </row>
    <row r="257" spans="1:33" s="272" customFormat="1" ht="15.75" customHeight="1">
      <c r="A257" s="281">
        <v>563</v>
      </c>
      <c r="B257" s="282" t="s">
        <v>523</v>
      </c>
      <c r="C257" s="281">
        <v>3691</v>
      </c>
      <c r="D257" s="282" t="s">
        <v>5405</v>
      </c>
      <c r="E257" s="281"/>
      <c r="F257" s="282"/>
      <c r="G257" s="79" t="s">
        <v>668</v>
      </c>
      <c r="H257" s="279">
        <v>18609</v>
      </c>
      <c r="I257" s="279"/>
      <c r="J257" s="279"/>
      <c r="K257" s="284" t="s">
        <v>1940</v>
      </c>
      <c r="L257" s="285">
        <v>43983</v>
      </c>
      <c r="M257" s="285">
        <v>45291</v>
      </c>
      <c r="N257" s="284" t="s">
        <v>1398</v>
      </c>
      <c r="O257" s="286" t="s">
        <v>5407</v>
      </c>
      <c r="P257" s="270" t="s">
        <v>1946</v>
      </c>
      <c r="Q257" s="271"/>
      <c r="R257" s="271" t="str">
        <f t="shared" si="4"/>
        <v>369</v>
      </c>
      <c r="S257" s="271" t="str">
        <f t="shared" si="5"/>
        <v>36</v>
      </c>
      <c r="T257" s="271" t="str">
        <f t="shared" si="6"/>
        <v>94</v>
      </c>
      <c r="U257" s="271"/>
      <c r="V257" s="271"/>
      <c r="W257" s="271"/>
      <c r="X257" s="271"/>
      <c r="Y257" s="271"/>
      <c r="Z257" s="271"/>
      <c r="AA257" s="271"/>
      <c r="AB257" s="271"/>
      <c r="AC257" s="271"/>
      <c r="AD257" s="271" t="s">
        <v>1984</v>
      </c>
      <c r="AE257" s="271" t="s">
        <v>1985</v>
      </c>
      <c r="AF257" s="271" t="str">
        <f t="shared" si="9"/>
        <v>A679075</v>
      </c>
      <c r="AG257" s="271" t="str">
        <f>VLOOKUP(AF257,AKT!$C$4:$E$324,3,FALSE)</f>
        <v>0942</v>
      </c>
    </row>
    <row r="258" spans="1:33" s="272" customFormat="1" ht="15.75" customHeight="1">
      <c r="A258" s="281">
        <v>12</v>
      </c>
      <c r="B258" s="282" t="s">
        <v>489</v>
      </c>
      <c r="C258" s="281">
        <v>3691</v>
      </c>
      <c r="D258" s="282" t="s">
        <v>5405</v>
      </c>
      <c r="E258" s="281"/>
      <c r="F258" s="282"/>
      <c r="G258" s="79" t="s">
        <v>668</v>
      </c>
      <c r="H258" s="279">
        <v>2627</v>
      </c>
      <c r="I258" s="279"/>
      <c r="J258" s="279"/>
      <c r="K258" s="284" t="s">
        <v>1940</v>
      </c>
      <c r="L258" s="285">
        <v>43983</v>
      </c>
      <c r="M258" s="285">
        <v>45291</v>
      </c>
      <c r="N258" s="284" t="s">
        <v>1398</v>
      </c>
      <c r="O258" s="286" t="s">
        <v>5407</v>
      </c>
      <c r="P258" s="270" t="s">
        <v>1946</v>
      </c>
      <c r="Q258" s="271"/>
      <c r="R258" s="271" t="str">
        <f t="shared" si="4"/>
        <v>369</v>
      </c>
      <c r="S258" s="271" t="str">
        <f t="shared" si="5"/>
        <v>36</v>
      </c>
      <c r="T258" s="271" t="str">
        <f t="shared" si="6"/>
        <v>94</v>
      </c>
      <c r="U258" s="271"/>
      <c r="V258" s="271"/>
      <c r="W258" s="271"/>
      <c r="X258" s="271"/>
      <c r="Y258" s="271"/>
      <c r="Z258" s="271"/>
      <c r="AA258" s="271"/>
      <c r="AB258" s="271"/>
      <c r="AC258" s="271"/>
      <c r="AD258" s="271" t="s">
        <v>1986</v>
      </c>
      <c r="AE258" s="271" t="s">
        <v>1987</v>
      </c>
      <c r="AF258" s="271" t="str">
        <f t="shared" si="9"/>
        <v>A679075</v>
      </c>
      <c r="AG258" s="271" t="str">
        <f>VLOOKUP(AF258,AKT!$C$4:$E$324,3,FALSE)</f>
        <v>0942</v>
      </c>
    </row>
    <row r="259" spans="1:33" s="272" customFormat="1" ht="15.75" customHeight="1">
      <c r="A259" s="281">
        <v>563</v>
      </c>
      <c r="B259" s="282" t="s">
        <v>523</v>
      </c>
      <c r="C259" s="281">
        <v>3691</v>
      </c>
      <c r="D259" s="282" t="s">
        <v>5405</v>
      </c>
      <c r="E259" s="281"/>
      <c r="F259" s="282"/>
      <c r="G259" s="79" t="s">
        <v>668</v>
      </c>
      <c r="H259" s="279"/>
      <c r="I259" s="279"/>
      <c r="J259" s="279"/>
      <c r="K259" s="284" t="s">
        <v>1940</v>
      </c>
      <c r="L259" s="285">
        <v>43983</v>
      </c>
      <c r="M259" s="285">
        <v>45291</v>
      </c>
      <c r="N259" s="284" t="s">
        <v>1398</v>
      </c>
      <c r="O259" s="286" t="s">
        <v>5408</v>
      </c>
      <c r="P259" s="270" t="s">
        <v>1951</v>
      </c>
      <c r="Q259" s="271"/>
      <c r="R259" s="271" t="str">
        <f t="shared" si="4"/>
        <v>369</v>
      </c>
      <c r="S259" s="271" t="str">
        <f t="shared" si="5"/>
        <v>36</v>
      </c>
      <c r="T259" s="271" t="str">
        <f t="shared" si="6"/>
        <v>94</v>
      </c>
      <c r="U259" s="271"/>
      <c r="V259" s="271"/>
      <c r="W259" s="271"/>
      <c r="X259" s="271"/>
      <c r="Y259" s="271"/>
      <c r="Z259" s="271"/>
      <c r="AA259" s="271"/>
      <c r="AB259" s="271"/>
      <c r="AC259" s="271"/>
      <c r="AD259" s="271" t="s">
        <v>1988</v>
      </c>
      <c r="AE259" s="271" t="s">
        <v>1989</v>
      </c>
      <c r="AF259" s="271" t="str">
        <f t="shared" si="9"/>
        <v>A679075</v>
      </c>
      <c r="AG259" s="271" t="str">
        <f>VLOOKUP(AF259,AKT!$C$4:$E$324,3,FALSE)</f>
        <v>0942</v>
      </c>
    </row>
    <row r="260" spans="1:33" s="272" customFormat="1" ht="15.75" customHeight="1">
      <c r="A260" s="281">
        <v>12</v>
      </c>
      <c r="B260" s="282" t="s">
        <v>489</v>
      </c>
      <c r="C260" s="281">
        <v>3691</v>
      </c>
      <c r="D260" s="282" t="s">
        <v>5405</v>
      </c>
      <c r="E260" s="281"/>
      <c r="F260" s="282"/>
      <c r="G260" s="79" t="s">
        <v>668</v>
      </c>
      <c r="H260" s="279"/>
      <c r="I260" s="279"/>
      <c r="J260" s="279"/>
      <c r="K260" s="284" t="s">
        <v>1940</v>
      </c>
      <c r="L260" s="285">
        <v>43983</v>
      </c>
      <c r="M260" s="285">
        <v>45291</v>
      </c>
      <c r="N260" s="284" t="s">
        <v>1398</v>
      </c>
      <c r="O260" s="286" t="s">
        <v>5408</v>
      </c>
      <c r="P260" s="270" t="s">
        <v>1951</v>
      </c>
      <c r="Q260" s="271"/>
      <c r="R260" s="271" t="str">
        <f t="shared" si="4"/>
        <v>369</v>
      </c>
      <c r="S260" s="271" t="str">
        <f t="shared" si="5"/>
        <v>36</v>
      </c>
      <c r="T260" s="271" t="str">
        <f t="shared" si="6"/>
        <v>94</v>
      </c>
      <c r="U260" s="271"/>
      <c r="V260" s="271"/>
      <c r="W260" s="271"/>
      <c r="X260" s="271"/>
      <c r="Y260" s="271"/>
      <c r="Z260" s="271"/>
      <c r="AA260" s="271"/>
      <c r="AB260" s="271"/>
      <c r="AC260" s="271"/>
      <c r="AD260" s="271" t="s">
        <v>1991</v>
      </c>
      <c r="AE260" s="271" t="s">
        <v>1992</v>
      </c>
      <c r="AF260" s="271" t="str">
        <f t="shared" si="9"/>
        <v>A679075</v>
      </c>
      <c r="AG260" s="271" t="str">
        <f>VLOOKUP(AF260,AKT!$C$4:$E$324,3,FALSE)</f>
        <v>0942</v>
      </c>
    </row>
    <row r="261" spans="1:33" s="272" customFormat="1" ht="15.75" customHeight="1">
      <c r="A261" s="281" t="s">
        <v>5379</v>
      </c>
      <c r="B261" s="282" t="s">
        <v>489</v>
      </c>
      <c r="C261" s="281">
        <v>4225</v>
      </c>
      <c r="D261" s="282" t="s">
        <v>925</v>
      </c>
      <c r="E261" s="281" t="s">
        <v>1956</v>
      </c>
      <c r="F261" s="282" t="s">
        <v>3565</v>
      </c>
      <c r="G261" s="79" t="s">
        <v>641</v>
      </c>
      <c r="H261" s="279">
        <v>378888.8446479527</v>
      </c>
      <c r="I261" s="279"/>
      <c r="J261" s="279"/>
      <c r="K261" s="284" t="s">
        <v>1957</v>
      </c>
      <c r="L261" s="285">
        <v>43213</v>
      </c>
      <c r="M261" s="285">
        <v>45283</v>
      </c>
      <c r="N261" s="284" t="s">
        <v>1398</v>
      </c>
      <c r="O261" s="286" t="s">
        <v>1957</v>
      </c>
      <c r="P261" s="270"/>
      <c r="Q261" s="271"/>
      <c r="R261" s="271" t="str">
        <f t="shared" si="4"/>
        <v>422</v>
      </c>
      <c r="S261" s="271" t="str">
        <f t="shared" si="5"/>
        <v>42</v>
      </c>
      <c r="T261" s="271" t="str">
        <f t="shared" si="6"/>
        <v>15</v>
      </c>
      <c r="U261" s="271"/>
      <c r="V261" s="271"/>
      <c r="W261" s="271"/>
      <c r="X261" s="271"/>
      <c r="Y261" s="271"/>
      <c r="Z261" s="271"/>
      <c r="AA261" s="271"/>
      <c r="AB261" s="271"/>
      <c r="AC261" s="271"/>
      <c r="AD261" s="271" t="s">
        <v>1993</v>
      </c>
      <c r="AE261" s="271" t="s">
        <v>1994</v>
      </c>
      <c r="AF261" s="271" t="str">
        <f t="shared" si="9"/>
        <v>A679075</v>
      </c>
      <c r="AG261" s="271" t="str">
        <f>VLOOKUP(AF261,AKT!$C$4:$E$324,3,FALSE)</f>
        <v>0942</v>
      </c>
    </row>
    <row r="262" spans="1:33" s="272" customFormat="1" ht="15.75" customHeight="1">
      <c r="A262" s="281">
        <v>563</v>
      </c>
      <c r="B262" s="282" t="s">
        <v>523</v>
      </c>
      <c r="C262" s="281">
        <v>4225</v>
      </c>
      <c r="D262" s="282" t="s">
        <v>925</v>
      </c>
      <c r="E262" s="281" t="s">
        <v>1956</v>
      </c>
      <c r="F262" s="282" t="s">
        <v>3565</v>
      </c>
      <c r="G262" s="79" t="s">
        <v>641</v>
      </c>
      <c r="H262" s="279">
        <v>2147036.9633021434</v>
      </c>
      <c r="I262" s="279">
        <v>1401925</v>
      </c>
      <c r="J262" s="279"/>
      <c r="K262" s="284" t="s">
        <v>1957</v>
      </c>
      <c r="L262" s="285">
        <v>43213</v>
      </c>
      <c r="M262" s="285">
        <v>45283</v>
      </c>
      <c r="N262" s="284" t="s">
        <v>1398</v>
      </c>
      <c r="O262" s="286" t="s">
        <v>1957</v>
      </c>
      <c r="P262" s="270"/>
      <c r="Q262" s="271"/>
      <c r="R262" s="271" t="str">
        <f t="shared" si="4"/>
        <v>422</v>
      </c>
      <c r="S262" s="271" t="str">
        <f t="shared" si="5"/>
        <v>42</v>
      </c>
      <c r="T262" s="271" t="str">
        <f t="shared" si="6"/>
        <v>15</v>
      </c>
      <c r="U262" s="271"/>
      <c r="V262" s="271"/>
      <c r="W262" s="271"/>
      <c r="X262" s="271"/>
      <c r="Y262" s="271"/>
      <c r="Z262" s="271"/>
      <c r="AA262" s="271"/>
      <c r="AB262" s="271"/>
      <c r="AC262" s="271"/>
      <c r="AD262" s="271" t="s">
        <v>1996</v>
      </c>
      <c r="AE262" s="271" t="s">
        <v>1997</v>
      </c>
      <c r="AF262" s="271" t="str">
        <f t="shared" si="9"/>
        <v>A679075</v>
      </c>
      <c r="AG262" s="271" t="str">
        <f>VLOOKUP(AF262,AKT!$C$4:$E$324,3,FALSE)</f>
        <v>0942</v>
      </c>
    </row>
    <row r="263" spans="1:33" s="272" customFormat="1" ht="15.75" customHeight="1">
      <c r="A263" s="281" t="s">
        <v>5379</v>
      </c>
      <c r="B263" s="282" t="s">
        <v>489</v>
      </c>
      <c r="C263" s="281" t="s">
        <v>5392</v>
      </c>
      <c r="D263" s="282" t="s">
        <v>716</v>
      </c>
      <c r="E263" s="281" t="s">
        <v>1956</v>
      </c>
      <c r="F263" s="282" t="s">
        <v>3565</v>
      </c>
      <c r="G263" s="79" t="s">
        <v>641</v>
      </c>
      <c r="H263" s="279"/>
      <c r="I263" s="279">
        <v>86909.814851682255</v>
      </c>
      <c r="J263" s="279"/>
      <c r="K263" s="284" t="s">
        <v>1957</v>
      </c>
      <c r="L263" s="285">
        <v>43213</v>
      </c>
      <c r="M263" s="285">
        <v>45283</v>
      </c>
      <c r="N263" s="284" t="s">
        <v>1398</v>
      </c>
      <c r="O263" s="286" t="s">
        <v>1957</v>
      </c>
      <c r="P263" s="270"/>
      <c r="Q263" s="271"/>
      <c r="R263" s="271" t="str">
        <f t="shared" si="4"/>
        <v>323</v>
      </c>
      <c r="S263" s="271" t="str">
        <f t="shared" si="5"/>
        <v>32</v>
      </c>
      <c r="T263" s="271" t="str">
        <f t="shared" si="6"/>
        <v>15</v>
      </c>
      <c r="U263" s="271"/>
      <c r="V263" s="271"/>
      <c r="W263" s="271"/>
      <c r="X263" s="271"/>
      <c r="Y263" s="271"/>
      <c r="Z263" s="271"/>
      <c r="AA263" s="271"/>
      <c r="AB263" s="271"/>
      <c r="AC263" s="271"/>
      <c r="AD263" s="271" t="s">
        <v>1999</v>
      </c>
      <c r="AE263" s="271" t="s">
        <v>2000</v>
      </c>
      <c r="AF263" s="271" t="str">
        <f t="shared" si="9"/>
        <v>A679075</v>
      </c>
      <c r="AG263" s="271" t="str">
        <f>VLOOKUP(AF263,AKT!$C$4:$E$324,3,FALSE)</f>
        <v>0942</v>
      </c>
    </row>
    <row r="264" spans="1:33" s="272" customFormat="1" ht="15.75" customHeight="1">
      <c r="A264" s="281" t="s">
        <v>5400</v>
      </c>
      <c r="B264" s="282" t="s">
        <v>523</v>
      </c>
      <c r="C264" s="281" t="s">
        <v>5392</v>
      </c>
      <c r="D264" s="282" t="s">
        <v>716</v>
      </c>
      <c r="E264" s="281" t="s">
        <v>1956</v>
      </c>
      <c r="F264" s="282" t="s">
        <v>3565</v>
      </c>
      <c r="G264" s="79" t="s">
        <v>641</v>
      </c>
      <c r="H264" s="279"/>
      <c r="I264" s="279">
        <v>360578</v>
      </c>
      <c r="J264" s="279"/>
      <c r="K264" s="284" t="s">
        <v>1957</v>
      </c>
      <c r="L264" s="285">
        <v>43213</v>
      </c>
      <c r="M264" s="285">
        <v>45283</v>
      </c>
      <c r="N264" s="284" t="s">
        <v>1398</v>
      </c>
      <c r="O264" s="286" t="s">
        <v>1957</v>
      </c>
      <c r="P264" s="270"/>
      <c r="Q264" s="271"/>
      <c r="R264" s="271" t="str">
        <f t="shared" si="4"/>
        <v>323</v>
      </c>
      <c r="S264" s="271" t="str">
        <f t="shared" si="5"/>
        <v>32</v>
      </c>
      <c r="T264" s="271" t="str">
        <f t="shared" si="6"/>
        <v>15</v>
      </c>
      <c r="U264" s="271"/>
      <c r="V264" s="271"/>
      <c r="W264" s="271"/>
      <c r="X264" s="271"/>
      <c r="Y264" s="271"/>
      <c r="Z264" s="271"/>
      <c r="AA264" s="271"/>
      <c r="AB264" s="271"/>
      <c r="AC264" s="271"/>
      <c r="AD264" s="271" t="s">
        <v>2002</v>
      </c>
      <c r="AE264" s="271" t="s">
        <v>2003</v>
      </c>
      <c r="AF264" s="271" t="str">
        <f t="shared" si="9"/>
        <v>A679075</v>
      </c>
      <c r="AG264" s="271" t="str">
        <f>VLOOKUP(AF264,AKT!$C$4:$E$324,3,FALSE)</f>
        <v>0942</v>
      </c>
    </row>
    <row r="265" spans="1:33" s="272" customFormat="1" ht="15.75" customHeight="1">
      <c r="A265" s="281" t="s">
        <v>5379</v>
      </c>
      <c r="B265" s="282" t="s">
        <v>489</v>
      </c>
      <c r="C265" s="281" t="s">
        <v>5409</v>
      </c>
      <c r="D265" s="282" t="s">
        <v>904</v>
      </c>
      <c r="E265" s="281" t="s">
        <v>1956</v>
      </c>
      <c r="F265" s="282" t="s">
        <v>3565</v>
      </c>
      <c r="G265" s="79" t="s">
        <v>641</v>
      </c>
      <c r="H265" s="279">
        <v>3372712</v>
      </c>
      <c r="I265" s="279">
        <v>190898</v>
      </c>
      <c r="J265" s="279"/>
      <c r="K265" s="284" t="s">
        <v>1957</v>
      </c>
      <c r="L265" s="285">
        <v>43213</v>
      </c>
      <c r="M265" s="285">
        <v>45283</v>
      </c>
      <c r="N265" s="284" t="s">
        <v>1398</v>
      </c>
      <c r="O265" s="286" t="s">
        <v>1957</v>
      </c>
      <c r="P265" s="270"/>
      <c r="Q265" s="271"/>
      <c r="R265" s="271" t="str">
        <f t="shared" si="4"/>
        <v>421</v>
      </c>
      <c r="S265" s="271" t="str">
        <f t="shared" si="5"/>
        <v>42</v>
      </c>
      <c r="T265" s="271" t="str">
        <f t="shared" si="6"/>
        <v>15</v>
      </c>
      <c r="U265" s="271"/>
      <c r="V265" s="271"/>
      <c r="W265" s="271"/>
      <c r="X265" s="271"/>
      <c r="Y265" s="271"/>
      <c r="Z265" s="271"/>
      <c r="AA265" s="271"/>
      <c r="AB265" s="271"/>
      <c r="AC265" s="271"/>
      <c r="AD265" s="271" t="s">
        <v>2005</v>
      </c>
      <c r="AE265" s="271" t="s">
        <v>2006</v>
      </c>
      <c r="AF265" s="271" t="str">
        <f t="shared" si="9"/>
        <v>A679075</v>
      </c>
      <c r="AG265" s="271" t="str">
        <f>VLOOKUP(AF265,AKT!$C$4:$E$324,3,FALSE)</f>
        <v>0942</v>
      </c>
    </row>
    <row r="266" spans="1:33" s="272" customFormat="1" ht="15.75" customHeight="1">
      <c r="A266" s="281" t="s">
        <v>5400</v>
      </c>
      <c r="B266" s="282" t="s">
        <v>523</v>
      </c>
      <c r="C266" s="281" t="s">
        <v>5409</v>
      </c>
      <c r="D266" s="282" t="s">
        <v>904</v>
      </c>
      <c r="E266" s="281" t="s">
        <v>1956</v>
      </c>
      <c r="F266" s="282" t="s">
        <v>3565</v>
      </c>
      <c r="G266" s="79" t="s">
        <v>641</v>
      </c>
      <c r="H266" s="279">
        <v>24867170</v>
      </c>
      <c r="I266" s="279"/>
      <c r="J266" s="279"/>
      <c r="K266" s="284" t="s">
        <v>1957</v>
      </c>
      <c r="L266" s="285">
        <v>43213</v>
      </c>
      <c r="M266" s="285">
        <v>45283</v>
      </c>
      <c r="N266" s="284" t="s">
        <v>1398</v>
      </c>
      <c r="O266" s="286" t="s">
        <v>1957</v>
      </c>
      <c r="P266" s="270"/>
      <c r="Q266" s="271"/>
      <c r="R266" s="271" t="str">
        <f t="shared" si="4"/>
        <v>421</v>
      </c>
      <c r="S266" s="271" t="str">
        <f t="shared" si="5"/>
        <v>42</v>
      </c>
      <c r="T266" s="271" t="str">
        <f t="shared" si="6"/>
        <v>15</v>
      </c>
      <c r="U266" s="271"/>
      <c r="V266" s="271"/>
      <c r="W266" s="271"/>
      <c r="X266" s="271"/>
      <c r="Y266" s="271"/>
      <c r="Z266" s="271"/>
      <c r="AA266" s="271"/>
      <c r="AB266" s="271"/>
      <c r="AC266" s="271"/>
      <c r="AD266" s="271" t="s">
        <v>2008</v>
      </c>
      <c r="AE266" s="271" t="s">
        <v>2009</v>
      </c>
      <c r="AF266" s="271" t="str">
        <f t="shared" si="9"/>
        <v>A679075</v>
      </c>
      <c r="AG266" s="271" t="str">
        <f>VLOOKUP(AF266,AKT!$C$4:$E$324,3,FALSE)</f>
        <v>0942</v>
      </c>
    </row>
    <row r="267" spans="1:33" s="272" customFormat="1" ht="15.75" customHeight="1">
      <c r="A267" s="281" t="s">
        <v>5379</v>
      </c>
      <c r="B267" s="282" t="s">
        <v>489</v>
      </c>
      <c r="C267" s="281" t="s">
        <v>5399</v>
      </c>
      <c r="D267" s="282" t="s">
        <v>922</v>
      </c>
      <c r="E267" s="281" t="s">
        <v>1956</v>
      </c>
      <c r="F267" s="282" t="s">
        <v>3565</v>
      </c>
      <c r="G267" s="79" t="s">
        <v>641</v>
      </c>
      <c r="H267" s="279"/>
      <c r="I267" s="279">
        <v>266528.90039153228</v>
      </c>
      <c r="J267" s="279"/>
      <c r="K267" s="284" t="s">
        <v>1957</v>
      </c>
      <c r="L267" s="285">
        <v>43213</v>
      </c>
      <c r="M267" s="285">
        <v>45283</v>
      </c>
      <c r="N267" s="284" t="s">
        <v>1398</v>
      </c>
      <c r="O267" s="286" t="s">
        <v>1957</v>
      </c>
      <c r="P267" s="270"/>
      <c r="Q267" s="271"/>
      <c r="R267" s="271" t="str">
        <f t="shared" si="4"/>
        <v>422</v>
      </c>
      <c r="S267" s="271" t="str">
        <f t="shared" si="5"/>
        <v>42</v>
      </c>
      <c r="T267" s="271" t="str">
        <f t="shared" si="6"/>
        <v>15</v>
      </c>
      <c r="U267" s="271"/>
      <c r="V267" s="271"/>
      <c r="W267" s="271"/>
      <c r="X267" s="271"/>
      <c r="Y267" s="271"/>
      <c r="Z267" s="271"/>
      <c r="AA267" s="271"/>
      <c r="AB267" s="271"/>
      <c r="AC267" s="271"/>
      <c r="AD267" s="271" t="s">
        <v>2011</v>
      </c>
      <c r="AE267" s="271" t="s">
        <v>2012</v>
      </c>
      <c r="AF267" s="271" t="str">
        <f t="shared" si="9"/>
        <v>A679075</v>
      </c>
      <c r="AG267" s="271" t="str">
        <f>VLOOKUP(AF267,AKT!$C$4:$E$324,3,FALSE)</f>
        <v>0942</v>
      </c>
    </row>
    <row r="268" spans="1:33" s="272" customFormat="1" ht="15.75" customHeight="1">
      <c r="A268" s="281" t="s">
        <v>5400</v>
      </c>
      <c r="B268" s="282" t="s">
        <v>523</v>
      </c>
      <c r="C268" s="281" t="s">
        <v>5399</v>
      </c>
      <c r="D268" s="282" t="s">
        <v>922</v>
      </c>
      <c r="E268" s="281" t="s">
        <v>1956</v>
      </c>
      <c r="F268" s="282" t="s">
        <v>3565</v>
      </c>
      <c r="G268" s="79" t="s">
        <v>641</v>
      </c>
      <c r="H268" s="279">
        <v>705577.54330081621</v>
      </c>
      <c r="I268" s="279">
        <v>1507675.3600106176</v>
      </c>
      <c r="J268" s="279"/>
      <c r="K268" s="284" t="s">
        <v>1957</v>
      </c>
      <c r="L268" s="285">
        <v>43213</v>
      </c>
      <c r="M268" s="285">
        <v>45283</v>
      </c>
      <c r="N268" s="284" t="s">
        <v>1398</v>
      </c>
      <c r="O268" s="286" t="s">
        <v>1957</v>
      </c>
      <c r="P268" s="270"/>
      <c r="Q268" s="271"/>
      <c r="R268" s="271" t="str">
        <f t="shared" si="4"/>
        <v>422</v>
      </c>
      <c r="S268" s="271" t="str">
        <f t="shared" si="5"/>
        <v>42</v>
      </c>
      <c r="T268" s="271" t="str">
        <f t="shared" si="6"/>
        <v>15</v>
      </c>
      <c r="U268" s="271"/>
      <c r="V268" s="271"/>
      <c r="W268" s="271"/>
      <c r="X268" s="271"/>
      <c r="Y268" s="271"/>
      <c r="Z268" s="271"/>
      <c r="AA268" s="271"/>
      <c r="AB268" s="271"/>
      <c r="AC268" s="271"/>
      <c r="AD268" s="271" t="s">
        <v>2014</v>
      </c>
      <c r="AE268" s="271" t="s">
        <v>2015</v>
      </c>
      <c r="AF268" s="271" t="str">
        <f t="shared" si="9"/>
        <v>A679075</v>
      </c>
      <c r="AG268" s="271" t="str">
        <f>VLOOKUP(AF268,AKT!$C$4:$E$324,3,FALSE)</f>
        <v>0942</v>
      </c>
    </row>
    <row r="269" spans="1:33" ht="15.75" customHeight="1">
      <c r="A269" s="84">
        <v>61</v>
      </c>
      <c r="B269" s="79" t="s">
        <v>524</v>
      </c>
      <c r="C269" s="84">
        <v>3111</v>
      </c>
      <c r="D269" s="79" t="s">
        <v>626</v>
      </c>
      <c r="E269" s="84" t="s">
        <v>1399</v>
      </c>
      <c r="F269" s="79" t="s">
        <v>1399</v>
      </c>
      <c r="G269" s="79" t="s">
        <v>1399</v>
      </c>
      <c r="H269" s="67">
        <v>5424</v>
      </c>
      <c r="I269" s="67"/>
      <c r="J269" s="67"/>
      <c r="K269" s="89" t="s">
        <v>1974</v>
      </c>
      <c r="L269" s="90">
        <v>43990</v>
      </c>
      <c r="M269" s="90">
        <v>45085</v>
      </c>
      <c r="N269" s="89" t="s">
        <v>1398</v>
      </c>
      <c r="O269" s="73" t="s">
        <v>1975</v>
      </c>
      <c r="P269" s="68"/>
      <c r="Q269" s="51"/>
      <c r="R269" s="51" t="str">
        <f t="shared" si="4"/>
        <v>311</v>
      </c>
      <c r="S269" s="51" t="str">
        <f t="shared" si="5"/>
        <v>31</v>
      </c>
      <c r="T269" s="51" t="str">
        <f t="shared" si="6"/>
        <v>OV</v>
      </c>
      <c r="U269" s="51"/>
      <c r="V269" s="51"/>
      <c r="W269" s="51"/>
      <c r="X269" s="51"/>
      <c r="Y269" s="51"/>
      <c r="Z269" s="51"/>
      <c r="AA269" s="51"/>
      <c r="AB269" s="51"/>
      <c r="AC269" s="51"/>
      <c r="AD269" s="51" t="s">
        <v>2017</v>
      </c>
      <c r="AE269" s="51" t="s">
        <v>2018</v>
      </c>
      <c r="AF269" s="51" t="str">
        <f t="shared" si="9"/>
        <v>A679075</v>
      </c>
      <c r="AG269" s="51" t="str">
        <f>VLOOKUP(AF269,AKT!$C$4:$E$324,3,FALSE)</f>
        <v>0942</v>
      </c>
    </row>
    <row r="270" spans="1:33" ht="15.75" customHeight="1">
      <c r="A270" s="84">
        <v>61</v>
      </c>
      <c r="B270" s="79" t="s">
        <v>524</v>
      </c>
      <c r="C270" s="84">
        <v>3132</v>
      </c>
      <c r="D270" s="79" t="s">
        <v>651</v>
      </c>
      <c r="E270" s="84" t="s">
        <v>1399</v>
      </c>
      <c r="F270" s="79" t="s">
        <v>1399</v>
      </c>
      <c r="G270" s="79" t="s">
        <v>1399</v>
      </c>
      <c r="H270" s="67">
        <v>1072</v>
      </c>
      <c r="I270" s="67"/>
      <c r="J270" s="67"/>
      <c r="K270" s="89" t="s">
        <v>1978</v>
      </c>
      <c r="L270" s="90">
        <v>43990</v>
      </c>
      <c r="M270" s="90">
        <v>45085</v>
      </c>
      <c r="N270" s="89" t="s">
        <v>1398</v>
      </c>
      <c r="O270" s="73" t="s">
        <v>1975</v>
      </c>
      <c r="P270" s="68"/>
      <c r="Q270" s="51"/>
      <c r="R270" s="51" t="str">
        <f t="shared" si="4"/>
        <v>313</v>
      </c>
      <c r="S270" s="51" t="str">
        <f t="shared" si="5"/>
        <v>31</v>
      </c>
      <c r="T270" s="51" t="str">
        <f t="shared" si="6"/>
        <v>OV</v>
      </c>
      <c r="U270" s="51"/>
      <c r="V270" s="51"/>
      <c r="W270" s="51"/>
      <c r="X270" s="51"/>
      <c r="Y270" s="51"/>
      <c r="Z270" s="51"/>
      <c r="AA270" s="51"/>
      <c r="AB270" s="51"/>
      <c r="AC270" s="51"/>
      <c r="AD270" s="51" t="s">
        <v>2020</v>
      </c>
      <c r="AE270" s="51" t="s">
        <v>2021</v>
      </c>
      <c r="AF270" s="51" t="str">
        <f t="shared" si="9"/>
        <v>A679075</v>
      </c>
      <c r="AG270" s="51" t="str">
        <f>VLOOKUP(AF270,AKT!$C$4:$E$324,3,FALSE)</f>
        <v>0942</v>
      </c>
    </row>
    <row r="271" spans="1:33" ht="15.75" customHeight="1">
      <c r="A271" s="84">
        <v>61</v>
      </c>
      <c r="B271" s="79" t="s">
        <v>524</v>
      </c>
      <c r="C271" s="84">
        <v>3111</v>
      </c>
      <c r="D271" s="79" t="s">
        <v>626</v>
      </c>
      <c r="E271" s="84" t="s">
        <v>1399</v>
      </c>
      <c r="F271" s="79" t="s">
        <v>1399</v>
      </c>
      <c r="G271" s="79" t="s">
        <v>1399</v>
      </c>
      <c r="H271" s="67">
        <v>63568</v>
      </c>
      <c r="I271" s="67"/>
      <c r="J271" s="67"/>
      <c r="K271" s="89" t="s">
        <v>1981</v>
      </c>
      <c r="L271" s="90">
        <v>44044</v>
      </c>
      <c r="M271" s="90">
        <v>45139</v>
      </c>
      <c r="N271" s="89" t="s">
        <v>1398</v>
      </c>
      <c r="O271" s="73" t="s">
        <v>1981</v>
      </c>
      <c r="P271" s="68"/>
      <c r="Q271" s="51"/>
      <c r="R271" s="51" t="str">
        <f t="shared" si="4"/>
        <v>311</v>
      </c>
      <c r="S271" s="51" t="str">
        <f t="shared" si="5"/>
        <v>31</v>
      </c>
      <c r="T271" s="51" t="str">
        <f t="shared" si="6"/>
        <v>OV</v>
      </c>
      <c r="U271" s="51"/>
      <c r="V271" s="51"/>
      <c r="W271" s="51"/>
      <c r="X271" s="51"/>
      <c r="Y271" s="51"/>
      <c r="Z271" s="51"/>
      <c r="AA271" s="51"/>
      <c r="AB271" s="51"/>
      <c r="AC271" s="51"/>
      <c r="AD271" s="51" t="s">
        <v>2023</v>
      </c>
      <c r="AE271" s="51" t="s">
        <v>2024</v>
      </c>
      <c r="AF271" s="51" t="str">
        <f t="shared" si="9"/>
        <v>A679075</v>
      </c>
      <c r="AG271" s="51" t="str">
        <f>VLOOKUP(AF271,AKT!$C$4:$E$324,3,FALSE)</f>
        <v>0942</v>
      </c>
    </row>
    <row r="272" spans="1:33" ht="15.75" customHeight="1">
      <c r="A272" s="84">
        <v>61</v>
      </c>
      <c r="B272" s="79" t="s">
        <v>524</v>
      </c>
      <c r="C272" s="84">
        <v>3132</v>
      </c>
      <c r="D272" s="79" t="s">
        <v>651</v>
      </c>
      <c r="E272" s="84" t="s">
        <v>1399</v>
      </c>
      <c r="F272" s="79" t="s">
        <v>1399</v>
      </c>
      <c r="G272" s="79" t="s">
        <v>1399</v>
      </c>
      <c r="H272" s="67">
        <v>12561</v>
      </c>
      <c r="I272" s="67"/>
      <c r="J272" s="67"/>
      <c r="K272" s="89" t="s">
        <v>1981</v>
      </c>
      <c r="L272" s="90">
        <v>44044</v>
      </c>
      <c r="M272" s="90">
        <v>45139</v>
      </c>
      <c r="N272" s="89" t="s">
        <v>1398</v>
      </c>
      <c r="O272" s="73" t="s">
        <v>1981</v>
      </c>
      <c r="P272" s="68"/>
      <c r="Q272" s="51"/>
      <c r="R272" s="51" t="str">
        <f t="shared" si="4"/>
        <v>313</v>
      </c>
      <c r="S272" s="51" t="str">
        <f t="shared" si="5"/>
        <v>31</v>
      </c>
      <c r="T272" s="51" t="str">
        <f t="shared" si="6"/>
        <v>OV</v>
      </c>
      <c r="U272" s="51"/>
      <c r="V272" s="51"/>
      <c r="W272" s="51"/>
      <c r="X272" s="51"/>
      <c r="Y272" s="51"/>
      <c r="Z272" s="51"/>
      <c r="AA272" s="51"/>
      <c r="AB272" s="51"/>
      <c r="AC272" s="51"/>
      <c r="AD272" s="51" t="s">
        <v>2026</v>
      </c>
      <c r="AE272" s="51" t="s">
        <v>2027</v>
      </c>
      <c r="AF272" s="51" t="str">
        <f t="shared" si="9"/>
        <v>A679075</v>
      </c>
      <c r="AG272" s="51" t="str">
        <f>VLOOKUP(AF272,AKT!$C$4:$E$324,3,FALSE)</f>
        <v>0942</v>
      </c>
    </row>
    <row r="273" spans="1:33" ht="15.75" customHeight="1">
      <c r="A273" s="84">
        <v>61</v>
      </c>
      <c r="B273" s="79" t="s">
        <v>524</v>
      </c>
      <c r="C273" s="84">
        <v>3222</v>
      </c>
      <c r="D273" s="79" t="s">
        <v>674</v>
      </c>
      <c r="E273" s="84" t="s">
        <v>1399</v>
      </c>
      <c r="F273" s="79" t="s">
        <v>1399</v>
      </c>
      <c r="G273" s="79" t="s">
        <v>1399</v>
      </c>
      <c r="H273" s="67">
        <v>32030</v>
      </c>
      <c r="I273" s="67"/>
      <c r="J273" s="67"/>
      <c r="K273" s="89" t="s">
        <v>1981</v>
      </c>
      <c r="L273" s="90">
        <v>44044</v>
      </c>
      <c r="M273" s="90">
        <v>45139</v>
      </c>
      <c r="N273" s="89" t="s">
        <v>1398</v>
      </c>
      <c r="O273" s="73" t="s">
        <v>1981</v>
      </c>
      <c r="P273" s="68"/>
      <c r="Q273" s="51"/>
      <c r="R273" s="51" t="str">
        <f t="shared" si="4"/>
        <v>322</v>
      </c>
      <c r="S273" s="51" t="str">
        <f t="shared" si="5"/>
        <v>32</v>
      </c>
      <c r="T273" s="51" t="str">
        <f t="shared" si="6"/>
        <v>OV</v>
      </c>
      <c r="U273" s="51"/>
      <c r="V273" s="51"/>
      <c r="W273" s="51"/>
      <c r="X273" s="51"/>
      <c r="Y273" s="51"/>
      <c r="Z273" s="51"/>
      <c r="AA273" s="51"/>
      <c r="AB273" s="51"/>
      <c r="AC273" s="51"/>
      <c r="AD273" s="51" t="s">
        <v>2028</v>
      </c>
      <c r="AE273" s="51" t="s">
        <v>2029</v>
      </c>
      <c r="AF273" s="51" t="str">
        <f t="shared" si="9"/>
        <v>A679075</v>
      </c>
      <c r="AG273" s="51" t="str">
        <f>VLOOKUP(AF273,AKT!$C$4:$E$324,3,FALSE)</f>
        <v>0942</v>
      </c>
    </row>
    <row r="274" spans="1:33" ht="15.75" customHeight="1">
      <c r="A274" s="84">
        <v>61</v>
      </c>
      <c r="B274" s="79" t="s">
        <v>524</v>
      </c>
      <c r="C274" s="84">
        <v>3237</v>
      </c>
      <c r="D274" s="79" t="s">
        <v>716</v>
      </c>
      <c r="E274" s="84" t="s">
        <v>1399</v>
      </c>
      <c r="F274" s="79" t="s">
        <v>1399</v>
      </c>
      <c r="G274" s="79" t="s">
        <v>1399</v>
      </c>
      <c r="H274" s="67">
        <v>11414</v>
      </c>
      <c r="I274" s="67"/>
      <c r="J274" s="67"/>
      <c r="K274" s="89" t="s">
        <v>1981</v>
      </c>
      <c r="L274" s="90">
        <v>44044</v>
      </c>
      <c r="M274" s="90">
        <v>45139</v>
      </c>
      <c r="N274" s="89" t="s">
        <v>1398</v>
      </c>
      <c r="O274" s="73" t="s">
        <v>1981</v>
      </c>
      <c r="P274" s="68"/>
      <c r="Q274" s="51"/>
      <c r="R274" s="51" t="str">
        <f t="shared" si="4"/>
        <v>323</v>
      </c>
      <c r="S274" s="51" t="str">
        <f t="shared" si="5"/>
        <v>32</v>
      </c>
      <c r="T274" s="51" t="str">
        <f t="shared" si="6"/>
        <v>OV</v>
      </c>
      <c r="U274" s="51"/>
      <c r="V274" s="51"/>
      <c r="W274" s="51"/>
      <c r="X274" s="51"/>
      <c r="Y274" s="51"/>
      <c r="Z274" s="51"/>
      <c r="AA274" s="51"/>
      <c r="AB274" s="51"/>
      <c r="AC274" s="51"/>
      <c r="AD274" s="51" t="s">
        <v>2030</v>
      </c>
      <c r="AE274" s="51" t="s">
        <v>2031</v>
      </c>
      <c r="AF274" s="51" t="str">
        <f t="shared" si="9"/>
        <v>A679075</v>
      </c>
      <c r="AG274" s="51" t="str">
        <f>VLOOKUP(AF274,AKT!$C$4:$E$324,3,FALSE)</f>
        <v>0942</v>
      </c>
    </row>
    <row r="275" spans="1:33" ht="15.75" customHeight="1">
      <c r="A275" s="84">
        <v>61</v>
      </c>
      <c r="B275" s="79" t="s">
        <v>524</v>
      </c>
      <c r="C275" s="84">
        <v>3211</v>
      </c>
      <c r="D275" s="79" t="s">
        <v>655</v>
      </c>
      <c r="E275" s="84" t="s">
        <v>1399</v>
      </c>
      <c r="F275" s="79" t="s">
        <v>1399</v>
      </c>
      <c r="G275" s="79" t="s">
        <v>1399</v>
      </c>
      <c r="H275" s="67">
        <v>3299</v>
      </c>
      <c r="I275" s="67"/>
      <c r="J275" s="67"/>
      <c r="K275" s="89" t="s">
        <v>1990</v>
      </c>
      <c r="L275" s="90">
        <v>44044</v>
      </c>
      <c r="M275" s="90">
        <v>45139</v>
      </c>
      <c r="N275" s="89" t="s">
        <v>1398</v>
      </c>
      <c r="O275" s="73" t="s">
        <v>1990</v>
      </c>
      <c r="P275" s="68"/>
      <c r="Q275" s="51"/>
      <c r="R275" s="51" t="str">
        <f t="shared" si="4"/>
        <v>321</v>
      </c>
      <c r="S275" s="51" t="str">
        <f t="shared" si="5"/>
        <v>32</v>
      </c>
      <c r="T275" s="51" t="str">
        <f t="shared" si="6"/>
        <v>OV</v>
      </c>
      <c r="U275" s="51"/>
      <c r="V275" s="51"/>
      <c r="W275" s="51"/>
      <c r="X275" s="51"/>
      <c r="Y275" s="51"/>
      <c r="Z275" s="51"/>
      <c r="AA275" s="51"/>
      <c r="AB275" s="51"/>
      <c r="AC275" s="51"/>
      <c r="AD275" s="51" t="s">
        <v>2034</v>
      </c>
      <c r="AE275" s="51" t="s">
        <v>2024</v>
      </c>
      <c r="AF275" s="51" t="str">
        <f t="shared" si="9"/>
        <v>A679075</v>
      </c>
      <c r="AG275" s="51" t="str">
        <f>VLOOKUP(AF275,AKT!$C$4:$E$324,3,FALSE)</f>
        <v>0942</v>
      </c>
    </row>
    <row r="276" spans="1:33" ht="15.75" customHeight="1">
      <c r="A276" s="84">
        <v>61</v>
      </c>
      <c r="B276" s="79" t="s">
        <v>524</v>
      </c>
      <c r="C276" s="84">
        <v>3222</v>
      </c>
      <c r="D276" s="79" t="s">
        <v>674</v>
      </c>
      <c r="E276" s="84" t="s">
        <v>1399</v>
      </c>
      <c r="F276" s="79" t="s">
        <v>1399</v>
      </c>
      <c r="G276" s="79" t="s">
        <v>1399</v>
      </c>
      <c r="H276" s="67">
        <v>16695</v>
      </c>
      <c r="I276" s="67"/>
      <c r="J276" s="67"/>
      <c r="K276" s="89" t="s">
        <v>1990</v>
      </c>
      <c r="L276" s="90">
        <v>44044</v>
      </c>
      <c r="M276" s="90">
        <v>45139</v>
      </c>
      <c r="N276" s="89" t="s">
        <v>1398</v>
      </c>
      <c r="O276" s="73" t="s">
        <v>1990</v>
      </c>
      <c r="P276" s="68"/>
      <c r="Q276" s="51"/>
      <c r="R276" s="51" t="str">
        <f t="shared" si="4"/>
        <v>322</v>
      </c>
      <c r="S276" s="51" t="str">
        <f t="shared" si="5"/>
        <v>32</v>
      </c>
      <c r="T276" s="51" t="str">
        <f t="shared" si="6"/>
        <v>OV</v>
      </c>
      <c r="U276" s="51"/>
      <c r="V276" s="51"/>
      <c r="W276" s="51"/>
      <c r="X276" s="51"/>
      <c r="Y276" s="51"/>
      <c r="Z276" s="51"/>
      <c r="AA276" s="51"/>
      <c r="AB276" s="51"/>
      <c r="AC276" s="51"/>
      <c r="AD276" s="51" t="s">
        <v>2035</v>
      </c>
      <c r="AE276" s="51" t="s">
        <v>2036</v>
      </c>
      <c r="AF276" s="51" t="str">
        <f t="shared" si="9"/>
        <v>A679075</v>
      </c>
      <c r="AG276" s="51" t="str">
        <f>VLOOKUP(AF276,AKT!$C$4:$E$324,3,FALSE)</f>
        <v>0942</v>
      </c>
    </row>
    <row r="277" spans="1:33" ht="15.75" customHeight="1">
      <c r="A277" s="84">
        <v>61</v>
      </c>
      <c r="B277" s="79" t="s">
        <v>524</v>
      </c>
      <c r="C277" s="84">
        <v>3111</v>
      </c>
      <c r="D277" s="79" t="s">
        <v>626</v>
      </c>
      <c r="E277" s="84" t="s">
        <v>1399</v>
      </c>
      <c r="F277" s="79" t="s">
        <v>1399</v>
      </c>
      <c r="G277" s="79" t="s">
        <v>1399</v>
      </c>
      <c r="H277" s="67">
        <v>21085</v>
      </c>
      <c r="I277" s="67"/>
      <c r="J277" s="67"/>
      <c r="K277" s="89" t="s">
        <v>1995</v>
      </c>
      <c r="L277" s="90">
        <v>44059</v>
      </c>
      <c r="M277" s="90">
        <v>45154</v>
      </c>
      <c r="N277" s="89" t="s">
        <v>1398</v>
      </c>
      <c r="O277" s="73" t="s">
        <v>1995</v>
      </c>
      <c r="P277" s="68"/>
      <c r="Q277" s="51"/>
      <c r="R277" s="51" t="str">
        <f t="shared" si="4"/>
        <v>311</v>
      </c>
      <c r="S277" s="51" t="str">
        <f t="shared" si="5"/>
        <v>31</v>
      </c>
      <c r="T277" s="51" t="str">
        <f t="shared" si="6"/>
        <v>OV</v>
      </c>
      <c r="U277" s="51"/>
      <c r="V277" s="51"/>
      <c r="W277" s="51"/>
      <c r="X277" s="51"/>
      <c r="Y277" s="51"/>
      <c r="Z277" s="51"/>
      <c r="AA277" s="51"/>
      <c r="AB277" s="51"/>
      <c r="AC277" s="51"/>
      <c r="AD277" s="51" t="s">
        <v>2040</v>
      </c>
      <c r="AE277" s="51" t="s">
        <v>2041</v>
      </c>
      <c r="AF277" s="51" t="str">
        <f t="shared" si="9"/>
        <v>A679075</v>
      </c>
      <c r="AG277" s="51" t="str">
        <f>VLOOKUP(AF277,AKT!$C$4:$E$324,3,FALSE)</f>
        <v>0942</v>
      </c>
    </row>
    <row r="278" spans="1:33" ht="15.75" customHeight="1">
      <c r="A278" s="84">
        <v>61</v>
      </c>
      <c r="B278" s="79" t="s">
        <v>524</v>
      </c>
      <c r="C278" s="84">
        <v>3132</v>
      </c>
      <c r="D278" s="79" t="s">
        <v>651</v>
      </c>
      <c r="E278" s="84" t="s">
        <v>1399</v>
      </c>
      <c r="F278" s="79" t="s">
        <v>1399</v>
      </c>
      <c r="G278" s="79" t="s">
        <v>1399</v>
      </c>
      <c r="H278" s="67">
        <v>4166</v>
      </c>
      <c r="I278" s="67"/>
      <c r="J278" s="67"/>
      <c r="K278" s="89" t="s">
        <v>1998</v>
      </c>
      <c r="L278" s="90">
        <v>44059</v>
      </c>
      <c r="M278" s="90">
        <v>45154</v>
      </c>
      <c r="N278" s="89" t="s">
        <v>1398</v>
      </c>
      <c r="O278" s="73" t="s">
        <v>1998</v>
      </c>
      <c r="P278" s="68"/>
      <c r="Q278" s="51"/>
      <c r="R278" s="51" t="str">
        <f t="shared" si="4"/>
        <v>313</v>
      </c>
      <c r="S278" s="51" t="str">
        <f t="shared" si="5"/>
        <v>31</v>
      </c>
      <c r="T278" s="51" t="str">
        <f t="shared" si="6"/>
        <v>OV</v>
      </c>
      <c r="U278" s="51"/>
      <c r="V278" s="51"/>
      <c r="W278" s="51"/>
      <c r="X278" s="51"/>
      <c r="Y278" s="51"/>
      <c r="Z278" s="51"/>
      <c r="AA278" s="51"/>
      <c r="AB278" s="51"/>
      <c r="AC278" s="51"/>
      <c r="AD278" s="51" t="s">
        <v>2042</v>
      </c>
      <c r="AE278" s="51" t="s">
        <v>2043</v>
      </c>
      <c r="AF278" s="51" t="str">
        <f t="shared" si="9"/>
        <v>A679075</v>
      </c>
      <c r="AG278" s="51" t="str">
        <f>VLOOKUP(AF278,AKT!$C$4:$E$324,3,FALSE)</f>
        <v>0942</v>
      </c>
    </row>
    <row r="279" spans="1:33" ht="15.75" customHeight="1">
      <c r="A279" s="84">
        <v>61</v>
      </c>
      <c r="B279" s="79" t="s">
        <v>524</v>
      </c>
      <c r="C279" s="84">
        <v>3111</v>
      </c>
      <c r="D279" s="79" t="s">
        <v>626</v>
      </c>
      <c r="E279" s="84" t="s">
        <v>1399</v>
      </c>
      <c r="F279" s="79" t="s">
        <v>1399</v>
      </c>
      <c r="G279" s="79" t="s">
        <v>1399</v>
      </c>
      <c r="H279" s="67">
        <v>47278</v>
      </c>
      <c r="I279" s="67"/>
      <c r="J279" s="67"/>
      <c r="K279" s="89" t="s">
        <v>2001</v>
      </c>
      <c r="L279" s="90">
        <v>44060</v>
      </c>
      <c r="M279" s="90">
        <v>45155</v>
      </c>
      <c r="N279" s="89" t="s">
        <v>1398</v>
      </c>
      <c r="O279" s="73" t="s">
        <v>2001</v>
      </c>
      <c r="P279" s="68"/>
      <c r="Q279" s="51"/>
      <c r="R279" s="51" t="str">
        <f t="shared" si="4"/>
        <v>311</v>
      </c>
      <c r="S279" s="51" t="str">
        <f t="shared" si="5"/>
        <v>31</v>
      </c>
      <c r="T279" s="51" t="str">
        <f t="shared" si="6"/>
        <v>OV</v>
      </c>
      <c r="U279" s="51"/>
      <c r="V279" s="51"/>
      <c r="W279" s="51"/>
      <c r="X279" s="51"/>
      <c r="Y279" s="51"/>
      <c r="Z279" s="51"/>
      <c r="AA279" s="51"/>
      <c r="AB279" s="51"/>
      <c r="AC279" s="51"/>
      <c r="AD279" s="51" t="s">
        <v>2044</v>
      </c>
      <c r="AE279" s="51" t="s">
        <v>2045</v>
      </c>
      <c r="AF279" s="51" t="str">
        <f t="shared" si="9"/>
        <v>A679075</v>
      </c>
      <c r="AG279" s="51" t="str">
        <f>VLOOKUP(AF279,AKT!$C$4:$E$324,3,FALSE)</f>
        <v>0942</v>
      </c>
    </row>
    <row r="280" spans="1:33" ht="15.75" customHeight="1">
      <c r="A280" s="84">
        <v>61</v>
      </c>
      <c r="B280" s="79" t="s">
        <v>524</v>
      </c>
      <c r="C280" s="84">
        <v>3132</v>
      </c>
      <c r="D280" s="79" t="s">
        <v>651</v>
      </c>
      <c r="E280" s="84" t="s">
        <v>1399</v>
      </c>
      <c r="F280" s="79" t="s">
        <v>1399</v>
      </c>
      <c r="G280" s="79" t="s">
        <v>1399</v>
      </c>
      <c r="H280" s="67">
        <v>9342</v>
      </c>
      <c r="I280" s="67"/>
      <c r="J280" s="67"/>
      <c r="K280" s="89" t="s">
        <v>2004</v>
      </c>
      <c r="L280" s="90">
        <v>44060</v>
      </c>
      <c r="M280" s="90">
        <v>45155</v>
      </c>
      <c r="N280" s="89" t="s">
        <v>1398</v>
      </c>
      <c r="O280" s="73" t="s">
        <v>2004</v>
      </c>
      <c r="P280" s="68"/>
      <c r="Q280" s="51"/>
      <c r="R280" s="51" t="str">
        <f t="shared" si="4"/>
        <v>313</v>
      </c>
      <c r="S280" s="51" t="str">
        <f t="shared" si="5"/>
        <v>31</v>
      </c>
      <c r="T280" s="51" t="str">
        <f t="shared" si="6"/>
        <v>OV</v>
      </c>
      <c r="U280" s="51"/>
      <c r="V280" s="51"/>
      <c r="W280" s="51"/>
      <c r="X280" s="51"/>
      <c r="Y280" s="51"/>
      <c r="Z280" s="51"/>
      <c r="AA280" s="51"/>
      <c r="AB280" s="51"/>
      <c r="AC280" s="51"/>
      <c r="AD280" s="51" t="s">
        <v>2046</v>
      </c>
      <c r="AE280" s="51" t="s">
        <v>2047</v>
      </c>
      <c r="AF280" s="51" t="str">
        <f t="shared" si="9"/>
        <v>A679076</v>
      </c>
      <c r="AG280" s="51" t="str">
        <f>VLOOKUP(AF280,AKT!$C$4:$E$324,3,FALSE)</f>
        <v>0942</v>
      </c>
    </row>
    <row r="281" spans="1:33" ht="15.75" customHeight="1">
      <c r="A281" s="84">
        <v>61</v>
      </c>
      <c r="B281" s="79" t="s">
        <v>524</v>
      </c>
      <c r="C281" s="84">
        <v>3211</v>
      </c>
      <c r="D281" s="79" t="s">
        <v>655</v>
      </c>
      <c r="E281" s="84" t="s">
        <v>1399</v>
      </c>
      <c r="F281" s="79" t="s">
        <v>1399</v>
      </c>
      <c r="G281" s="79" t="s">
        <v>1399</v>
      </c>
      <c r="H281" s="67">
        <v>2949</v>
      </c>
      <c r="I281" s="67"/>
      <c r="J281" s="67"/>
      <c r="K281" s="89" t="s">
        <v>2007</v>
      </c>
      <c r="L281" s="90">
        <v>44060</v>
      </c>
      <c r="M281" s="90">
        <v>45155</v>
      </c>
      <c r="N281" s="89" t="s">
        <v>1398</v>
      </c>
      <c r="O281" s="73" t="s">
        <v>2007</v>
      </c>
      <c r="P281" s="68"/>
      <c r="Q281" s="51"/>
      <c r="R281" s="51" t="str">
        <f t="shared" si="4"/>
        <v>321</v>
      </c>
      <c r="S281" s="51" t="str">
        <f t="shared" si="5"/>
        <v>32</v>
      </c>
      <c r="T281" s="51" t="str">
        <f t="shared" si="6"/>
        <v>OV</v>
      </c>
      <c r="U281" s="51"/>
      <c r="V281" s="51"/>
      <c r="W281" s="51"/>
      <c r="X281" s="51"/>
      <c r="Y281" s="51"/>
      <c r="Z281" s="51"/>
      <c r="AA281" s="51"/>
      <c r="AB281" s="51"/>
      <c r="AC281" s="51"/>
      <c r="AD281" s="51" t="s">
        <v>2048</v>
      </c>
      <c r="AE281" s="51" t="s">
        <v>2049</v>
      </c>
      <c r="AF281" s="51" t="str">
        <f t="shared" si="9"/>
        <v>A679076</v>
      </c>
      <c r="AG281" s="51" t="str">
        <f>VLOOKUP(AF281,AKT!$C$4:$E$324,3,FALSE)</f>
        <v>0942</v>
      </c>
    </row>
    <row r="282" spans="1:33" ht="15.75" customHeight="1">
      <c r="A282" s="84">
        <v>61</v>
      </c>
      <c r="B282" s="79" t="s">
        <v>524</v>
      </c>
      <c r="C282" s="84">
        <v>4224</v>
      </c>
      <c r="D282" s="79" t="s">
        <v>922</v>
      </c>
      <c r="E282" s="84" t="s">
        <v>1399</v>
      </c>
      <c r="F282" s="79" t="s">
        <v>1399</v>
      </c>
      <c r="G282" s="79" t="s">
        <v>1399</v>
      </c>
      <c r="H282" s="67">
        <v>2949</v>
      </c>
      <c r="I282" s="67"/>
      <c r="J282" s="67"/>
      <c r="K282" s="89" t="s">
        <v>2010</v>
      </c>
      <c r="L282" s="90">
        <v>44060</v>
      </c>
      <c r="M282" s="90">
        <v>45155</v>
      </c>
      <c r="N282" s="89" t="s">
        <v>1398</v>
      </c>
      <c r="O282" s="73" t="s">
        <v>2010</v>
      </c>
      <c r="P282" s="68"/>
      <c r="Q282" s="51"/>
      <c r="R282" s="51" t="str">
        <f t="shared" si="4"/>
        <v>422</v>
      </c>
      <c r="S282" s="51" t="str">
        <f t="shared" si="5"/>
        <v>42</v>
      </c>
      <c r="T282" s="51" t="str">
        <f t="shared" si="6"/>
        <v>OV</v>
      </c>
      <c r="U282" s="51"/>
      <c r="V282" s="51"/>
      <c r="W282" s="51"/>
      <c r="X282" s="51"/>
      <c r="Y282" s="51"/>
      <c r="Z282" s="51"/>
      <c r="AA282" s="51"/>
      <c r="AB282" s="51"/>
      <c r="AC282" s="51"/>
      <c r="AD282" s="51" t="s">
        <v>2050</v>
      </c>
      <c r="AE282" s="51" t="s">
        <v>2051</v>
      </c>
      <c r="AF282" s="51" t="str">
        <f t="shared" si="9"/>
        <v>A679076</v>
      </c>
      <c r="AG282" s="51" t="str">
        <f>VLOOKUP(AF282,AKT!$C$4:$E$324,3,FALSE)</f>
        <v>0942</v>
      </c>
    </row>
    <row r="283" spans="1:33" ht="15.75" customHeight="1">
      <c r="A283" s="84">
        <v>61</v>
      </c>
      <c r="B283" s="79" t="s">
        <v>524</v>
      </c>
      <c r="C283" s="84">
        <v>3111</v>
      </c>
      <c r="D283" s="79" t="s">
        <v>626</v>
      </c>
      <c r="E283" s="84" t="s">
        <v>1399</v>
      </c>
      <c r="F283" s="79" t="s">
        <v>1399</v>
      </c>
      <c r="G283" s="79" t="s">
        <v>1399</v>
      </c>
      <c r="H283" s="67">
        <v>61493</v>
      </c>
      <c r="I283" s="67"/>
      <c r="J283" s="67"/>
      <c r="K283" s="89" t="s">
        <v>2013</v>
      </c>
      <c r="L283" s="90">
        <v>44044</v>
      </c>
      <c r="M283" s="90">
        <v>45139</v>
      </c>
      <c r="N283" s="89" t="s">
        <v>1398</v>
      </c>
      <c r="O283" s="73" t="s">
        <v>2013</v>
      </c>
      <c r="P283" s="68"/>
      <c r="Q283" s="51"/>
      <c r="R283" s="51" t="str">
        <f t="shared" si="4"/>
        <v>311</v>
      </c>
      <c r="S283" s="51" t="str">
        <f t="shared" si="5"/>
        <v>31</v>
      </c>
      <c r="T283" s="51" t="str">
        <f t="shared" si="6"/>
        <v>OV</v>
      </c>
      <c r="U283" s="51"/>
      <c r="V283" s="51"/>
      <c r="W283" s="51"/>
      <c r="X283" s="51"/>
      <c r="Y283" s="51"/>
      <c r="Z283" s="51"/>
      <c r="AA283" s="51"/>
      <c r="AB283" s="51"/>
      <c r="AC283" s="51"/>
      <c r="AD283" s="51" t="s">
        <v>2052</v>
      </c>
      <c r="AE283" s="51" t="s">
        <v>2053</v>
      </c>
      <c r="AF283" s="51" t="str">
        <f t="shared" si="9"/>
        <v>A679076</v>
      </c>
      <c r="AG283" s="51" t="str">
        <f>VLOOKUP(AF283,AKT!$C$4:$E$324,3,FALSE)</f>
        <v>0942</v>
      </c>
    </row>
    <row r="284" spans="1:33" ht="15.75" customHeight="1">
      <c r="A284" s="84">
        <v>61</v>
      </c>
      <c r="B284" s="79" t="s">
        <v>524</v>
      </c>
      <c r="C284" s="84">
        <v>3132</v>
      </c>
      <c r="D284" s="79" t="s">
        <v>651</v>
      </c>
      <c r="E284" s="84" t="s">
        <v>1399</v>
      </c>
      <c r="F284" s="79" t="s">
        <v>1399</v>
      </c>
      <c r="G284" s="79" t="s">
        <v>1399</v>
      </c>
      <c r="H284" s="67">
        <v>12151</v>
      </c>
      <c r="I284" s="67"/>
      <c r="J284" s="67"/>
      <c r="K284" s="89" t="s">
        <v>2016</v>
      </c>
      <c r="L284" s="90">
        <v>44044</v>
      </c>
      <c r="M284" s="90">
        <v>45139</v>
      </c>
      <c r="N284" s="89" t="s">
        <v>1398</v>
      </c>
      <c r="O284" s="73" t="s">
        <v>2016</v>
      </c>
      <c r="P284" s="68"/>
      <c r="Q284" s="51"/>
      <c r="R284" s="51" t="str">
        <f t="shared" si="4"/>
        <v>313</v>
      </c>
      <c r="S284" s="51" t="str">
        <f t="shared" si="5"/>
        <v>31</v>
      </c>
      <c r="T284" s="51" t="str">
        <f t="shared" si="6"/>
        <v>OV</v>
      </c>
      <c r="U284" s="51"/>
      <c r="V284" s="51"/>
      <c r="W284" s="51"/>
      <c r="X284" s="51"/>
      <c r="Y284" s="51"/>
      <c r="Z284" s="51"/>
      <c r="AA284" s="51"/>
      <c r="AB284" s="51"/>
      <c r="AC284" s="51"/>
      <c r="AD284" s="51" t="s">
        <v>2054</v>
      </c>
      <c r="AE284" s="51" t="s">
        <v>2055</v>
      </c>
      <c r="AF284" s="51" t="str">
        <f t="shared" si="9"/>
        <v>A679076</v>
      </c>
      <c r="AG284" s="51" t="str">
        <f>VLOOKUP(AF284,AKT!$C$4:$E$324,3,FALSE)</f>
        <v>0942</v>
      </c>
    </row>
    <row r="285" spans="1:33" ht="15.75" customHeight="1">
      <c r="A285" s="84">
        <v>61</v>
      </c>
      <c r="B285" s="79" t="s">
        <v>524</v>
      </c>
      <c r="C285" s="84">
        <v>3222</v>
      </c>
      <c r="D285" s="79" t="s">
        <v>674</v>
      </c>
      <c r="E285" s="84" t="s">
        <v>1399</v>
      </c>
      <c r="F285" s="79" t="s">
        <v>1399</v>
      </c>
      <c r="G285" s="79" t="s">
        <v>1399</v>
      </c>
      <c r="H285" s="67">
        <v>9733</v>
      </c>
      <c r="I285" s="67"/>
      <c r="J285" s="67"/>
      <c r="K285" s="89" t="s">
        <v>2019</v>
      </c>
      <c r="L285" s="90">
        <v>44044</v>
      </c>
      <c r="M285" s="90">
        <v>45139</v>
      </c>
      <c r="N285" s="89" t="s">
        <v>1398</v>
      </c>
      <c r="O285" s="73" t="s">
        <v>2019</v>
      </c>
      <c r="P285" s="68"/>
      <c r="Q285" s="51"/>
      <c r="R285" s="51" t="str">
        <f t="shared" si="4"/>
        <v>322</v>
      </c>
      <c r="S285" s="51" t="str">
        <f t="shared" si="5"/>
        <v>32</v>
      </c>
      <c r="T285" s="51" t="str">
        <f t="shared" si="6"/>
        <v>OV</v>
      </c>
      <c r="U285" s="51"/>
      <c r="V285" s="51"/>
      <c r="W285" s="51"/>
      <c r="X285" s="51"/>
      <c r="Y285" s="51"/>
      <c r="Z285" s="51"/>
      <c r="AA285" s="51"/>
      <c r="AB285" s="51"/>
      <c r="AC285" s="51"/>
      <c r="AD285" s="51" t="s">
        <v>2056</v>
      </c>
      <c r="AE285" s="51" t="s">
        <v>2057</v>
      </c>
      <c r="AF285" s="51" t="str">
        <f t="shared" si="9"/>
        <v>A679076</v>
      </c>
      <c r="AG285" s="51" t="str">
        <f>VLOOKUP(AF285,AKT!$C$4:$E$324,3,FALSE)</f>
        <v>0942</v>
      </c>
    </row>
    <row r="286" spans="1:33" ht="15.75" customHeight="1">
      <c r="A286" s="84">
        <v>61</v>
      </c>
      <c r="B286" s="79" t="s">
        <v>524</v>
      </c>
      <c r="C286" s="84">
        <v>3237</v>
      </c>
      <c r="D286" s="79" t="s">
        <v>716</v>
      </c>
      <c r="E286" s="84" t="s">
        <v>1399</v>
      </c>
      <c r="F286" s="79" t="s">
        <v>1399</v>
      </c>
      <c r="G286" s="79" t="s">
        <v>1399</v>
      </c>
      <c r="H286" s="67">
        <v>9733</v>
      </c>
      <c r="I286" s="67"/>
      <c r="J286" s="67"/>
      <c r="K286" s="89" t="s">
        <v>2022</v>
      </c>
      <c r="L286" s="90">
        <v>44044</v>
      </c>
      <c r="M286" s="90">
        <v>45139</v>
      </c>
      <c r="N286" s="89" t="s">
        <v>1398</v>
      </c>
      <c r="O286" s="73" t="s">
        <v>2022</v>
      </c>
      <c r="P286" s="68"/>
      <c r="Q286" s="51"/>
      <c r="R286" s="51" t="str">
        <f t="shared" si="4"/>
        <v>323</v>
      </c>
      <c r="S286" s="51" t="str">
        <f t="shared" si="5"/>
        <v>32</v>
      </c>
      <c r="T286" s="51" t="str">
        <f t="shared" si="6"/>
        <v>OV</v>
      </c>
      <c r="U286" s="51"/>
      <c r="V286" s="51"/>
      <c r="W286" s="51"/>
      <c r="X286" s="51"/>
      <c r="Y286" s="51"/>
      <c r="Z286" s="51"/>
      <c r="AA286" s="51"/>
      <c r="AB286" s="51"/>
      <c r="AC286" s="51"/>
      <c r="AD286" s="51" t="s">
        <v>2058</v>
      </c>
      <c r="AE286" s="51" t="s">
        <v>2059</v>
      </c>
      <c r="AF286" s="51" t="str">
        <f t="shared" si="9"/>
        <v>A679076</v>
      </c>
      <c r="AG286" s="51" t="str">
        <f>VLOOKUP(AF286,AKT!$C$4:$E$324,3,FALSE)</f>
        <v>0942</v>
      </c>
    </row>
    <row r="287" spans="1:33" ht="15.75" customHeight="1">
      <c r="A287" s="84">
        <v>61</v>
      </c>
      <c r="B287" s="79" t="s">
        <v>524</v>
      </c>
      <c r="C287" s="84">
        <v>3211</v>
      </c>
      <c r="D287" s="79" t="s">
        <v>655</v>
      </c>
      <c r="E287" s="84" t="s">
        <v>1399</v>
      </c>
      <c r="F287" s="79" t="s">
        <v>1399</v>
      </c>
      <c r="G287" s="79" t="s">
        <v>1399</v>
      </c>
      <c r="H287" s="67">
        <v>3064</v>
      </c>
      <c r="I287" s="67"/>
      <c r="J287" s="67"/>
      <c r="K287" s="89" t="s">
        <v>2025</v>
      </c>
      <c r="L287" s="90">
        <v>44076</v>
      </c>
      <c r="M287" s="90">
        <v>45171</v>
      </c>
      <c r="N287" s="89" t="s">
        <v>1398</v>
      </c>
      <c r="O287" s="73" t="s">
        <v>2025</v>
      </c>
      <c r="P287" s="68"/>
      <c r="Q287" s="51"/>
      <c r="R287" s="51" t="str">
        <f t="shared" si="4"/>
        <v>321</v>
      </c>
      <c r="S287" s="51" t="str">
        <f t="shared" si="5"/>
        <v>32</v>
      </c>
      <c r="T287" s="51" t="str">
        <f t="shared" si="6"/>
        <v>OV</v>
      </c>
      <c r="U287" s="51"/>
      <c r="V287" s="51"/>
      <c r="W287" s="51"/>
      <c r="X287" s="51"/>
      <c r="Y287" s="51"/>
      <c r="Z287" s="51"/>
      <c r="AA287" s="51"/>
      <c r="AB287" s="51"/>
      <c r="AC287" s="51"/>
      <c r="AD287" s="51" t="s">
        <v>2060</v>
      </c>
      <c r="AE287" s="51" t="s">
        <v>2061</v>
      </c>
      <c r="AF287" s="51" t="str">
        <f t="shared" si="9"/>
        <v>A679076</v>
      </c>
      <c r="AG287" s="51" t="str">
        <f>VLOOKUP(AF287,AKT!$C$4:$E$324,3,FALSE)</f>
        <v>0942</v>
      </c>
    </row>
    <row r="288" spans="1:33" ht="15.75" customHeight="1">
      <c r="A288" s="84">
        <v>61</v>
      </c>
      <c r="B288" s="79" t="s">
        <v>524</v>
      </c>
      <c r="C288" s="84">
        <v>3222</v>
      </c>
      <c r="D288" s="79" t="s">
        <v>674</v>
      </c>
      <c r="E288" s="84" t="s">
        <v>1399</v>
      </c>
      <c r="F288" s="79" t="s">
        <v>1399</v>
      </c>
      <c r="G288" s="79" t="s">
        <v>1399</v>
      </c>
      <c r="H288" s="67">
        <v>15505</v>
      </c>
      <c r="I288" s="67"/>
      <c r="J288" s="67"/>
      <c r="K288" s="89" t="s">
        <v>2025</v>
      </c>
      <c r="L288" s="90">
        <v>44076</v>
      </c>
      <c r="M288" s="90">
        <v>45171</v>
      </c>
      <c r="N288" s="89" t="s">
        <v>1398</v>
      </c>
      <c r="O288" s="73" t="s">
        <v>2025</v>
      </c>
      <c r="P288" s="68"/>
      <c r="Q288" s="51"/>
      <c r="R288" s="51" t="str">
        <f t="shared" si="4"/>
        <v>322</v>
      </c>
      <c r="S288" s="51" t="str">
        <f t="shared" si="5"/>
        <v>32</v>
      </c>
      <c r="T288" s="51" t="str">
        <f t="shared" si="6"/>
        <v>OV</v>
      </c>
      <c r="U288" s="51"/>
      <c r="V288" s="51"/>
      <c r="W288" s="51"/>
      <c r="X288" s="51"/>
      <c r="Y288" s="51"/>
      <c r="Z288" s="51"/>
      <c r="AA288" s="51"/>
      <c r="AB288" s="51"/>
      <c r="AC288" s="51"/>
      <c r="AD288" s="51" t="s">
        <v>2062</v>
      </c>
      <c r="AE288" s="51" t="s">
        <v>2063</v>
      </c>
      <c r="AF288" s="51" t="str">
        <f t="shared" si="9"/>
        <v>A679076</v>
      </c>
      <c r="AG288" s="51" t="str">
        <f>VLOOKUP(AF288,AKT!$C$4:$E$324,3,FALSE)</f>
        <v>0942</v>
      </c>
    </row>
    <row r="289" spans="1:33" ht="15.75" customHeight="1">
      <c r="A289" s="84">
        <v>61</v>
      </c>
      <c r="B289" s="79" t="s">
        <v>524</v>
      </c>
      <c r="C289" s="84">
        <v>4224</v>
      </c>
      <c r="D289" s="79" t="s">
        <v>922</v>
      </c>
      <c r="E289" s="84" t="s">
        <v>1399</v>
      </c>
      <c r="F289" s="79" t="s">
        <v>1399</v>
      </c>
      <c r="G289" s="79" t="s">
        <v>1399</v>
      </c>
      <c r="H289" s="67">
        <v>11369</v>
      </c>
      <c r="I289" s="67"/>
      <c r="J289" s="67"/>
      <c r="K289" s="89" t="s">
        <v>2025</v>
      </c>
      <c r="L289" s="90">
        <v>44076</v>
      </c>
      <c r="M289" s="90">
        <v>45171</v>
      </c>
      <c r="N289" s="89" t="s">
        <v>1398</v>
      </c>
      <c r="O289" s="73" t="s">
        <v>2025</v>
      </c>
      <c r="P289" s="68"/>
      <c r="Q289" s="51"/>
      <c r="R289" s="51" t="str">
        <f t="shared" si="4"/>
        <v>422</v>
      </c>
      <c r="S289" s="51" t="str">
        <f t="shared" si="5"/>
        <v>42</v>
      </c>
      <c r="T289" s="51" t="str">
        <f t="shared" si="6"/>
        <v>OV</v>
      </c>
      <c r="U289" s="51"/>
      <c r="V289" s="51"/>
      <c r="W289" s="51"/>
      <c r="X289" s="51"/>
      <c r="Y289" s="51"/>
      <c r="Z289" s="51"/>
      <c r="AA289" s="51"/>
      <c r="AB289" s="51"/>
      <c r="AC289" s="51"/>
      <c r="AD289" s="51" t="s">
        <v>2064</v>
      </c>
      <c r="AE289" s="51" t="s">
        <v>2065</v>
      </c>
      <c r="AF289" s="51" t="str">
        <f t="shared" si="9"/>
        <v>A679076</v>
      </c>
      <c r="AG289" s="51" t="str">
        <f>VLOOKUP(AF289,AKT!$C$4:$E$324,3,FALSE)</f>
        <v>0942</v>
      </c>
    </row>
    <row r="290" spans="1:33" ht="15.75" customHeight="1">
      <c r="A290" s="84">
        <v>61</v>
      </c>
      <c r="B290" s="79" t="s">
        <v>524</v>
      </c>
      <c r="C290" s="84">
        <v>3211</v>
      </c>
      <c r="D290" s="79" t="s">
        <v>655</v>
      </c>
      <c r="E290" s="84" t="s">
        <v>2032</v>
      </c>
      <c r="F290" s="79" t="s">
        <v>3535</v>
      </c>
      <c r="G290" s="79" t="s">
        <v>641</v>
      </c>
      <c r="H290" s="67">
        <v>4380</v>
      </c>
      <c r="I290" s="67"/>
      <c r="J290" s="67"/>
      <c r="K290" s="89" t="s">
        <v>2033</v>
      </c>
      <c r="L290" s="90">
        <v>44076</v>
      </c>
      <c r="M290" s="90">
        <v>45171</v>
      </c>
      <c r="N290" s="89" t="s">
        <v>1398</v>
      </c>
      <c r="O290" s="73" t="s">
        <v>2033</v>
      </c>
      <c r="P290" s="68"/>
      <c r="Q290" s="51"/>
      <c r="R290" s="51" t="str">
        <f t="shared" si="4"/>
        <v>321</v>
      </c>
      <c r="S290" s="51" t="str">
        <f t="shared" si="5"/>
        <v>32</v>
      </c>
      <c r="T290" s="51" t="str">
        <f t="shared" si="6"/>
        <v>15</v>
      </c>
      <c r="U290" s="51"/>
      <c r="V290" s="51"/>
      <c r="W290" s="51"/>
      <c r="X290" s="51"/>
      <c r="Y290" s="51"/>
      <c r="Z290" s="51"/>
      <c r="AA290" s="51"/>
      <c r="AB290" s="51"/>
      <c r="AC290" s="51"/>
      <c r="AD290" s="51" t="s">
        <v>2066</v>
      </c>
      <c r="AE290" s="51" t="s">
        <v>2067</v>
      </c>
      <c r="AF290" s="51" t="str">
        <f t="shared" si="9"/>
        <v>A679076</v>
      </c>
      <c r="AG290" s="51" t="str">
        <f>VLOOKUP(AF290,AKT!$C$4:$E$324,3,FALSE)</f>
        <v>0942</v>
      </c>
    </row>
    <row r="291" spans="1:33" ht="15.75" customHeight="1">
      <c r="A291" s="84">
        <v>61</v>
      </c>
      <c r="B291" s="79" t="s">
        <v>524</v>
      </c>
      <c r="C291" s="84">
        <v>3222</v>
      </c>
      <c r="D291" s="79" t="s">
        <v>674</v>
      </c>
      <c r="E291" s="84" t="s">
        <v>2032</v>
      </c>
      <c r="F291" s="79" t="s">
        <v>3535</v>
      </c>
      <c r="G291" s="79" t="s">
        <v>641</v>
      </c>
      <c r="H291" s="67">
        <v>22165</v>
      </c>
      <c r="I291" s="67"/>
      <c r="J291" s="67"/>
      <c r="K291" s="89" t="s">
        <v>2033</v>
      </c>
      <c r="L291" s="90">
        <v>44076</v>
      </c>
      <c r="M291" s="90">
        <v>45171</v>
      </c>
      <c r="N291" s="89" t="s">
        <v>1398</v>
      </c>
      <c r="O291" s="73" t="s">
        <v>2033</v>
      </c>
      <c r="P291" s="68"/>
      <c r="Q291" s="51"/>
      <c r="R291" s="51" t="str">
        <f t="shared" si="4"/>
        <v>322</v>
      </c>
      <c r="S291" s="51" t="str">
        <f t="shared" si="5"/>
        <v>32</v>
      </c>
      <c r="T291" s="51" t="str">
        <f t="shared" si="6"/>
        <v>15</v>
      </c>
      <c r="U291" s="51"/>
      <c r="V291" s="51"/>
      <c r="W291" s="51"/>
      <c r="X291" s="51"/>
      <c r="Y291" s="51"/>
      <c r="Z291" s="51"/>
      <c r="AA291" s="51"/>
      <c r="AB291" s="51"/>
      <c r="AC291" s="51"/>
      <c r="AD291" s="51" t="s">
        <v>2068</v>
      </c>
      <c r="AE291" s="51" t="s">
        <v>2069</v>
      </c>
      <c r="AF291" s="51" t="str">
        <f t="shared" si="9"/>
        <v>A679076</v>
      </c>
      <c r="AG291" s="51" t="str">
        <f>VLOOKUP(AF291,AKT!$C$4:$E$324,3,FALSE)</f>
        <v>0942</v>
      </c>
    </row>
    <row r="292" spans="1:33" ht="15.75" customHeight="1">
      <c r="A292" s="84">
        <v>61</v>
      </c>
      <c r="B292" s="79" t="s">
        <v>524</v>
      </c>
      <c r="C292" s="84">
        <v>3211</v>
      </c>
      <c r="D292" s="79" t="s">
        <v>655</v>
      </c>
      <c r="E292" s="84" t="s">
        <v>2037</v>
      </c>
      <c r="F292" s="79" t="s">
        <v>2969</v>
      </c>
      <c r="G292" s="79" t="s">
        <v>668</v>
      </c>
      <c r="H292" s="67">
        <v>8259</v>
      </c>
      <c r="I292" s="67"/>
      <c r="J292" s="67"/>
      <c r="K292" s="89" t="s">
        <v>2038</v>
      </c>
      <c r="L292" s="90">
        <v>44132</v>
      </c>
      <c r="M292" s="90">
        <v>45227</v>
      </c>
      <c r="N292" s="89" t="s">
        <v>1398</v>
      </c>
      <c r="O292" s="73" t="s">
        <v>2039</v>
      </c>
      <c r="P292" s="68"/>
      <c r="Q292" s="51"/>
      <c r="R292" s="51" t="str">
        <f t="shared" si="4"/>
        <v>321</v>
      </c>
      <c r="S292" s="51" t="str">
        <f t="shared" si="5"/>
        <v>32</v>
      </c>
      <c r="T292" s="51" t="str">
        <f t="shared" si="6"/>
        <v>94</v>
      </c>
      <c r="U292" s="51"/>
      <c r="V292" s="51"/>
      <c r="W292" s="51"/>
      <c r="X292" s="51"/>
      <c r="Y292" s="51"/>
      <c r="Z292" s="51"/>
      <c r="AA292" s="51"/>
      <c r="AB292" s="51"/>
      <c r="AC292" s="51"/>
      <c r="AD292" s="51" t="s">
        <v>2070</v>
      </c>
      <c r="AE292" s="51" t="s">
        <v>2071</v>
      </c>
      <c r="AF292" s="51" t="str">
        <f t="shared" si="9"/>
        <v>A679076</v>
      </c>
      <c r="AG292" s="51" t="str">
        <f>VLOOKUP(AF292,AKT!$C$4:$E$324,3,FALSE)</f>
        <v>0942</v>
      </c>
    </row>
    <row r="293" spans="1:33" ht="15.75" customHeight="1">
      <c r="A293" s="84">
        <v>61</v>
      </c>
      <c r="B293" s="79" t="s">
        <v>524</v>
      </c>
      <c r="C293" s="84">
        <v>3222</v>
      </c>
      <c r="D293" s="79" t="s">
        <v>674</v>
      </c>
      <c r="E293" s="84" t="s">
        <v>2037</v>
      </c>
      <c r="F293" s="79" t="s">
        <v>2969</v>
      </c>
      <c r="G293" s="79" t="s">
        <v>668</v>
      </c>
      <c r="H293" s="67">
        <v>42797</v>
      </c>
      <c r="I293" s="67"/>
      <c r="J293" s="67"/>
      <c r="K293" s="89" t="s">
        <v>2038</v>
      </c>
      <c r="L293" s="90">
        <v>44132</v>
      </c>
      <c r="M293" s="90">
        <v>45227</v>
      </c>
      <c r="N293" s="89" t="s">
        <v>1398</v>
      </c>
      <c r="O293" s="73" t="s">
        <v>2039</v>
      </c>
      <c r="P293" s="68"/>
      <c r="Q293" s="51"/>
      <c r="R293" s="51" t="str">
        <f t="shared" si="4"/>
        <v>322</v>
      </c>
      <c r="S293" s="51" t="str">
        <f t="shared" si="5"/>
        <v>32</v>
      </c>
      <c r="T293" s="51" t="str">
        <f t="shared" si="6"/>
        <v>94</v>
      </c>
      <c r="U293" s="51"/>
      <c r="V293" s="51"/>
      <c r="W293" s="51"/>
      <c r="X293" s="51"/>
      <c r="Y293" s="51"/>
      <c r="Z293" s="51"/>
      <c r="AA293" s="51"/>
      <c r="AB293" s="51"/>
      <c r="AC293" s="51"/>
      <c r="AD293" s="51" t="s">
        <v>2072</v>
      </c>
      <c r="AE293" s="51" t="s">
        <v>2073</v>
      </c>
      <c r="AF293" s="51" t="str">
        <f t="shared" si="9"/>
        <v>A679076</v>
      </c>
      <c r="AG293" s="51" t="str">
        <f>VLOOKUP(AF293,AKT!$C$4:$E$324,3,FALSE)</f>
        <v>0942</v>
      </c>
    </row>
    <row r="294" spans="1:33" ht="15.75" customHeight="1">
      <c r="A294" s="84"/>
      <c r="B294" s="79" t="str">
        <f t="shared" si="0"/>
        <v/>
      </c>
      <c r="C294" s="84"/>
      <c r="D294" s="79" t="str">
        <f t="shared" si="1"/>
        <v/>
      </c>
      <c r="E294" s="84"/>
      <c r="F294" s="79" t="str">
        <f t="shared" si="2"/>
        <v/>
      </c>
      <c r="G294" s="79" t="str">
        <f t="shared" si="3"/>
        <v/>
      </c>
      <c r="H294" s="67"/>
      <c r="I294" s="67"/>
      <c r="J294" s="67"/>
      <c r="K294" s="89"/>
      <c r="L294" s="90"/>
      <c r="M294" s="90"/>
      <c r="N294" s="89"/>
      <c r="O294" s="73"/>
      <c r="P294" s="68"/>
      <c r="Q294" s="51"/>
      <c r="R294" s="51" t="str">
        <f t="shared" si="4"/>
        <v/>
      </c>
      <c r="S294" s="51" t="str">
        <f t="shared" si="5"/>
        <v/>
      </c>
      <c r="T294" s="51" t="str">
        <f t="shared" si="6"/>
        <v/>
      </c>
      <c r="U294" s="51"/>
      <c r="V294" s="51"/>
      <c r="W294" s="51"/>
      <c r="X294" s="51"/>
      <c r="Y294" s="51"/>
      <c r="Z294" s="51"/>
      <c r="AA294" s="51"/>
      <c r="AB294" s="51"/>
      <c r="AC294" s="51"/>
      <c r="AD294" s="51" t="s">
        <v>2074</v>
      </c>
      <c r="AE294" s="51" t="s">
        <v>1436</v>
      </c>
      <c r="AF294" s="51" t="str">
        <f t="shared" si="9"/>
        <v>A679076</v>
      </c>
      <c r="AG294" s="51" t="str">
        <f>VLOOKUP(AF294,AKT!$C$4:$E$324,3,FALSE)</f>
        <v>0942</v>
      </c>
    </row>
    <row r="295" spans="1:33" ht="15.75" customHeight="1">
      <c r="A295" s="84"/>
      <c r="B295" s="79" t="str">
        <f t="shared" si="0"/>
        <v/>
      </c>
      <c r="C295" s="84"/>
      <c r="D295" s="79" t="str">
        <f t="shared" si="1"/>
        <v/>
      </c>
      <c r="E295" s="84"/>
      <c r="F295" s="79" t="str">
        <f t="shared" si="2"/>
        <v/>
      </c>
      <c r="G295" s="79" t="str">
        <f t="shared" si="3"/>
        <v/>
      </c>
      <c r="H295" s="67"/>
      <c r="I295" s="67"/>
      <c r="J295" s="67"/>
      <c r="K295" s="89"/>
      <c r="L295" s="90"/>
      <c r="M295" s="90"/>
      <c r="N295" s="89"/>
      <c r="O295" s="73"/>
      <c r="P295" s="68"/>
      <c r="Q295" s="51"/>
      <c r="R295" s="51" t="str">
        <f t="shared" si="4"/>
        <v/>
      </c>
      <c r="S295" s="51" t="str">
        <f t="shared" si="5"/>
        <v/>
      </c>
      <c r="T295" s="51" t="str">
        <f t="shared" si="6"/>
        <v/>
      </c>
      <c r="U295" s="51"/>
      <c r="V295" s="51"/>
      <c r="W295" s="51"/>
      <c r="X295" s="51"/>
      <c r="Y295" s="51"/>
      <c r="Z295" s="51"/>
      <c r="AA295" s="51"/>
      <c r="AB295" s="51"/>
      <c r="AC295" s="51"/>
      <c r="AD295" s="51" t="s">
        <v>2075</v>
      </c>
      <c r="AE295" s="51" t="s">
        <v>2076</v>
      </c>
      <c r="AF295" s="51" t="str">
        <f t="shared" si="9"/>
        <v>A679077</v>
      </c>
      <c r="AG295" s="51" t="str">
        <f>VLOOKUP(AF295,AKT!$C$4:$E$324,3,FALSE)</f>
        <v>0942</v>
      </c>
    </row>
    <row r="296" spans="1:33" ht="15.75" customHeight="1">
      <c r="A296" s="84"/>
      <c r="B296" s="79" t="str">
        <f t="shared" si="0"/>
        <v/>
      </c>
      <c r="C296" s="84"/>
      <c r="D296" s="79" t="str">
        <f t="shared" si="1"/>
        <v/>
      </c>
      <c r="E296" s="84"/>
      <c r="F296" s="79" t="str">
        <f t="shared" si="2"/>
        <v/>
      </c>
      <c r="G296" s="79" t="str">
        <f t="shared" si="3"/>
        <v/>
      </c>
      <c r="H296" s="67"/>
      <c r="I296" s="67"/>
      <c r="J296" s="67"/>
      <c r="K296" s="89"/>
      <c r="L296" s="90"/>
      <c r="M296" s="90"/>
      <c r="N296" s="89"/>
      <c r="O296" s="73"/>
      <c r="P296" s="68"/>
      <c r="Q296" s="51"/>
      <c r="R296" s="51" t="str">
        <f t="shared" si="4"/>
        <v/>
      </c>
      <c r="S296" s="51" t="str">
        <f t="shared" si="5"/>
        <v/>
      </c>
      <c r="T296" s="51" t="str">
        <f t="shared" si="6"/>
        <v/>
      </c>
      <c r="U296" s="51"/>
      <c r="V296" s="51"/>
      <c r="W296" s="51"/>
      <c r="X296" s="51"/>
      <c r="Y296" s="51"/>
      <c r="Z296" s="51"/>
      <c r="AA296" s="51"/>
      <c r="AB296" s="51"/>
      <c r="AC296" s="51"/>
      <c r="AD296" s="51" t="s">
        <v>2077</v>
      </c>
      <c r="AE296" s="51" t="s">
        <v>2078</v>
      </c>
      <c r="AF296" s="51" t="str">
        <f t="shared" si="9"/>
        <v>A679077</v>
      </c>
      <c r="AG296" s="51" t="str">
        <f>VLOOKUP(AF296,AKT!$C$4:$E$324,3,FALSE)</f>
        <v>0942</v>
      </c>
    </row>
    <row r="297" spans="1:33" ht="15.75" customHeight="1">
      <c r="A297" s="84"/>
      <c r="B297" s="79" t="str">
        <f t="shared" si="0"/>
        <v/>
      </c>
      <c r="C297" s="84"/>
      <c r="D297" s="79" t="str">
        <f t="shared" si="1"/>
        <v/>
      </c>
      <c r="E297" s="84"/>
      <c r="F297" s="79" t="str">
        <f t="shared" si="2"/>
        <v/>
      </c>
      <c r="G297" s="79" t="str">
        <f t="shared" si="3"/>
        <v/>
      </c>
      <c r="H297" s="67"/>
      <c r="I297" s="67"/>
      <c r="J297" s="67"/>
      <c r="K297" s="89"/>
      <c r="L297" s="90"/>
      <c r="M297" s="90"/>
      <c r="N297" s="89"/>
      <c r="O297" s="73"/>
      <c r="P297" s="68"/>
      <c r="Q297" s="51"/>
      <c r="R297" s="51" t="str">
        <f t="shared" si="4"/>
        <v/>
      </c>
      <c r="S297" s="51" t="str">
        <f t="shared" si="5"/>
        <v/>
      </c>
      <c r="T297" s="51" t="str">
        <f t="shared" si="6"/>
        <v/>
      </c>
      <c r="U297" s="51"/>
      <c r="V297" s="51"/>
      <c r="W297" s="51"/>
      <c r="X297" s="51"/>
      <c r="Y297" s="51"/>
      <c r="Z297" s="51"/>
      <c r="AA297" s="51"/>
      <c r="AB297" s="51"/>
      <c r="AC297" s="51"/>
      <c r="AD297" s="51" t="s">
        <v>2079</v>
      </c>
      <c r="AE297" s="51" t="s">
        <v>2080</v>
      </c>
      <c r="AF297" s="51" t="str">
        <f t="shared" si="9"/>
        <v>A679077</v>
      </c>
      <c r="AG297" s="51" t="str">
        <f>VLOOKUP(AF297,AKT!$C$4:$E$324,3,FALSE)</f>
        <v>0942</v>
      </c>
    </row>
    <row r="298" spans="1:33" ht="15.75" customHeight="1">
      <c r="A298" s="84"/>
      <c r="B298" s="79" t="str">
        <f t="shared" si="0"/>
        <v/>
      </c>
      <c r="C298" s="84"/>
      <c r="D298" s="79" t="str">
        <f t="shared" si="1"/>
        <v/>
      </c>
      <c r="E298" s="84"/>
      <c r="F298" s="79" t="str">
        <f t="shared" si="2"/>
        <v/>
      </c>
      <c r="G298" s="79" t="str">
        <f t="shared" si="3"/>
        <v/>
      </c>
      <c r="H298" s="67"/>
      <c r="I298" s="67"/>
      <c r="J298" s="67"/>
      <c r="K298" s="89"/>
      <c r="L298" s="90"/>
      <c r="M298" s="90"/>
      <c r="N298" s="89"/>
      <c r="O298" s="73"/>
      <c r="P298" s="68"/>
      <c r="Q298" s="51"/>
      <c r="R298" s="51" t="str">
        <f t="shared" si="4"/>
        <v/>
      </c>
      <c r="S298" s="51" t="str">
        <f t="shared" si="5"/>
        <v/>
      </c>
      <c r="T298" s="51" t="str">
        <f t="shared" si="6"/>
        <v/>
      </c>
      <c r="U298" s="51"/>
      <c r="V298" s="51"/>
      <c r="W298" s="51"/>
      <c r="X298" s="51"/>
      <c r="Y298" s="51"/>
      <c r="Z298" s="51"/>
      <c r="AA298" s="51"/>
      <c r="AB298" s="51"/>
      <c r="AC298" s="51"/>
      <c r="AD298" s="51" t="s">
        <v>2081</v>
      </c>
      <c r="AE298" s="51" t="s">
        <v>2082</v>
      </c>
      <c r="AF298" s="51" t="str">
        <f t="shared" si="9"/>
        <v>A679077</v>
      </c>
      <c r="AG298" s="51" t="str">
        <f>VLOOKUP(AF298,AKT!$C$4:$E$324,3,FALSE)</f>
        <v>0942</v>
      </c>
    </row>
    <row r="299" spans="1:33" ht="15.75" customHeight="1">
      <c r="A299" s="84"/>
      <c r="B299" s="79" t="str">
        <f t="shared" si="0"/>
        <v/>
      </c>
      <c r="C299" s="84"/>
      <c r="D299" s="79" t="str">
        <f t="shared" si="1"/>
        <v/>
      </c>
      <c r="E299" s="84"/>
      <c r="F299" s="79" t="str">
        <f t="shared" si="2"/>
        <v/>
      </c>
      <c r="G299" s="79" t="str">
        <f t="shared" si="3"/>
        <v/>
      </c>
      <c r="H299" s="67"/>
      <c r="I299" s="67"/>
      <c r="J299" s="67"/>
      <c r="K299" s="89"/>
      <c r="L299" s="90"/>
      <c r="M299" s="90"/>
      <c r="N299" s="89"/>
      <c r="O299" s="73"/>
      <c r="P299" s="68"/>
      <c r="Q299" s="51"/>
      <c r="R299" s="51" t="str">
        <f t="shared" si="4"/>
        <v/>
      </c>
      <c r="S299" s="51" t="str">
        <f t="shared" si="5"/>
        <v/>
      </c>
      <c r="T299" s="51" t="str">
        <f t="shared" si="6"/>
        <v/>
      </c>
      <c r="U299" s="51"/>
      <c r="V299" s="51"/>
      <c r="W299" s="51"/>
      <c r="X299" s="51"/>
      <c r="Y299" s="51"/>
      <c r="Z299" s="51"/>
      <c r="AA299" s="51"/>
      <c r="AB299" s="51"/>
      <c r="AC299" s="51"/>
      <c r="AD299" s="51" t="s">
        <v>2083</v>
      </c>
      <c r="AE299" s="51" t="s">
        <v>2084</v>
      </c>
      <c r="AF299" s="51" t="str">
        <f t="shared" si="9"/>
        <v>A679077</v>
      </c>
      <c r="AG299" s="51" t="str">
        <f>VLOOKUP(AF299,AKT!$C$4:$E$324,3,FALSE)</f>
        <v>0942</v>
      </c>
    </row>
    <row r="300" spans="1:33" ht="15.75" customHeight="1">
      <c r="A300" s="84"/>
      <c r="B300" s="79" t="str">
        <f t="shared" si="0"/>
        <v/>
      </c>
      <c r="C300" s="84"/>
      <c r="D300" s="79" t="str">
        <f t="shared" si="1"/>
        <v/>
      </c>
      <c r="E300" s="84"/>
      <c r="F300" s="79" t="str">
        <f t="shared" si="2"/>
        <v/>
      </c>
      <c r="G300" s="79" t="str">
        <f t="shared" si="3"/>
        <v/>
      </c>
      <c r="H300" s="67"/>
      <c r="I300" s="67"/>
      <c r="J300" s="67"/>
      <c r="K300" s="89"/>
      <c r="L300" s="90"/>
      <c r="M300" s="90"/>
      <c r="N300" s="89"/>
      <c r="O300" s="73"/>
      <c r="P300" s="68"/>
      <c r="Q300" s="51"/>
      <c r="R300" s="51" t="str">
        <f t="shared" si="4"/>
        <v/>
      </c>
      <c r="S300" s="51" t="str">
        <f t="shared" si="5"/>
        <v/>
      </c>
      <c r="T300" s="51" t="str">
        <f t="shared" si="6"/>
        <v/>
      </c>
      <c r="U300" s="51"/>
      <c r="V300" s="51"/>
      <c r="W300" s="51"/>
      <c r="X300" s="51"/>
      <c r="Y300" s="51"/>
      <c r="Z300" s="51"/>
      <c r="AA300" s="51"/>
      <c r="AB300" s="51"/>
      <c r="AC300" s="51"/>
      <c r="AD300" s="51" t="s">
        <v>2085</v>
      </c>
      <c r="AE300" s="51" t="s">
        <v>2086</v>
      </c>
      <c r="AF300" s="51" t="str">
        <f t="shared" si="9"/>
        <v>A679077</v>
      </c>
      <c r="AG300" s="51" t="str">
        <f>VLOOKUP(AF300,AKT!$C$4:$E$324,3,FALSE)</f>
        <v>0942</v>
      </c>
    </row>
    <row r="301" spans="1:33" ht="15.75" customHeight="1">
      <c r="A301" s="84"/>
      <c r="B301" s="79" t="str">
        <f t="shared" si="0"/>
        <v/>
      </c>
      <c r="C301" s="84"/>
      <c r="D301" s="79" t="str">
        <f t="shared" si="1"/>
        <v/>
      </c>
      <c r="E301" s="84"/>
      <c r="F301" s="79" t="str">
        <f t="shared" si="2"/>
        <v/>
      </c>
      <c r="G301" s="79" t="str">
        <f t="shared" si="3"/>
        <v/>
      </c>
      <c r="H301" s="67"/>
      <c r="I301" s="67"/>
      <c r="J301" s="67"/>
      <c r="K301" s="89"/>
      <c r="L301" s="90"/>
      <c r="M301" s="90"/>
      <c r="N301" s="89"/>
      <c r="O301" s="73"/>
      <c r="P301" s="68"/>
      <c r="Q301" s="51"/>
      <c r="R301" s="51" t="str">
        <f t="shared" si="4"/>
        <v/>
      </c>
      <c r="S301" s="51" t="str">
        <f t="shared" si="5"/>
        <v/>
      </c>
      <c r="T301" s="51" t="str">
        <f t="shared" si="6"/>
        <v/>
      </c>
      <c r="U301" s="51"/>
      <c r="V301" s="51"/>
      <c r="W301" s="51"/>
      <c r="X301" s="51"/>
      <c r="Y301" s="51"/>
      <c r="Z301" s="51"/>
      <c r="AA301" s="51"/>
      <c r="AB301" s="51"/>
      <c r="AC301" s="51"/>
      <c r="AD301" s="51" t="s">
        <v>2087</v>
      </c>
      <c r="AE301" s="51" t="s">
        <v>2088</v>
      </c>
      <c r="AF301" s="51" t="str">
        <f t="shared" si="9"/>
        <v>A679077</v>
      </c>
      <c r="AG301" s="51" t="str">
        <f>VLOOKUP(AF301,AKT!$C$4:$E$324,3,FALSE)</f>
        <v>0942</v>
      </c>
    </row>
    <row r="302" spans="1:33" ht="15.75" customHeight="1">
      <c r="A302" s="84"/>
      <c r="B302" s="79" t="str">
        <f t="shared" si="0"/>
        <v/>
      </c>
      <c r="C302" s="84"/>
      <c r="D302" s="79" t="str">
        <f t="shared" si="1"/>
        <v/>
      </c>
      <c r="E302" s="84"/>
      <c r="F302" s="79" t="str">
        <f t="shared" si="2"/>
        <v/>
      </c>
      <c r="G302" s="79" t="str">
        <f t="shared" si="3"/>
        <v/>
      </c>
      <c r="H302" s="67"/>
      <c r="I302" s="67"/>
      <c r="J302" s="67"/>
      <c r="K302" s="89"/>
      <c r="L302" s="90"/>
      <c r="M302" s="90"/>
      <c r="N302" s="89"/>
      <c r="O302" s="73"/>
      <c r="P302" s="68"/>
      <c r="Q302" s="51"/>
      <c r="R302" s="51" t="str">
        <f t="shared" si="4"/>
        <v/>
      </c>
      <c r="S302" s="51" t="str">
        <f t="shared" si="5"/>
        <v/>
      </c>
      <c r="T302" s="51" t="str">
        <f t="shared" si="6"/>
        <v/>
      </c>
      <c r="U302" s="51"/>
      <c r="V302" s="51"/>
      <c r="W302" s="51"/>
      <c r="X302" s="51"/>
      <c r="Y302" s="51"/>
      <c r="Z302" s="51"/>
      <c r="AA302" s="51"/>
      <c r="AB302" s="51"/>
      <c r="AC302" s="51"/>
      <c r="AD302" s="51" t="s">
        <v>2089</v>
      </c>
      <c r="AE302" s="51" t="s">
        <v>2090</v>
      </c>
      <c r="AF302" s="51" t="str">
        <f t="shared" si="9"/>
        <v>A679077</v>
      </c>
      <c r="AG302" s="51" t="str">
        <f>VLOOKUP(AF302,AKT!$C$4:$E$324,3,FALSE)</f>
        <v>0942</v>
      </c>
    </row>
    <row r="303" spans="1:33" ht="15.75" customHeight="1">
      <c r="A303" s="84"/>
      <c r="B303" s="79" t="str">
        <f t="shared" si="0"/>
        <v/>
      </c>
      <c r="C303" s="84"/>
      <c r="D303" s="79" t="str">
        <f t="shared" si="1"/>
        <v/>
      </c>
      <c r="E303" s="84"/>
      <c r="F303" s="79" t="str">
        <f t="shared" si="2"/>
        <v/>
      </c>
      <c r="G303" s="79" t="str">
        <f t="shared" si="3"/>
        <v/>
      </c>
      <c r="H303" s="67"/>
      <c r="I303" s="67"/>
      <c r="J303" s="67"/>
      <c r="K303" s="89"/>
      <c r="L303" s="90"/>
      <c r="M303" s="90"/>
      <c r="N303" s="89"/>
      <c r="O303" s="73"/>
      <c r="P303" s="68"/>
      <c r="Q303" s="51"/>
      <c r="R303" s="51" t="str">
        <f t="shared" si="4"/>
        <v/>
      </c>
      <c r="S303" s="51" t="str">
        <f t="shared" si="5"/>
        <v/>
      </c>
      <c r="T303" s="51" t="str">
        <f t="shared" si="6"/>
        <v/>
      </c>
      <c r="U303" s="51"/>
      <c r="V303" s="51"/>
      <c r="W303" s="51"/>
      <c r="X303" s="51"/>
      <c r="Y303" s="51"/>
      <c r="Z303" s="51"/>
      <c r="AA303" s="51"/>
      <c r="AB303" s="51"/>
      <c r="AC303" s="51"/>
      <c r="AD303" s="51" t="s">
        <v>2091</v>
      </c>
      <c r="AE303" s="51" t="s">
        <v>2092</v>
      </c>
      <c r="AF303" s="51" t="str">
        <f t="shared" si="9"/>
        <v>A679077</v>
      </c>
      <c r="AG303" s="51" t="str">
        <f>VLOOKUP(AF303,AKT!$C$4:$E$324,3,FALSE)</f>
        <v>0942</v>
      </c>
    </row>
    <row r="304" spans="1:33" ht="15.75" customHeight="1">
      <c r="A304" s="84"/>
      <c r="B304" s="79" t="str">
        <f t="shared" si="0"/>
        <v/>
      </c>
      <c r="C304" s="84"/>
      <c r="D304" s="79" t="str">
        <f t="shared" si="1"/>
        <v/>
      </c>
      <c r="E304" s="84"/>
      <c r="F304" s="79" t="str">
        <f t="shared" si="2"/>
        <v/>
      </c>
      <c r="G304" s="79" t="str">
        <f t="shared" si="3"/>
        <v/>
      </c>
      <c r="H304" s="67"/>
      <c r="I304" s="67"/>
      <c r="J304" s="67"/>
      <c r="K304" s="89"/>
      <c r="L304" s="90"/>
      <c r="M304" s="90"/>
      <c r="N304" s="89"/>
      <c r="O304" s="73"/>
      <c r="P304" s="68"/>
      <c r="Q304" s="51"/>
      <c r="R304" s="51" t="str">
        <f t="shared" si="4"/>
        <v/>
      </c>
      <c r="S304" s="51" t="str">
        <f t="shared" si="5"/>
        <v/>
      </c>
      <c r="T304" s="51" t="str">
        <f t="shared" si="6"/>
        <v/>
      </c>
      <c r="U304" s="51"/>
      <c r="V304" s="51"/>
      <c r="W304" s="51"/>
      <c r="X304" s="51"/>
      <c r="Y304" s="51"/>
      <c r="Z304" s="51"/>
      <c r="AA304" s="51"/>
      <c r="AB304" s="51"/>
      <c r="AC304" s="51"/>
      <c r="AD304" s="51" t="s">
        <v>2093</v>
      </c>
      <c r="AE304" s="51" t="s">
        <v>2094</v>
      </c>
      <c r="AF304" s="51" t="str">
        <f t="shared" si="9"/>
        <v>A679077</v>
      </c>
      <c r="AG304" s="51" t="str">
        <f>VLOOKUP(AF304,AKT!$C$4:$E$324,3,FALSE)</f>
        <v>0942</v>
      </c>
    </row>
    <row r="305" spans="1:33" ht="15.75" customHeight="1">
      <c r="A305" s="84"/>
      <c r="B305" s="79" t="str">
        <f t="shared" si="0"/>
        <v/>
      </c>
      <c r="C305" s="84"/>
      <c r="D305" s="79" t="str">
        <f t="shared" si="1"/>
        <v/>
      </c>
      <c r="E305" s="84"/>
      <c r="F305" s="79" t="str">
        <f t="shared" si="2"/>
        <v/>
      </c>
      <c r="G305" s="79" t="str">
        <f t="shared" si="3"/>
        <v/>
      </c>
      <c r="H305" s="67"/>
      <c r="I305" s="67"/>
      <c r="J305" s="67"/>
      <c r="K305" s="89"/>
      <c r="L305" s="90"/>
      <c r="M305" s="90"/>
      <c r="N305" s="89"/>
      <c r="O305" s="73"/>
      <c r="P305" s="68"/>
      <c r="Q305" s="51"/>
      <c r="R305" s="51" t="str">
        <f t="shared" si="4"/>
        <v/>
      </c>
      <c r="S305" s="51" t="str">
        <f t="shared" si="5"/>
        <v/>
      </c>
      <c r="T305" s="51" t="str">
        <f t="shared" si="6"/>
        <v/>
      </c>
      <c r="U305" s="51"/>
      <c r="V305" s="51"/>
      <c r="W305" s="51"/>
      <c r="X305" s="51"/>
      <c r="Y305" s="51"/>
      <c r="Z305" s="51"/>
      <c r="AA305" s="51"/>
      <c r="AB305" s="51"/>
      <c r="AC305" s="51"/>
      <c r="AD305" s="51" t="s">
        <v>2095</v>
      </c>
      <c r="AE305" s="51" t="s">
        <v>2096</v>
      </c>
      <c r="AF305" s="51" t="str">
        <f t="shared" si="9"/>
        <v>A679077</v>
      </c>
      <c r="AG305" s="51" t="str">
        <f>VLOOKUP(AF305,AKT!$C$4:$E$324,3,FALSE)</f>
        <v>0942</v>
      </c>
    </row>
    <row r="306" spans="1:33" ht="15.75" customHeight="1">
      <c r="A306" s="84"/>
      <c r="B306" s="79" t="str">
        <f t="shared" si="0"/>
        <v/>
      </c>
      <c r="C306" s="84"/>
      <c r="D306" s="79" t="str">
        <f t="shared" si="1"/>
        <v/>
      </c>
      <c r="E306" s="84"/>
      <c r="F306" s="79" t="str">
        <f t="shared" si="2"/>
        <v/>
      </c>
      <c r="G306" s="79" t="str">
        <f t="shared" si="3"/>
        <v/>
      </c>
      <c r="H306" s="67"/>
      <c r="I306" s="67"/>
      <c r="J306" s="67"/>
      <c r="K306" s="89"/>
      <c r="L306" s="90"/>
      <c r="M306" s="90"/>
      <c r="N306" s="89"/>
      <c r="O306" s="73"/>
      <c r="P306" s="68"/>
      <c r="Q306" s="51"/>
      <c r="R306" s="51" t="str">
        <f t="shared" si="4"/>
        <v/>
      </c>
      <c r="S306" s="51" t="str">
        <f t="shared" si="5"/>
        <v/>
      </c>
      <c r="T306" s="51" t="str">
        <f t="shared" si="6"/>
        <v/>
      </c>
      <c r="U306" s="51"/>
      <c r="V306" s="51"/>
      <c r="W306" s="51"/>
      <c r="X306" s="51"/>
      <c r="Y306" s="51"/>
      <c r="Z306" s="51"/>
      <c r="AA306" s="51"/>
      <c r="AB306" s="51"/>
      <c r="AC306" s="51"/>
      <c r="AD306" s="51" t="s">
        <v>2097</v>
      </c>
      <c r="AE306" s="51" t="s">
        <v>2098</v>
      </c>
      <c r="AF306" s="51" t="str">
        <f t="shared" si="9"/>
        <v>A679077</v>
      </c>
      <c r="AG306" s="51" t="str">
        <f>VLOOKUP(AF306,AKT!$C$4:$E$324,3,FALSE)</f>
        <v>0942</v>
      </c>
    </row>
    <row r="307" spans="1:33" ht="15.75" customHeight="1">
      <c r="A307" s="84"/>
      <c r="B307" s="79" t="str">
        <f t="shared" si="0"/>
        <v/>
      </c>
      <c r="C307" s="84"/>
      <c r="D307" s="79" t="str">
        <f t="shared" si="1"/>
        <v/>
      </c>
      <c r="E307" s="84"/>
      <c r="F307" s="79" t="str">
        <f t="shared" si="2"/>
        <v/>
      </c>
      <c r="G307" s="79" t="str">
        <f t="shared" si="3"/>
        <v/>
      </c>
      <c r="H307" s="67"/>
      <c r="I307" s="67"/>
      <c r="J307" s="67"/>
      <c r="K307" s="89"/>
      <c r="L307" s="90"/>
      <c r="M307" s="90"/>
      <c r="N307" s="89"/>
      <c r="O307" s="73"/>
      <c r="P307" s="68"/>
      <c r="Q307" s="51"/>
      <c r="R307" s="51" t="str">
        <f t="shared" si="4"/>
        <v/>
      </c>
      <c r="S307" s="51" t="str">
        <f t="shared" si="5"/>
        <v/>
      </c>
      <c r="T307" s="51" t="str">
        <f t="shared" si="6"/>
        <v/>
      </c>
      <c r="U307" s="51"/>
      <c r="V307" s="51"/>
      <c r="W307" s="51"/>
      <c r="X307" s="51"/>
      <c r="Y307" s="51"/>
      <c r="Z307" s="51"/>
      <c r="AA307" s="51"/>
      <c r="AB307" s="51"/>
      <c r="AC307" s="51"/>
      <c r="AD307" s="51" t="s">
        <v>2099</v>
      </c>
      <c r="AE307" s="51" t="s">
        <v>2100</v>
      </c>
      <c r="AF307" s="51" t="str">
        <f t="shared" si="9"/>
        <v>A679077</v>
      </c>
      <c r="AG307" s="51" t="str">
        <f>VLOOKUP(AF307,AKT!$C$4:$E$324,3,FALSE)</f>
        <v>0942</v>
      </c>
    </row>
    <row r="308" spans="1:33" ht="15.75" customHeight="1">
      <c r="A308" s="84"/>
      <c r="B308" s="79" t="str">
        <f t="shared" si="0"/>
        <v/>
      </c>
      <c r="C308" s="84"/>
      <c r="D308" s="79" t="str">
        <f t="shared" si="1"/>
        <v/>
      </c>
      <c r="E308" s="84"/>
      <c r="F308" s="79" t="str">
        <f t="shared" si="2"/>
        <v/>
      </c>
      <c r="G308" s="79" t="str">
        <f t="shared" si="3"/>
        <v/>
      </c>
      <c r="H308" s="67"/>
      <c r="I308" s="67"/>
      <c r="J308" s="67"/>
      <c r="K308" s="89"/>
      <c r="L308" s="90"/>
      <c r="M308" s="90"/>
      <c r="N308" s="89"/>
      <c r="O308" s="73"/>
      <c r="P308" s="68"/>
      <c r="Q308" s="51"/>
      <c r="R308" s="51" t="str">
        <f t="shared" si="4"/>
        <v/>
      </c>
      <c r="S308" s="51" t="str">
        <f t="shared" si="5"/>
        <v/>
      </c>
      <c r="T308" s="51" t="str">
        <f t="shared" si="6"/>
        <v/>
      </c>
      <c r="U308" s="51"/>
      <c r="V308" s="51"/>
      <c r="W308" s="51"/>
      <c r="X308" s="51"/>
      <c r="Y308" s="51"/>
      <c r="Z308" s="51"/>
      <c r="AA308" s="51"/>
      <c r="AB308" s="51"/>
      <c r="AC308" s="51"/>
      <c r="AD308" s="51" t="s">
        <v>2101</v>
      </c>
      <c r="AE308" s="51" t="s">
        <v>2102</v>
      </c>
      <c r="AF308" s="51" t="str">
        <f t="shared" si="9"/>
        <v>A679077</v>
      </c>
      <c r="AG308" s="51" t="str">
        <f>VLOOKUP(AF308,AKT!$C$4:$E$324,3,FALSE)</f>
        <v>0942</v>
      </c>
    </row>
    <row r="309" spans="1:33" ht="15.75" customHeight="1">
      <c r="A309" s="84"/>
      <c r="B309" s="79" t="str">
        <f t="shared" si="0"/>
        <v/>
      </c>
      <c r="C309" s="84"/>
      <c r="D309" s="79" t="str">
        <f t="shared" si="1"/>
        <v/>
      </c>
      <c r="E309" s="84"/>
      <c r="F309" s="79" t="str">
        <f t="shared" si="2"/>
        <v/>
      </c>
      <c r="G309" s="79" t="str">
        <f t="shared" si="3"/>
        <v/>
      </c>
      <c r="H309" s="67"/>
      <c r="I309" s="67"/>
      <c r="J309" s="67"/>
      <c r="K309" s="89"/>
      <c r="L309" s="90"/>
      <c r="M309" s="90"/>
      <c r="N309" s="89"/>
      <c r="O309" s="73"/>
      <c r="P309" s="68"/>
      <c r="Q309" s="51"/>
      <c r="R309" s="51" t="str">
        <f t="shared" si="4"/>
        <v/>
      </c>
      <c r="S309" s="51" t="str">
        <f t="shared" si="5"/>
        <v/>
      </c>
      <c r="T309" s="51" t="str">
        <f t="shared" si="6"/>
        <v/>
      </c>
      <c r="U309" s="51"/>
      <c r="V309" s="51"/>
      <c r="W309" s="51"/>
      <c r="X309" s="51"/>
      <c r="Y309" s="51"/>
      <c r="Z309" s="51"/>
      <c r="AA309" s="51"/>
      <c r="AB309" s="51"/>
      <c r="AC309" s="51"/>
      <c r="AD309" s="51" t="s">
        <v>2103</v>
      </c>
      <c r="AE309" s="51" t="s">
        <v>2104</v>
      </c>
      <c r="AF309" s="51" t="str">
        <f t="shared" si="9"/>
        <v>A679077</v>
      </c>
      <c r="AG309" s="51" t="str">
        <f>VLOOKUP(AF309,AKT!$C$4:$E$324,3,FALSE)</f>
        <v>0942</v>
      </c>
    </row>
    <row r="310" spans="1:33" ht="15.75" customHeight="1">
      <c r="A310" s="84"/>
      <c r="B310" s="79" t="str">
        <f t="shared" si="0"/>
        <v/>
      </c>
      <c r="C310" s="84"/>
      <c r="D310" s="79" t="str">
        <f t="shared" si="1"/>
        <v/>
      </c>
      <c r="E310" s="84"/>
      <c r="F310" s="79" t="str">
        <f t="shared" si="2"/>
        <v/>
      </c>
      <c r="G310" s="79" t="str">
        <f t="shared" si="3"/>
        <v/>
      </c>
      <c r="H310" s="67"/>
      <c r="I310" s="67"/>
      <c r="J310" s="67"/>
      <c r="K310" s="89"/>
      <c r="L310" s="90"/>
      <c r="M310" s="90"/>
      <c r="N310" s="89"/>
      <c r="O310" s="73"/>
      <c r="P310" s="68"/>
      <c r="Q310" s="51"/>
      <c r="R310" s="51" t="str">
        <f t="shared" si="4"/>
        <v/>
      </c>
      <c r="S310" s="51" t="str">
        <f t="shared" si="5"/>
        <v/>
      </c>
      <c r="T310" s="51" t="str">
        <f t="shared" si="6"/>
        <v/>
      </c>
      <c r="U310" s="51"/>
      <c r="V310" s="51"/>
      <c r="W310" s="51"/>
      <c r="X310" s="51"/>
      <c r="Y310" s="51"/>
      <c r="Z310" s="51"/>
      <c r="AA310" s="51"/>
      <c r="AB310" s="51"/>
      <c r="AC310" s="51"/>
      <c r="AD310" s="51" t="s">
        <v>2105</v>
      </c>
      <c r="AE310" s="51" t="s">
        <v>2106</v>
      </c>
      <c r="AF310" s="51" t="str">
        <f t="shared" si="9"/>
        <v>A679077</v>
      </c>
      <c r="AG310" s="51" t="str">
        <f>VLOOKUP(AF310,AKT!$C$4:$E$324,3,FALSE)</f>
        <v>0942</v>
      </c>
    </row>
    <row r="311" spans="1:33" ht="15.75" customHeight="1">
      <c r="A311" s="84"/>
      <c r="B311" s="79" t="str">
        <f t="shared" si="0"/>
        <v/>
      </c>
      <c r="C311" s="84"/>
      <c r="D311" s="79" t="str">
        <f t="shared" si="1"/>
        <v/>
      </c>
      <c r="E311" s="84"/>
      <c r="F311" s="79" t="str">
        <f t="shared" si="2"/>
        <v/>
      </c>
      <c r="G311" s="79" t="str">
        <f t="shared" si="3"/>
        <v/>
      </c>
      <c r="H311" s="67"/>
      <c r="I311" s="67"/>
      <c r="J311" s="67"/>
      <c r="K311" s="89"/>
      <c r="L311" s="90"/>
      <c r="M311" s="90"/>
      <c r="N311" s="89"/>
      <c r="O311" s="73"/>
      <c r="P311" s="68"/>
      <c r="Q311" s="51"/>
      <c r="R311" s="51" t="str">
        <f t="shared" si="4"/>
        <v/>
      </c>
      <c r="S311" s="51" t="str">
        <f t="shared" si="5"/>
        <v/>
      </c>
      <c r="T311" s="51" t="str">
        <f t="shared" si="6"/>
        <v/>
      </c>
      <c r="U311" s="51"/>
      <c r="V311" s="51"/>
      <c r="W311" s="51"/>
      <c r="X311" s="51"/>
      <c r="Y311" s="51"/>
      <c r="Z311" s="51"/>
      <c r="AA311" s="51"/>
      <c r="AB311" s="51"/>
      <c r="AC311" s="51"/>
      <c r="AD311" s="51" t="s">
        <v>2107</v>
      </c>
      <c r="AE311" s="51" t="s">
        <v>2108</v>
      </c>
      <c r="AF311" s="51" t="str">
        <f t="shared" si="9"/>
        <v>A679077</v>
      </c>
      <c r="AG311" s="51" t="str">
        <f>VLOOKUP(AF311,AKT!$C$4:$E$324,3,FALSE)</f>
        <v>0942</v>
      </c>
    </row>
    <row r="312" spans="1:33" ht="15.75" customHeight="1">
      <c r="A312" s="84"/>
      <c r="B312" s="79" t="str">
        <f t="shared" si="0"/>
        <v/>
      </c>
      <c r="C312" s="84"/>
      <c r="D312" s="79" t="str">
        <f t="shared" si="1"/>
        <v/>
      </c>
      <c r="E312" s="84"/>
      <c r="F312" s="79" t="str">
        <f t="shared" si="2"/>
        <v/>
      </c>
      <c r="G312" s="79" t="str">
        <f t="shared" si="3"/>
        <v/>
      </c>
      <c r="H312" s="67"/>
      <c r="I312" s="67"/>
      <c r="J312" s="67"/>
      <c r="K312" s="89"/>
      <c r="L312" s="90"/>
      <c r="M312" s="90"/>
      <c r="N312" s="89"/>
      <c r="O312" s="73"/>
      <c r="P312" s="68"/>
      <c r="Q312" s="51"/>
      <c r="R312" s="51" t="str">
        <f t="shared" si="4"/>
        <v/>
      </c>
      <c r="S312" s="51" t="str">
        <f t="shared" si="5"/>
        <v/>
      </c>
      <c r="T312" s="51" t="str">
        <f t="shared" si="6"/>
        <v/>
      </c>
      <c r="U312" s="51"/>
      <c r="V312" s="51"/>
      <c r="W312" s="51"/>
      <c r="X312" s="51"/>
      <c r="Y312" s="51"/>
      <c r="Z312" s="51"/>
      <c r="AA312" s="51"/>
      <c r="AB312" s="51"/>
      <c r="AC312" s="51"/>
      <c r="AD312" s="51" t="s">
        <v>2109</v>
      </c>
      <c r="AE312" s="51" t="s">
        <v>2110</v>
      </c>
      <c r="AF312" s="51" t="str">
        <f t="shared" si="9"/>
        <v>A679077</v>
      </c>
      <c r="AG312" s="51" t="str">
        <f>VLOOKUP(AF312,AKT!$C$4:$E$324,3,FALSE)</f>
        <v>0942</v>
      </c>
    </row>
    <row r="313" spans="1:33" ht="15.75" customHeight="1">
      <c r="A313" s="84"/>
      <c r="B313" s="79" t="str">
        <f t="shared" si="0"/>
        <v/>
      </c>
      <c r="C313" s="84"/>
      <c r="D313" s="79" t="str">
        <f t="shared" si="1"/>
        <v/>
      </c>
      <c r="E313" s="84"/>
      <c r="F313" s="79" t="str">
        <f t="shared" si="2"/>
        <v/>
      </c>
      <c r="G313" s="79" t="str">
        <f t="shared" si="3"/>
        <v/>
      </c>
      <c r="H313" s="67"/>
      <c r="I313" s="67"/>
      <c r="J313" s="67"/>
      <c r="K313" s="89"/>
      <c r="L313" s="90"/>
      <c r="M313" s="90"/>
      <c r="N313" s="89"/>
      <c r="O313" s="73"/>
      <c r="P313" s="68"/>
      <c r="Q313" s="51"/>
      <c r="R313" s="51" t="str">
        <f t="shared" si="4"/>
        <v/>
      </c>
      <c r="S313" s="51" t="str">
        <f t="shared" si="5"/>
        <v/>
      </c>
      <c r="T313" s="51" t="str">
        <f t="shared" si="6"/>
        <v/>
      </c>
      <c r="U313" s="51"/>
      <c r="V313" s="51"/>
      <c r="W313" s="51"/>
      <c r="X313" s="51"/>
      <c r="Y313" s="51"/>
      <c r="Z313" s="51"/>
      <c r="AA313" s="51"/>
      <c r="AB313" s="51"/>
      <c r="AC313" s="51"/>
      <c r="AD313" s="51" t="s">
        <v>2111</v>
      </c>
      <c r="AE313" s="51" t="s">
        <v>2112</v>
      </c>
      <c r="AF313" s="51" t="str">
        <f t="shared" si="9"/>
        <v>A679077</v>
      </c>
      <c r="AG313" s="51" t="str">
        <f>VLOOKUP(AF313,AKT!$C$4:$E$324,3,FALSE)</f>
        <v>0942</v>
      </c>
    </row>
    <row r="314" spans="1:33" ht="15.75" customHeight="1">
      <c r="A314" s="84"/>
      <c r="B314" s="79" t="str">
        <f t="shared" si="0"/>
        <v/>
      </c>
      <c r="C314" s="84"/>
      <c r="D314" s="79" t="str">
        <f t="shared" si="1"/>
        <v/>
      </c>
      <c r="E314" s="84"/>
      <c r="F314" s="79" t="str">
        <f t="shared" si="2"/>
        <v/>
      </c>
      <c r="G314" s="79" t="str">
        <f t="shared" si="3"/>
        <v/>
      </c>
      <c r="H314" s="67"/>
      <c r="I314" s="67"/>
      <c r="J314" s="67"/>
      <c r="K314" s="89"/>
      <c r="L314" s="90"/>
      <c r="M314" s="90"/>
      <c r="N314" s="89"/>
      <c r="O314" s="73"/>
      <c r="P314" s="68"/>
      <c r="Q314" s="51"/>
      <c r="R314" s="51" t="str">
        <f t="shared" si="4"/>
        <v/>
      </c>
      <c r="S314" s="51" t="str">
        <f t="shared" si="5"/>
        <v/>
      </c>
      <c r="T314" s="51" t="str">
        <f t="shared" si="6"/>
        <v/>
      </c>
      <c r="U314" s="51"/>
      <c r="V314" s="51"/>
      <c r="W314" s="51"/>
      <c r="X314" s="51"/>
      <c r="Y314" s="51"/>
      <c r="Z314" s="51"/>
      <c r="AA314" s="51"/>
      <c r="AB314" s="51"/>
      <c r="AC314" s="51"/>
      <c r="AD314" s="51" t="s">
        <v>2113</v>
      </c>
      <c r="AE314" s="51" t="s">
        <v>2114</v>
      </c>
      <c r="AF314" s="51" t="str">
        <f t="shared" si="9"/>
        <v>A679077</v>
      </c>
      <c r="AG314" s="51" t="str">
        <f>VLOOKUP(AF314,AKT!$C$4:$E$324,3,FALSE)</f>
        <v>0942</v>
      </c>
    </row>
    <row r="315" spans="1:33" ht="15.75" customHeight="1">
      <c r="A315" s="84"/>
      <c r="B315" s="79" t="str">
        <f t="shared" si="0"/>
        <v/>
      </c>
      <c r="C315" s="84"/>
      <c r="D315" s="79" t="str">
        <f t="shared" si="1"/>
        <v/>
      </c>
      <c r="E315" s="84"/>
      <c r="F315" s="79" t="str">
        <f t="shared" si="2"/>
        <v/>
      </c>
      <c r="G315" s="79" t="str">
        <f t="shared" si="3"/>
        <v/>
      </c>
      <c r="H315" s="67"/>
      <c r="I315" s="67"/>
      <c r="J315" s="67"/>
      <c r="K315" s="89"/>
      <c r="L315" s="90"/>
      <c r="M315" s="90"/>
      <c r="N315" s="89"/>
      <c r="O315" s="73"/>
      <c r="P315" s="68"/>
      <c r="Q315" s="51"/>
      <c r="R315" s="51" t="str">
        <f t="shared" si="4"/>
        <v/>
      </c>
      <c r="S315" s="51" t="str">
        <f t="shared" si="5"/>
        <v/>
      </c>
      <c r="T315" s="51" t="str">
        <f t="shared" si="6"/>
        <v/>
      </c>
      <c r="U315" s="51"/>
      <c r="V315" s="51"/>
      <c r="W315" s="51"/>
      <c r="X315" s="51"/>
      <c r="Y315" s="51"/>
      <c r="Z315" s="51"/>
      <c r="AA315" s="51"/>
      <c r="AB315" s="51"/>
      <c r="AC315" s="51"/>
      <c r="AD315" s="51" t="s">
        <v>2115</v>
      </c>
      <c r="AE315" s="51" t="s">
        <v>2116</v>
      </c>
      <c r="AF315" s="51" t="str">
        <f t="shared" si="9"/>
        <v>A679077</v>
      </c>
      <c r="AG315" s="51" t="str">
        <f>VLOOKUP(AF315,AKT!$C$4:$E$324,3,FALSE)</f>
        <v>0942</v>
      </c>
    </row>
    <row r="316" spans="1:33" ht="15.75" customHeight="1">
      <c r="A316" s="84"/>
      <c r="B316" s="79" t="str">
        <f t="shared" si="0"/>
        <v/>
      </c>
      <c r="C316" s="84"/>
      <c r="D316" s="79" t="str">
        <f t="shared" si="1"/>
        <v/>
      </c>
      <c r="E316" s="84"/>
      <c r="F316" s="79" t="str">
        <f t="shared" si="2"/>
        <v/>
      </c>
      <c r="G316" s="79" t="str">
        <f t="shared" si="3"/>
        <v/>
      </c>
      <c r="H316" s="67"/>
      <c r="I316" s="67"/>
      <c r="J316" s="67"/>
      <c r="K316" s="89"/>
      <c r="L316" s="90"/>
      <c r="M316" s="90"/>
      <c r="N316" s="89"/>
      <c r="O316" s="73"/>
      <c r="P316" s="68"/>
      <c r="Q316" s="51"/>
      <c r="R316" s="51" t="str">
        <f t="shared" si="4"/>
        <v/>
      </c>
      <c r="S316" s="51" t="str">
        <f t="shared" si="5"/>
        <v/>
      </c>
      <c r="T316" s="51" t="str">
        <f t="shared" si="6"/>
        <v/>
      </c>
      <c r="U316" s="51"/>
      <c r="V316" s="51"/>
      <c r="W316" s="51"/>
      <c r="X316" s="51"/>
      <c r="Y316" s="51"/>
      <c r="Z316" s="51"/>
      <c r="AA316" s="51"/>
      <c r="AB316" s="51"/>
      <c r="AC316" s="51"/>
      <c r="AD316" s="51" t="s">
        <v>2117</v>
      </c>
      <c r="AE316" s="51" t="s">
        <v>2116</v>
      </c>
      <c r="AF316" s="51" t="str">
        <f t="shared" si="9"/>
        <v>A679077</v>
      </c>
      <c r="AG316" s="51" t="str">
        <f>VLOOKUP(AF316,AKT!$C$4:$E$324,3,FALSE)</f>
        <v>0942</v>
      </c>
    </row>
    <row r="317" spans="1:33" ht="15.75" customHeight="1">
      <c r="A317" s="84"/>
      <c r="B317" s="79" t="str">
        <f t="shared" si="0"/>
        <v/>
      </c>
      <c r="C317" s="84"/>
      <c r="D317" s="79" t="str">
        <f t="shared" si="1"/>
        <v/>
      </c>
      <c r="E317" s="84"/>
      <c r="F317" s="79" t="str">
        <f t="shared" si="2"/>
        <v/>
      </c>
      <c r="G317" s="79" t="str">
        <f t="shared" si="3"/>
        <v/>
      </c>
      <c r="H317" s="67"/>
      <c r="I317" s="67"/>
      <c r="J317" s="67"/>
      <c r="K317" s="89"/>
      <c r="L317" s="90"/>
      <c r="M317" s="90"/>
      <c r="N317" s="89"/>
      <c r="O317" s="73"/>
      <c r="P317" s="68"/>
      <c r="Q317" s="51"/>
      <c r="R317" s="51" t="str">
        <f t="shared" si="4"/>
        <v/>
      </c>
      <c r="S317" s="51" t="str">
        <f t="shared" si="5"/>
        <v/>
      </c>
      <c r="T317" s="51" t="str">
        <f t="shared" si="6"/>
        <v/>
      </c>
      <c r="U317" s="51"/>
      <c r="V317" s="51"/>
      <c r="W317" s="51"/>
      <c r="X317" s="51"/>
      <c r="Y317" s="51"/>
      <c r="Z317" s="51"/>
      <c r="AA317" s="51"/>
      <c r="AB317" s="51"/>
      <c r="AC317" s="51"/>
      <c r="AD317" s="51" t="s">
        <v>2118</v>
      </c>
      <c r="AE317" s="51" t="s">
        <v>2119</v>
      </c>
      <c r="AF317" s="51" t="str">
        <f t="shared" si="9"/>
        <v>A679077</v>
      </c>
      <c r="AG317" s="51" t="str">
        <f>VLOOKUP(AF317,AKT!$C$4:$E$324,3,FALSE)</f>
        <v>0942</v>
      </c>
    </row>
    <row r="318" spans="1:33" ht="15.75" customHeight="1">
      <c r="A318" s="84"/>
      <c r="B318" s="79" t="str">
        <f t="shared" si="0"/>
        <v/>
      </c>
      <c r="C318" s="84"/>
      <c r="D318" s="79" t="str">
        <f t="shared" si="1"/>
        <v/>
      </c>
      <c r="E318" s="84"/>
      <c r="F318" s="79" t="str">
        <f t="shared" si="2"/>
        <v/>
      </c>
      <c r="G318" s="79" t="str">
        <f t="shared" si="3"/>
        <v/>
      </c>
      <c r="H318" s="67"/>
      <c r="I318" s="67"/>
      <c r="J318" s="67"/>
      <c r="K318" s="89"/>
      <c r="L318" s="90"/>
      <c r="M318" s="90"/>
      <c r="N318" s="89"/>
      <c r="O318" s="73"/>
      <c r="P318" s="68"/>
      <c r="Q318" s="51"/>
      <c r="R318" s="51" t="str">
        <f t="shared" si="4"/>
        <v/>
      </c>
      <c r="S318" s="51" t="str">
        <f t="shared" si="5"/>
        <v/>
      </c>
      <c r="T318" s="51" t="str">
        <f t="shared" si="6"/>
        <v/>
      </c>
      <c r="U318" s="51"/>
      <c r="V318" s="51"/>
      <c r="W318" s="51"/>
      <c r="X318" s="51"/>
      <c r="Y318" s="51"/>
      <c r="Z318" s="51"/>
      <c r="AA318" s="51"/>
      <c r="AB318" s="51"/>
      <c r="AC318" s="51"/>
      <c r="AD318" s="51" t="s">
        <v>2120</v>
      </c>
      <c r="AE318" s="51" t="s">
        <v>2119</v>
      </c>
      <c r="AF318" s="51" t="str">
        <f t="shared" si="9"/>
        <v>A679077</v>
      </c>
      <c r="AG318" s="51" t="str">
        <f>VLOOKUP(AF318,AKT!$C$4:$E$324,3,FALSE)</f>
        <v>0942</v>
      </c>
    </row>
    <row r="319" spans="1:33" ht="15.75" customHeight="1">
      <c r="A319" s="84"/>
      <c r="B319" s="79" t="str">
        <f t="shared" si="0"/>
        <v/>
      </c>
      <c r="C319" s="84"/>
      <c r="D319" s="79" t="str">
        <f t="shared" si="1"/>
        <v/>
      </c>
      <c r="E319" s="84"/>
      <c r="F319" s="79" t="str">
        <f t="shared" si="2"/>
        <v/>
      </c>
      <c r="G319" s="79" t="str">
        <f t="shared" si="3"/>
        <v/>
      </c>
      <c r="H319" s="67"/>
      <c r="I319" s="67"/>
      <c r="J319" s="67"/>
      <c r="K319" s="89"/>
      <c r="L319" s="90"/>
      <c r="M319" s="90"/>
      <c r="N319" s="89"/>
      <c r="O319" s="73"/>
      <c r="P319" s="68"/>
      <c r="Q319" s="51"/>
      <c r="R319" s="51" t="str">
        <f t="shared" si="4"/>
        <v/>
      </c>
      <c r="S319" s="51" t="str">
        <f t="shared" si="5"/>
        <v/>
      </c>
      <c r="T319" s="51" t="str">
        <f t="shared" si="6"/>
        <v/>
      </c>
      <c r="U319" s="51"/>
      <c r="V319" s="51"/>
      <c r="W319" s="51"/>
      <c r="X319" s="51"/>
      <c r="Y319" s="51"/>
      <c r="Z319" s="51"/>
      <c r="AA319" s="51"/>
      <c r="AB319" s="51"/>
      <c r="AC319" s="51"/>
      <c r="AD319" s="51" t="s">
        <v>2121</v>
      </c>
      <c r="AE319" s="51" t="s">
        <v>2122</v>
      </c>
      <c r="AF319" s="51" t="str">
        <f t="shared" si="9"/>
        <v>A679077</v>
      </c>
      <c r="AG319" s="51" t="str">
        <f>VLOOKUP(AF319,AKT!$C$4:$E$324,3,FALSE)</f>
        <v>0942</v>
      </c>
    </row>
    <row r="320" spans="1:33" ht="15.75" customHeight="1">
      <c r="A320" s="84"/>
      <c r="B320" s="79" t="str">
        <f t="shared" si="0"/>
        <v/>
      </c>
      <c r="C320" s="84"/>
      <c r="D320" s="79" t="str">
        <f t="shared" si="1"/>
        <v/>
      </c>
      <c r="E320" s="84"/>
      <c r="F320" s="79" t="str">
        <f t="shared" si="2"/>
        <v/>
      </c>
      <c r="G320" s="79" t="str">
        <f t="shared" si="3"/>
        <v/>
      </c>
      <c r="H320" s="67"/>
      <c r="I320" s="67"/>
      <c r="J320" s="67"/>
      <c r="K320" s="89"/>
      <c r="L320" s="90"/>
      <c r="M320" s="90"/>
      <c r="N320" s="89"/>
      <c r="O320" s="73"/>
      <c r="P320" s="68"/>
      <c r="Q320" s="51"/>
      <c r="R320" s="51" t="str">
        <f t="shared" si="4"/>
        <v/>
      </c>
      <c r="S320" s="51" t="str">
        <f t="shared" si="5"/>
        <v/>
      </c>
      <c r="T320" s="51" t="str">
        <f t="shared" si="6"/>
        <v/>
      </c>
      <c r="U320" s="51"/>
      <c r="V320" s="51"/>
      <c r="W320" s="51"/>
      <c r="X320" s="51"/>
      <c r="Y320" s="51"/>
      <c r="Z320" s="51"/>
      <c r="AA320" s="51"/>
      <c r="AB320" s="51"/>
      <c r="AC320" s="51"/>
      <c r="AD320" s="51" t="s">
        <v>2123</v>
      </c>
      <c r="AE320" s="51" t="s">
        <v>2124</v>
      </c>
      <c r="AF320" s="51" t="str">
        <f t="shared" si="9"/>
        <v>A679077</v>
      </c>
      <c r="AG320" s="51" t="str">
        <f>VLOOKUP(AF320,AKT!$C$4:$E$324,3,FALSE)</f>
        <v>0942</v>
      </c>
    </row>
    <row r="321" spans="1:33" ht="15.75" customHeight="1">
      <c r="A321" s="84"/>
      <c r="B321" s="79" t="str">
        <f t="shared" si="0"/>
        <v/>
      </c>
      <c r="C321" s="84"/>
      <c r="D321" s="79" t="str">
        <f t="shared" si="1"/>
        <v/>
      </c>
      <c r="E321" s="84"/>
      <c r="F321" s="79" t="str">
        <f t="shared" si="2"/>
        <v/>
      </c>
      <c r="G321" s="79" t="str">
        <f t="shared" si="3"/>
        <v/>
      </c>
      <c r="H321" s="67"/>
      <c r="I321" s="67"/>
      <c r="J321" s="67"/>
      <c r="K321" s="89"/>
      <c r="L321" s="90"/>
      <c r="M321" s="90"/>
      <c r="N321" s="89"/>
      <c r="O321" s="73"/>
      <c r="P321" s="68"/>
      <c r="Q321" s="51"/>
      <c r="R321" s="51" t="str">
        <f t="shared" si="4"/>
        <v/>
      </c>
      <c r="S321" s="51" t="str">
        <f t="shared" si="5"/>
        <v/>
      </c>
      <c r="T321" s="51" t="str">
        <f t="shared" si="6"/>
        <v/>
      </c>
      <c r="U321" s="51"/>
      <c r="V321" s="51"/>
      <c r="W321" s="51"/>
      <c r="X321" s="51"/>
      <c r="Y321" s="51"/>
      <c r="Z321" s="51"/>
      <c r="AA321" s="51"/>
      <c r="AB321" s="51"/>
      <c r="AC321" s="51"/>
      <c r="AD321" s="51" t="s">
        <v>2125</v>
      </c>
      <c r="AE321" s="51" t="s">
        <v>2126</v>
      </c>
      <c r="AF321" s="51" t="str">
        <f t="shared" si="9"/>
        <v>A679077</v>
      </c>
      <c r="AG321" s="51" t="str">
        <f>VLOOKUP(AF321,AKT!$C$4:$E$324,3,FALSE)</f>
        <v>0942</v>
      </c>
    </row>
    <row r="322" spans="1:33" ht="15.75" customHeight="1">
      <c r="A322" s="84"/>
      <c r="B322" s="79" t="str">
        <f t="shared" si="0"/>
        <v/>
      </c>
      <c r="C322" s="84"/>
      <c r="D322" s="79" t="str">
        <f t="shared" si="1"/>
        <v/>
      </c>
      <c r="E322" s="84"/>
      <c r="F322" s="79" t="str">
        <f t="shared" si="2"/>
        <v/>
      </c>
      <c r="G322" s="79" t="str">
        <f t="shared" si="3"/>
        <v/>
      </c>
      <c r="H322" s="67"/>
      <c r="I322" s="67"/>
      <c r="J322" s="67"/>
      <c r="K322" s="89"/>
      <c r="L322" s="90"/>
      <c r="M322" s="90"/>
      <c r="N322" s="89"/>
      <c r="O322" s="73"/>
      <c r="P322" s="68"/>
      <c r="Q322" s="51"/>
      <c r="R322" s="51" t="str">
        <f t="shared" si="4"/>
        <v/>
      </c>
      <c r="S322" s="51" t="str">
        <f t="shared" si="5"/>
        <v/>
      </c>
      <c r="T322" s="51" t="str">
        <f t="shared" si="6"/>
        <v/>
      </c>
      <c r="U322" s="51"/>
      <c r="V322" s="51"/>
      <c r="W322" s="51"/>
      <c r="X322" s="51"/>
      <c r="Y322" s="51"/>
      <c r="Z322" s="51"/>
      <c r="AA322" s="51"/>
      <c r="AB322" s="51"/>
      <c r="AC322" s="51"/>
      <c r="AD322" s="51" t="s">
        <v>2127</v>
      </c>
      <c r="AE322" s="51" t="s">
        <v>2128</v>
      </c>
      <c r="AF322" s="51" t="str">
        <f t="shared" si="9"/>
        <v>A679077</v>
      </c>
      <c r="AG322" s="51" t="str">
        <f>VLOOKUP(AF322,AKT!$C$4:$E$324,3,FALSE)</f>
        <v>0942</v>
      </c>
    </row>
    <row r="323" spans="1:33" ht="15.75" customHeight="1">
      <c r="A323" s="84"/>
      <c r="B323" s="79" t="str">
        <f t="shared" si="0"/>
        <v/>
      </c>
      <c r="C323" s="84"/>
      <c r="D323" s="79" t="str">
        <f t="shared" si="1"/>
        <v/>
      </c>
      <c r="E323" s="84"/>
      <c r="F323" s="79" t="str">
        <f t="shared" si="2"/>
        <v/>
      </c>
      <c r="G323" s="79" t="str">
        <f t="shared" si="3"/>
        <v/>
      </c>
      <c r="H323" s="67"/>
      <c r="I323" s="67"/>
      <c r="J323" s="67"/>
      <c r="K323" s="89"/>
      <c r="L323" s="90"/>
      <c r="M323" s="90"/>
      <c r="N323" s="89"/>
      <c r="O323" s="73"/>
      <c r="P323" s="68"/>
      <c r="Q323" s="51"/>
      <c r="R323" s="51" t="str">
        <f t="shared" si="4"/>
        <v/>
      </c>
      <c r="S323" s="51" t="str">
        <f t="shared" si="5"/>
        <v/>
      </c>
      <c r="T323" s="51" t="str">
        <f t="shared" si="6"/>
        <v/>
      </c>
      <c r="U323" s="51"/>
      <c r="V323" s="51"/>
      <c r="W323" s="51"/>
      <c r="X323" s="51"/>
      <c r="Y323" s="51"/>
      <c r="Z323" s="51"/>
      <c r="AA323" s="51"/>
      <c r="AB323" s="51"/>
      <c r="AC323" s="51"/>
      <c r="AD323" s="51" t="s">
        <v>2129</v>
      </c>
      <c r="AE323" s="51" t="s">
        <v>2130</v>
      </c>
      <c r="AF323" s="51" t="str">
        <f t="shared" si="9"/>
        <v>A679077</v>
      </c>
      <c r="AG323" s="51" t="str">
        <f>VLOOKUP(AF323,AKT!$C$4:$E$324,3,FALSE)</f>
        <v>0942</v>
      </c>
    </row>
    <row r="324" spans="1:33" ht="15.75" customHeight="1">
      <c r="A324" s="84"/>
      <c r="B324" s="79" t="str">
        <f t="shared" si="0"/>
        <v/>
      </c>
      <c r="C324" s="84"/>
      <c r="D324" s="79" t="str">
        <f t="shared" si="1"/>
        <v/>
      </c>
      <c r="E324" s="84"/>
      <c r="F324" s="79" t="str">
        <f t="shared" si="2"/>
        <v/>
      </c>
      <c r="G324" s="79" t="str">
        <f t="shared" si="3"/>
        <v/>
      </c>
      <c r="H324" s="67"/>
      <c r="I324" s="67"/>
      <c r="J324" s="67"/>
      <c r="K324" s="89"/>
      <c r="L324" s="90"/>
      <c r="M324" s="90"/>
      <c r="N324" s="89"/>
      <c r="O324" s="73"/>
      <c r="P324" s="68"/>
      <c r="Q324" s="51"/>
      <c r="R324" s="51" t="str">
        <f t="shared" si="4"/>
        <v/>
      </c>
      <c r="S324" s="51" t="str">
        <f t="shared" si="5"/>
        <v/>
      </c>
      <c r="T324" s="51" t="str">
        <f t="shared" si="6"/>
        <v/>
      </c>
      <c r="U324" s="51"/>
      <c r="V324" s="51"/>
      <c r="W324" s="51"/>
      <c r="X324" s="51"/>
      <c r="Y324" s="51"/>
      <c r="Z324" s="51"/>
      <c r="AA324" s="51"/>
      <c r="AB324" s="51"/>
      <c r="AC324" s="51"/>
      <c r="AD324" s="51" t="s">
        <v>2131</v>
      </c>
      <c r="AE324" s="51" t="s">
        <v>2132</v>
      </c>
      <c r="AF324" s="51" t="str">
        <f t="shared" si="9"/>
        <v>A679077</v>
      </c>
      <c r="AG324" s="51" t="str">
        <f>VLOOKUP(AF324,AKT!$C$4:$E$324,3,FALSE)</f>
        <v>0942</v>
      </c>
    </row>
    <row r="325" spans="1:33" ht="15.75" customHeight="1">
      <c r="A325" s="84"/>
      <c r="B325" s="79" t="str">
        <f t="shared" si="0"/>
        <v/>
      </c>
      <c r="C325" s="84"/>
      <c r="D325" s="79" t="str">
        <f t="shared" si="1"/>
        <v/>
      </c>
      <c r="E325" s="84"/>
      <c r="F325" s="79" t="str">
        <f t="shared" si="2"/>
        <v/>
      </c>
      <c r="G325" s="79" t="str">
        <f t="shared" si="3"/>
        <v/>
      </c>
      <c r="H325" s="67"/>
      <c r="I325" s="67"/>
      <c r="J325" s="67"/>
      <c r="K325" s="89"/>
      <c r="L325" s="90"/>
      <c r="M325" s="90"/>
      <c r="N325" s="89"/>
      <c r="O325" s="73"/>
      <c r="P325" s="68"/>
      <c r="Q325" s="51"/>
      <c r="R325" s="51" t="str">
        <f t="shared" si="4"/>
        <v/>
      </c>
      <c r="S325" s="51" t="str">
        <f t="shared" si="5"/>
        <v/>
      </c>
      <c r="T325" s="51" t="str">
        <f t="shared" si="6"/>
        <v/>
      </c>
      <c r="U325" s="51"/>
      <c r="V325" s="51"/>
      <c r="W325" s="51"/>
      <c r="X325" s="51"/>
      <c r="Y325" s="51"/>
      <c r="Z325" s="51"/>
      <c r="AA325" s="51"/>
      <c r="AB325" s="51"/>
      <c r="AC325" s="51"/>
      <c r="AD325" s="51" t="s">
        <v>2133</v>
      </c>
      <c r="AE325" s="51" t="s">
        <v>2134</v>
      </c>
      <c r="AF325" s="51" t="str">
        <f t="shared" si="9"/>
        <v>A679077</v>
      </c>
      <c r="AG325" s="51" t="str">
        <f>VLOOKUP(AF325,AKT!$C$4:$E$324,3,FALSE)</f>
        <v>0942</v>
      </c>
    </row>
    <row r="326" spans="1:33" ht="15.75" customHeight="1">
      <c r="A326" s="84"/>
      <c r="B326" s="79" t="str">
        <f t="shared" si="0"/>
        <v/>
      </c>
      <c r="C326" s="84"/>
      <c r="D326" s="79" t="str">
        <f t="shared" si="1"/>
        <v/>
      </c>
      <c r="E326" s="84"/>
      <c r="F326" s="79" t="str">
        <f t="shared" si="2"/>
        <v/>
      </c>
      <c r="G326" s="79" t="str">
        <f t="shared" si="3"/>
        <v/>
      </c>
      <c r="H326" s="67"/>
      <c r="I326" s="67"/>
      <c r="J326" s="67"/>
      <c r="K326" s="89"/>
      <c r="L326" s="90"/>
      <c r="M326" s="90"/>
      <c r="N326" s="89"/>
      <c r="O326" s="73"/>
      <c r="P326" s="68"/>
      <c r="Q326" s="51"/>
      <c r="R326" s="51" t="str">
        <f t="shared" si="4"/>
        <v/>
      </c>
      <c r="S326" s="51" t="str">
        <f t="shared" si="5"/>
        <v/>
      </c>
      <c r="T326" s="51" t="str">
        <f t="shared" si="6"/>
        <v/>
      </c>
      <c r="U326" s="51"/>
      <c r="V326" s="51"/>
      <c r="W326" s="51"/>
      <c r="X326" s="51"/>
      <c r="Y326" s="51"/>
      <c r="Z326" s="51"/>
      <c r="AA326" s="51"/>
      <c r="AB326" s="51"/>
      <c r="AC326" s="51"/>
      <c r="AD326" s="51" t="s">
        <v>2135</v>
      </c>
      <c r="AE326" s="51" t="s">
        <v>2136</v>
      </c>
      <c r="AF326" s="51" t="str">
        <f t="shared" si="9"/>
        <v>A679077</v>
      </c>
      <c r="AG326" s="51" t="str">
        <f>VLOOKUP(AF326,AKT!$C$4:$E$324,3,FALSE)</f>
        <v>0942</v>
      </c>
    </row>
    <row r="327" spans="1:33" ht="15.75" customHeight="1">
      <c r="A327" s="84"/>
      <c r="B327" s="79" t="str">
        <f t="shared" si="0"/>
        <v/>
      </c>
      <c r="C327" s="84"/>
      <c r="D327" s="79" t="str">
        <f t="shared" si="1"/>
        <v/>
      </c>
      <c r="E327" s="84"/>
      <c r="F327" s="79" t="str">
        <f t="shared" si="2"/>
        <v/>
      </c>
      <c r="G327" s="79" t="str">
        <f t="shared" si="3"/>
        <v/>
      </c>
      <c r="H327" s="67"/>
      <c r="I327" s="67"/>
      <c r="J327" s="67"/>
      <c r="K327" s="89"/>
      <c r="L327" s="90"/>
      <c r="M327" s="90"/>
      <c r="N327" s="89"/>
      <c r="O327" s="73"/>
      <c r="P327" s="68"/>
      <c r="Q327" s="51"/>
      <c r="R327" s="51" t="str">
        <f t="shared" si="4"/>
        <v/>
      </c>
      <c r="S327" s="51" t="str">
        <f t="shared" si="5"/>
        <v/>
      </c>
      <c r="T327" s="51" t="str">
        <f t="shared" si="6"/>
        <v/>
      </c>
      <c r="U327" s="51"/>
      <c r="V327" s="51"/>
      <c r="W327" s="51"/>
      <c r="X327" s="51"/>
      <c r="Y327" s="51"/>
      <c r="Z327" s="51"/>
      <c r="AA327" s="51"/>
      <c r="AB327" s="51"/>
      <c r="AC327" s="51"/>
      <c r="AD327" s="51" t="s">
        <v>2137</v>
      </c>
      <c r="AE327" s="51" t="s">
        <v>2138</v>
      </c>
      <c r="AF327" s="51" t="str">
        <f t="shared" si="9"/>
        <v>A679077</v>
      </c>
      <c r="AG327" s="51" t="str">
        <f>VLOOKUP(AF327,AKT!$C$4:$E$324,3,FALSE)</f>
        <v>0942</v>
      </c>
    </row>
    <row r="328" spans="1:33" ht="15.75" customHeight="1">
      <c r="A328" s="84"/>
      <c r="B328" s="79" t="str">
        <f t="shared" si="0"/>
        <v/>
      </c>
      <c r="C328" s="84"/>
      <c r="D328" s="79" t="str">
        <f t="shared" si="1"/>
        <v/>
      </c>
      <c r="E328" s="84"/>
      <c r="F328" s="79" t="str">
        <f t="shared" si="2"/>
        <v/>
      </c>
      <c r="G328" s="79" t="str">
        <f t="shared" si="3"/>
        <v/>
      </c>
      <c r="H328" s="67"/>
      <c r="I328" s="67"/>
      <c r="J328" s="67"/>
      <c r="K328" s="89"/>
      <c r="L328" s="90"/>
      <c r="M328" s="90"/>
      <c r="N328" s="89"/>
      <c r="O328" s="73"/>
      <c r="P328" s="68"/>
      <c r="Q328" s="51"/>
      <c r="R328" s="51" t="str">
        <f t="shared" si="4"/>
        <v/>
      </c>
      <c r="S328" s="51" t="str">
        <f t="shared" si="5"/>
        <v/>
      </c>
      <c r="T328" s="51" t="str">
        <f t="shared" si="6"/>
        <v/>
      </c>
      <c r="U328" s="51"/>
      <c r="V328" s="51"/>
      <c r="W328" s="51"/>
      <c r="X328" s="51"/>
      <c r="Y328" s="51"/>
      <c r="Z328" s="51"/>
      <c r="AA328" s="51"/>
      <c r="AB328" s="51"/>
      <c r="AC328" s="51"/>
      <c r="AD328" s="51" t="s">
        <v>2139</v>
      </c>
      <c r="AE328" s="51" t="s">
        <v>2140</v>
      </c>
      <c r="AF328" s="51" t="str">
        <f t="shared" si="9"/>
        <v>A679077</v>
      </c>
      <c r="AG328" s="51" t="str">
        <f>VLOOKUP(AF328,AKT!$C$4:$E$324,3,FALSE)</f>
        <v>0942</v>
      </c>
    </row>
    <row r="329" spans="1:33" ht="15.75" customHeight="1">
      <c r="A329" s="84"/>
      <c r="B329" s="79" t="str">
        <f t="shared" si="0"/>
        <v/>
      </c>
      <c r="C329" s="84"/>
      <c r="D329" s="79" t="str">
        <f t="shared" si="1"/>
        <v/>
      </c>
      <c r="E329" s="84"/>
      <c r="F329" s="79" t="str">
        <f t="shared" si="2"/>
        <v/>
      </c>
      <c r="G329" s="79" t="str">
        <f t="shared" si="3"/>
        <v/>
      </c>
      <c r="H329" s="67"/>
      <c r="I329" s="67"/>
      <c r="J329" s="67"/>
      <c r="K329" s="89"/>
      <c r="L329" s="90"/>
      <c r="M329" s="90"/>
      <c r="N329" s="89"/>
      <c r="O329" s="73"/>
      <c r="P329" s="68"/>
      <c r="Q329" s="51"/>
      <c r="R329" s="51" t="str">
        <f t="shared" si="4"/>
        <v/>
      </c>
      <c r="S329" s="51" t="str">
        <f t="shared" si="5"/>
        <v/>
      </c>
      <c r="T329" s="51" t="str">
        <f t="shared" si="6"/>
        <v/>
      </c>
      <c r="U329" s="51"/>
      <c r="V329" s="51"/>
      <c r="W329" s="51"/>
      <c r="X329" s="51"/>
      <c r="Y329" s="51"/>
      <c r="Z329" s="51"/>
      <c r="AA329" s="51"/>
      <c r="AB329" s="51"/>
      <c r="AC329" s="51"/>
      <c r="AD329" s="51" t="s">
        <v>2141</v>
      </c>
      <c r="AE329" s="51" t="s">
        <v>2142</v>
      </c>
      <c r="AF329" s="51" t="str">
        <f t="shared" si="9"/>
        <v>A679077</v>
      </c>
      <c r="AG329" s="51" t="str">
        <f>VLOOKUP(AF329,AKT!$C$4:$E$324,3,FALSE)</f>
        <v>0942</v>
      </c>
    </row>
    <row r="330" spans="1:33" ht="15.75" customHeight="1">
      <c r="A330" s="84"/>
      <c r="B330" s="79" t="str">
        <f t="shared" si="0"/>
        <v/>
      </c>
      <c r="C330" s="84"/>
      <c r="D330" s="79" t="str">
        <f t="shared" si="1"/>
        <v/>
      </c>
      <c r="E330" s="84"/>
      <c r="F330" s="79" t="str">
        <f t="shared" si="2"/>
        <v/>
      </c>
      <c r="G330" s="79" t="str">
        <f t="shared" si="3"/>
        <v/>
      </c>
      <c r="H330" s="67"/>
      <c r="I330" s="67"/>
      <c r="J330" s="67"/>
      <c r="K330" s="89"/>
      <c r="L330" s="90"/>
      <c r="M330" s="90"/>
      <c r="N330" s="89"/>
      <c r="O330" s="73"/>
      <c r="P330" s="68"/>
      <c r="Q330" s="51"/>
      <c r="R330" s="51" t="str">
        <f t="shared" si="4"/>
        <v/>
      </c>
      <c r="S330" s="51" t="str">
        <f t="shared" si="5"/>
        <v/>
      </c>
      <c r="T330" s="51" t="str">
        <f t="shared" si="6"/>
        <v/>
      </c>
      <c r="U330" s="51"/>
      <c r="V330" s="51"/>
      <c r="W330" s="51"/>
      <c r="X330" s="51"/>
      <c r="Y330" s="51"/>
      <c r="Z330" s="51"/>
      <c r="AA330" s="51"/>
      <c r="AB330" s="51"/>
      <c r="AC330" s="51"/>
      <c r="AD330" s="51" t="s">
        <v>2143</v>
      </c>
      <c r="AE330" s="51" t="s">
        <v>2144</v>
      </c>
      <c r="AF330" s="51" t="str">
        <f t="shared" si="9"/>
        <v>A679077</v>
      </c>
      <c r="AG330" s="51" t="str">
        <f>VLOOKUP(AF330,AKT!$C$4:$E$324,3,FALSE)</f>
        <v>0942</v>
      </c>
    </row>
    <row r="331" spans="1:33" ht="15.75" customHeight="1">
      <c r="A331" s="84"/>
      <c r="B331" s="79" t="str">
        <f t="shared" si="0"/>
        <v/>
      </c>
      <c r="C331" s="84"/>
      <c r="D331" s="79" t="str">
        <f t="shared" si="1"/>
        <v/>
      </c>
      <c r="E331" s="84"/>
      <c r="F331" s="79" t="str">
        <f t="shared" si="2"/>
        <v/>
      </c>
      <c r="G331" s="79" t="str">
        <f t="shared" si="3"/>
        <v/>
      </c>
      <c r="H331" s="67"/>
      <c r="I331" s="67"/>
      <c r="J331" s="67"/>
      <c r="K331" s="89"/>
      <c r="L331" s="90"/>
      <c r="M331" s="90"/>
      <c r="N331" s="89"/>
      <c r="O331" s="73"/>
      <c r="P331" s="68"/>
      <c r="Q331" s="51"/>
      <c r="R331" s="51" t="str">
        <f t="shared" si="4"/>
        <v/>
      </c>
      <c r="S331" s="51" t="str">
        <f t="shared" si="5"/>
        <v/>
      </c>
      <c r="T331" s="51" t="str">
        <f t="shared" si="6"/>
        <v/>
      </c>
      <c r="U331" s="51"/>
      <c r="V331" s="51"/>
      <c r="W331" s="51"/>
      <c r="X331" s="51"/>
      <c r="Y331" s="51"/>
      <c r="Z331" s="51"/>
      <c r="AA331" s="51"/>
      <c r="AB331" s="51"/>
      <c r="AC331" s="51"/>
      <c r="AD331" s="51" t="s">
        <v>2145</v>
      </c>
      <c r="AE331" s="51" t="s">
        <v>2146</v>
      </c>
      <c r="AF331" s="51" t="str">
        <f t="shared" si="9"/>
        <v>A679077</v>
      </c>
      <c r="AG331" s="51" t="str">
        <f>VLOOKUP(AF331,AKT!$C$4:$E$324,3,FALSE)</f>
        <v>0942</v>
      </c>
    </row>
    <row r="332" spans="1:33" ht="15.75" customHeight="1">
      <c r="A332" s="84"/>
      <c r="B332" s="79" t="str">
        <f t="shared" si="0"/>
        <v/>
      </c>
      <c r="C332" s="84"/>
      <c r="D332" s="79" t="str">
        <f t="shared" si="1"/>
        <v/>
      </c>
      <c r="E332" s="84"/>
      <c r="F332" s="79" t="str">
        <f t="shared" si="2"/>
        <v/>
      </c>
      <c r="G332" s="79" t="str">
        <f t="shared" si="3"/>
        <v/>
      </c>
      <c r="H332" s="67"/>
      <c r="I332" s="67"/>
      <c r="J332" s="67"/>
      <c r="K332" s="89"/>
      <c r="L332" s="90"/>
      <c r="M332" s="90"/>
      <c r="N332" s="89"/>
      <c r="O332" s="73"/>
      <c r="P332" s="68"/>
      <c r="Q332" s="51"/>
      <c r="R332" s="51" t="str">
        <f t="shared" si="4"/>
        <v/>
      </c>
      <c r="S332" s="51" t="str">
        <f t="shared" si="5"/>
        <v/>
      </c>
      <c r="T332" s="51" t="str">
        <f t="shared" si="6"/>
        <v/>
      </c>
      <c r="U332" s="51"/>
      <c r="V332" s="51"/>
      <c r="W332" s="51"/>
      <c r="X332" s="51"/>
      <c r="Y332" s="51"/>
      <c r="Z332" s="51"/>
      <c r="AA332" s="51"/>
      <c r="AB332" s="51"/>
      <c r="AC332" s="51"/>
      <c r="AD332" s="51" t="s">
        <v>2147</v>
      </c>
      <c r="AE332" s="51" t="s">
        <v>2148</v>
      </c>
      <c r="AF332" s="51" t="str">
        <f t="shared" si="9"/>
        <v>A679077</v>
      </c>
      <c r="AG332" s="51" t="str">
        <f>VLOOKUP(AF332,AKT!$C$4:$E$324,3,FALSE)</f>
        <v>0942</v>
      </c>
    </row>
    <row r="333" spans="1:33" ht="15.75" customHeight="1">
      <c r="A333" s="84"/>
      <c r="B333" s="79" t="str">
        <f t="shared" si="0"/>
        <v/>
      </c>
      <c r="C333" s="84"/>
      <c r="D333" s="79" t="str">
        <f t="shared" si="1"/>
        <v/>
      </c>
      <c r="E333" s="84"/>
      <c r="F333" s="79" t="str">
        <f t="shared" si="2"/>
        <v/>
      </c>
      <c r="G333" s="79" t="str">
        <f t="shared" si="3"/>
        <v/>
      </c>
      <c r="H333" s="67"/>
      <c r="I333" s="67"/>
      <c r="J333" s="67"/>
      <c r="K333" s="89"/>
      <c r="L333" s="90"/>
      <c r="M333" s="90"/>
      <c r="N333" s="89"/>
      <c r="O333" s="73"/>
      <c r="P333" s="68"/>
      <c r="Q333" s="51"/>
      <c r="R333" s="51" t="str">
        <f t="shared" si="4"/>
        <v/>
      </c>
      <c r="S333" s="51" t="str">
        <f t="shared" si="5"/>
        <v/>
      </c>
      <c r="T333" s="51" t="str">
        <f t="shared" si="6"/>
        <v/>
      </c>
      <c r="U333" s="51"/>
      <c r="V333" s="51"/>
      <c r="W333" s="51"/>
      <c r="X333" s="51"/>
      <c r="Y333" s="51"/>
      <c r="Z333" s="51"/>
      <c r="AA333" s="51"/>
      <c r="AB333" s="51"/>
      <c r="AC333" s="51"/>
      <c r="AD333" s="51" t="s">
        <v>2149</v>
      </c>
      <c r="AE333" s="51" t="s">
        <v>2150</v>
      </c>
      <c r="AF333" s="51" t="str">
        <f t="shared" si="9"/>
        <v>A679077</v>
      </c>
      <c r="AG333" s="51" t="str">
        <f>VLOOKUP(AF333,AKT!$C$4:$E$324,3,FALSE)</f>
        <v>0942</v>
      </c>
    </row>
    <row r="334" spans="1:33" ht="15.75" customHeight="1">
      <c r="A334" s="84"/>
      <c r="B334" s="79" t="str">
        <f t="shared" si="0"/>
        <v/>
      </c>
      <c r="C334" s="84"/>
      <c r="D334" s="79" t="str">
        <f t="shared" si="1"/>
        <v/>
      </c>
      <c r="E334" s="84"/>
      <c r="F334" s="79" t="str">
        <f t="shared" si="2"/>
        <v/>
      </c>
      <c r="G334" s="79" t="str">
        <f t="shared" si="3"/>
        <v/>
      </c>
      <c r="H334" s="67"/>
      <c r="I334" s="67"/>
      <c r="J334" s="67"/>
      <c r="K334" s="89"/>
      <c r="L334" s="90"/>
      <c r="M334" s="90"/>
      <c r="N334" s="89"/>
      <c r="O334" s="73"/>
      <c r="P334" s="68"/>
      <c r="Q334" s="51"/>
      <c r="R334" s="51" t="str">
        <f t="shared" si="4"/>
        <v/>
      </c>
      <c r="S334" s="51" t="str">
        <f t="shared" si="5"/>
        <v/>
      </c>
      <c r="T334" s="51" t="str">
        <f t="shared" si="6"/>
        <v/>
      </c>
      <c r="U334" s="51"/>
      <c r="V334" s="51"/>
      <c r="W334" s="51"/>
      <c r="X334" s="51"/>
      <c r="Y334" s="51"/>
      <c r="Z334" s="51"/>
      <c r="AA334" s="51"/>
      <c r="AB334" s="51"/>
      <c r="AC334" s="51"/>
      <c r="AD334" s="51" t="s">
        <v>2151</v>
      </c>
      <c r="AE334" s="51" t="s">
        <v>2152</v>
      </c>
      <c r="AF334" s="51" t="str">
        <f t="shared" si="9"/>
        <v>A679077</v>
      </c>
      <c r="AG334" s="51" t="str">
        <f>VLOOKUP(AF334,AKT!$C$4:$E$324,3,FALSE)</f>
        <v>0942</v>
      </c>
    </row>
    <row r="335" spans="1:33" ht="15.75" customHeight="1">
      <c r="A335" s="84"/>
      <c r="B335" s="79" t="str">
        <f t="shared" si="0"/>
        <v/>
      </c>
      <c r="C335" s="84"/>
      <c r="D335" s="79" t="str">
        <f t="shared" si="1"/>
        <v/>
      </c>
      <c r="E335" s="84"/>
      <c r="F335" s="79" t="str">
        <f t="shared" si="2"/>
        <v/>
      </c>
      <c r="G335" s="79" t="str">
        <f t="shared" si="3"/>
        <v/>
      </c>
      <c r="H335" s="67"/>
      <c r="I335" s="67"/>
      <c r="J335" s="67"/>
      <c r="K335" s="89"/>
      <c r="L335" s="90"/>
      <c r="M335" s="90"/>
      <c r="N335" s="89"/>
      <c r="O335" s="73"/>
      <c r="P335" s="68"/>
      <c r="Q335" s="51"/>
      <c r="R335" s="51" t="str">
        <f t="shared" si="4"/>
        <v/>
      </c>
      <c r="S335" s="51" t="str">
        <f t="shared" si="5"/>
        <v/>
      </c>
      <c r="T335" s="51" t="str">
        <f t="shared" si="6"/>
        <v/>
      </c>
      <c r="U335" s="51"/>
      <c r="V335" s="51"/>
      <c r="W335" s="51"/>
      <c r="X335" s="51"/>
      <c r="Y335" s="51"/>
      <c r="Z335" s="51"/>
      <c r="AA335" s="51"/>
      <c r="AB335" s="51"/>
      <c r="AC335" s="51"/>
      <c r="AD335" s="51" t="s">
        <v>2153</v>
      </c>
      <c r="AE335" s="51" t="s">
        <v>2154</v>
      </c>
      <c r="AF335" s="51" t="str">
        <f t="shared" si="9"/>
        <v>A679077</v>
      </c>
      <c r="AG335" s="51" t="str">
        <f>VLOOKUP(AF335,AKT!$C$4:$E$324,3,FALSE)</f>
        <v>0942</v>
      </c>
    </row>
    <row r="336" spans="1:33" ht="15.75" customHeight="1">
      <c r="A336" s="84"/>
      <c r="B336" s="79" t="str">
        <f t="shared" si="0"/>
        <v/>
      </c>
      <c r="C336" s="84"/>
      <c r="D336" s="79" t="str">
        <f t="shared" si="1"/>
        <v/>
      </c>
      <c r="E336" s="84"/>
      <c r="F336" s="79" t="str">
        <f t="shared" si="2"/>
        <v/>
      </c>
      <c r="G336" s="79" t="str">
        <f t="shared" si="3"/>
        <v/>
      </c>
      <c r="H336" s="67"/>
      <c r="I336" s="67"/>
      <c r="J336" s="67"/>
      <c r="K336" s="89"/>
      <c r="L336" s="90"/>
      <c r="M336" s="90"/>
      <c r="N336" s="89"/>
      <c r="O336" s="73"/>
      <c r="P336" s="68"/>
      <c r="Q336" s="51"/>
      <c r="R336" s="51" t="str">
        <f t="shared" si="4"/>
        <v/>
      </c>
      <c r="S336" s="51" t="str">
        <f t="shared" si="5"/>
        <v/>
      </c>
      <c r="T336" s="51" t="str">
        <f t="shared" si="6"/>
        <v/>
      </c>
      <c r="U336" s="51"/>
      <c r="V336" s="51"/>
      <c r="W336" s="51"/>
      <c r="X336" s="51"/>
      <c r="Y336" s="51"/>
      <c r="Z336" s="51"/>
      <c r="AA336" s="51"/>
      <c r="AB336" s="51"/>
      <c r="AC336" s="51"/>
      <c r="AD336" s="51" t="s">
        <v>2155</v>
      </c>
      <c r="AE336" s="51" t="s">
        <v>2156</v>
      </c>
      <c r="AF336" s="51" t="str">
        <f t="shared" si="9"/>
        <v>A679077</v>
      </c>
      <c r="AG336" s="51" t="str">
        <f>VLOOKUP(AF336,AKT!$C$4:$E$324,3,FALSE)</f>
        <v>0942</v>
      </c>
    </row>
    <row r="337" spans="1:33" ht="15.75" customHeight="1">
      <c r="A337" s="84"/>
      <c r="B337" s="79" t="str">
        <f t="shared" si="0"/>
        <v/>
      </c>
      <c r="C337" s="84"/>
      <c r="D337" s="79" t="str">
        <f t="shared" si="1"/>
        <v/>
      </c>
      <c r="E337" s="84"/>
      <c r="F337" s="79" t="str">
        <f t="shared" si="2"/>
        <v/>
      </c>
      <c r="G337" s="79" t="str">
        <f t="shared" si="3"/>
        <v/>
      </c>
      <c r="H337" s="67"/>
      <c r="I337" s="67"/>
      <c r="J337" s="67"/>
      <c r="K337" s="89"/>
      <c r="L337" s="90"/>
      <c r="M337" s="90"/>
      <c r="N337" s="89"/>
      <c r="O337" s="73"/>
      <c r="P337" s="68"/>
      <c r="Q337" s="51"/>
      <c r="R337" s="51" t="str">
        <f t="shared" si="4"/>
        <v/>
      </c>
      <c r="S337" s="51" t="str">
        <f t="shared" si="5"/>
        <v/>
      </c>
      <c r="T337" s="51" t="str">
        <f t="shared" si="6"/>
        <v/>
      </c>
      <c r="U337" s="51"/>
      <c r="V337" s="51"/>
      <c r="W337" s="51"/>
      <c r="X337" s="51"/>
      <c r="Y337" s="51"/>
      <c r="Z337" s="51"/>
      <c r="AA337" s="51"/>
      <c r="AB337" s="51"/>
      <c r="AC337" s="51"/>
      <c r="AD337" s="51" t="s">
        <v>2157</v>
      </c>
      <c r="AE337" s="51" t="s">
        <v>1694</v>
      </c>
      <c r="AF337" s="51" t="str">
        <f t="shared" si="9"/>
        <v>A679077</v>
      </c>
      <c r="AG337" s="51" t="str">
        <f>VLOOKUP(AF337,AKT!$C$4:$E$324,3,FALSE)</f>
        <v>0942</v>
      </c>
    </row>
    <row r="338" spans="1:33" ht="15.75" customHeight="1">
      <c r="A338" s="84"/>
      <c r="B338" s="79" t="str">
        <f t="shared" si="0"/>
        <v/>
      </c>
      <c r="C338" s="84"/>
      <c r="D338" s="79" t="str">
        <f t="shared" si="1"/>
        <v/>
      </c>
      <c r="E338" s="84"/>
      <c r="F338" s="79" t="str">
        <f t="shared" si="2"/>
        <v/>
      </c>
      <c r="G338" s="79" t="str">
        <f t="shared" si="3"/>
        <v/>
      </c>
      <c r="H338" s="67"/>
      <c r="I338" s="67"/>
      <c r="J338" s="67"/>
      <c r="K338" s="89"/>
      <c r="L338" s="90"/>
      <c r="M338" s="90"/>
      <c r="N338" s="89"/>
      <c r="O338" s="73"/>
      <c r="P338" s="68"/>
      <c r="Q338" s="51"/>
      <c r="R338" s="51" t="str">
        <f t="shared" si="4"/>
        <v/>
      </c>
      <c r="S338" s="51" t="str">
        <f t="shared" si="5"/>
        <v/>
      </c>
      <c r="T338" s="51" t="str">
        <f t="shared" si="6"/>
        <v/>
      </c>
      <c r="U338" s="51"/>
      <c r="V338" s="51"/>
      <c r="W338" s="51"/>
      <c r="X338" s="51"/>
      <c r="Y338" s="51"/>
      <c r="Z338" s="51"/>
      <c r="AA338" s="51"/>
      <c r="AB338" s="51"/>
      <c r="AC338" s="51"/>
      <c r="AD338" s="51" t="s">
        <v>2158</v>
      </c>
      <c r="AE338" s="51" t="s">
        <v>2159</v>
      </c>
      <c r="AF338" s="51" t="str">
        <f t="shared" si="9"/>
        <v>A679077</v>
      </c>
      <c r="AG338" s="51" t="str">
        <f>VLOOKUP(AF338,AKT!$C$4:$E$324,3,FALSE)</f>
        <v>0942</v>
      </c>
    </row>
    <row r="339" spans="1:33" ht="15.75" customHeight="1">
      <c r="A339" s="84"/>
      <c r="B339" s="79" t="str">
        <f t="shared" si="0"/>
        <v/>
      </c>
      <c r="C339" s="84"/>
      <c r="D339" s="79" t="str">
        <f t="shared" si="1"/>
        <v/>
      </c>
      <c r="E339" s="84"/>
      <c r="F339" s="79" t="str">
        <f t="shared" si="2"/>
        <v/>
      </c>
      <c r="G339" s="79" t="str">
        <f t="shared" si="3"/>
        <v/>
      </c>
      <c r="H339" s="67"/>
      <c r="I339" s="67"/>
      <c r="J339" s="67"/>
      <c r="K339" s="89"/>
      <c r="L339" s="90"/>
      <c r="M339" s="90"/>
      <c r="N339" s="89"/>
      <c r="O339" s="73"/>
      <c r="P339" s="68"/>
      <c r="Q339" s="51"/>
      <c r="R339" s="51" t="str">
        <f t="shared" si="4"/>
        <v/>
      </c>
      <c r="S339" s="51" t="str">
        <f t="shared" si="5"/>
        <v/>
      </c>
      <c r="T339" s="51" t="str">
        <f t="shared" si="6"/>
        <v/>
      </c>
      <c r="U339" s="51"/>
      <c r="V339" s="51"/>
      <c r="W339" s="51"/>
      <c r="X339" s="51"/>
      <c r="Y339" s="51"/>
      <c r="Z339" s="51"/>
      <c r="AA339" s="51"/>
      <c r="AB339" s="51"/>
      <c r="AC339" s="51"/>
      <c r="AD339" s="51" t="s">
        <v>2160</v>
      </c>
      <c r="AE339" s="51" t="s">
        <v>2161</v>
      </c>
      <c r="AF339" s="51" t="str">
        <f t="shared" si="9"/>
        <v>A679077</v>
      </c>
      <c r="AG339" s="51" t="str">
        <f>VLOOKUP(AF339,AKT!$C$4:$E$324,3,FALSE)</f>
        <v>0942</v>
      </c>
    </row>
    <row r="340" spans="1:33" ht="15.75" customHeight="1">
      <c r="A340" s="84"/>
      <c r="B340" s="79" t="str">
        <f t="shared" si="0"/>
        <v/>
      </c>
      <c r="C340" s="84"/>
      <c r="D340" s="79" t="str">
        <f t="shared" si="1"/>
        <v/>
      </c>
      <c r="E340" s="84"/>
      <c r="F340" s="79" t="str">
        <f t="shared" si="2"/>
        <v/>
      </c>
      <c r="G340" s="79" t="str">
        <f t="shared" si="3"/>
        <v/>
      </c>
      <c r="H340" s="67"/>
      <c r="I340" s="67"/>
      <c r="J340" s="67"/>
      <c r="K340" s="89"/>
      <c r="L340" s="90"/>
      <c r="M340" s="90"/>
      <c r="N340" s="89"/>
      <c r="O340" s="73"/>
      <c r="P340" s="68"/>
      <c r="Q340" s="51"/>
      <c r="R340" s="51" t="str">
        <f t="shared" si="4"/>
        <v/>
      </c>
      <c r="S340" s="51" t="str">
        <f t="shared" si="5"/>
        <v/>
      </c>
      <c r="T340" s="51" t="str">
        <f t="shared" si="6"/>
        <v/>
      </c>
      <c r="U340" s="51"/>
      <c r="V340" s="51"/>
      <c r="W340" s="51"/>
      <c r="X340" s="51"/>
      <c r="Y340" s="51"/>
      <c r="Z340" s="51"/>
      <c r="AA340" s="51"/>
      <c r="AB340" s="51"/>
      <c r="AC340" s="51"/>
      <c r="AD340" s="51" t="s">
        <v>2162</v>
      </c>
      <c r="AE340" s="51" t="s">
        <v>2163</v>
      </c>
      <c r="AF340" s="51" t="str">
        <f t="shared" si="9"/>
        <v>A679077</v>
      </c>
      <c r="AG340" s="51" t="str">
        <f>VLOOKUP(AF340,AKT!$C$4:$E$324,3,FALSE)</f>
        <v>0942</v>
      </c>
    </row>
    <row r="341" spans="1:33" ht="15.75" customHeight="1">
      <c r="A341" s="84"/>
      <c r="B341" s="79" t="str">
        <f t="shared" si="0"/>
        <v/>
      </c>
      <c r="C341" s="84"/>
      <c r="D341" s="79" t="str">
        <f t="shared" si="1"/>
        <v/>
      </c>
      <c r="E341" s="84"/>
      <c r="F341" s="79" t="str">
        <f t="shared" si="2"/>
        <v/>
      </c>
      <c r="G341" s="79" t="str">
        <f t="shared" si="3"/>
        <v/>
      </c>
      <c r="H341" s="67"/>
      <c r="I341" s="67"/>
      <c r="J341" s="67"/>
      <c r="K341" s="89"/>
      <c r="L341" s="90"/>
      <c r="M341" s="90"/>
      <c r="N341" s="89"/>
      <c r="O341" s="73"/>
      <c r="P341" s="68"/>
      <c r="Q341" s="51"/>
      <c r="R341" s="51" t="str">
        <f t="shared" si="4"/>
        <v/>
      </c>
      <c r="S341" s="51" t="str">
        <f t="shared" si="5"/>
        <v/>
      </c>
      <c r="T341" s="51" t="str">
        <f t="shared" si="6"/>
        <v/>
      </c>
      <c r="U341" s="51"/>
      <c r="V341" s="51"/>
      <c r="W341" s="51"/>
      <c r="X341" s="51"/>
      <c r="Y341" s="51"/>
      <c r="Z341" s="51"/>
      <c r="AA341" s="51"/>
      <c r="AB341" s="51"/>
      <c r="AC341" s="51"/>
      <c r="AD341" s="51" t="s">
        <v>2164</v>
      </c>
      <c r="AE341" s="51" t="s">
        <v>2165</v>
      </c>
      <c r="AF341" s="51" t="str">
        <f t="shared" si="9"/>
        <v>A679077</v>
      </c>
      <c r="AG341" s="51" t="str">
        <f>VLOOKUP(AF341,AKT!$C$4:$E$324,3,FALSE)</f>
        <v>0942</v>
      </c>
    </row>
    <row r="342" spans="1:33" ht="15.75" customHeight="1">
      <c r="A342" s="84"/>
      <c r="B342" s="79" t="str">
        <f t="shared" si="0"/>
        <v/>
      </c>
      <c r="C342" s="84"/>
      <c r="D342" s="79" t="str">
        <f t="shared" si="1"/>
        <v/>
      </c>
      <c r="E342" s="84"/>
      <c r="F342" s="79" t="str">
        <f t="shared" si="2"/>
        <v/>
      </c>
      <c r="G342" s="79" t="str">
        <f t="shared" si="3"/>
        <v/>
      </c>
      <c r="H342" s="67"/>
      <c r="I342" s="67"/>
      <c r="J342" s="67"/>
      <c r="K342" s="89"/>
      <c r="L342" s="90"/>
      <c r="M342" s="90"/>
      <c r="N342" s="89"/>
      <c r="O342" s="73"/>
      <c r="P342" s="68"/>
      <c r="Q342" s="51"/>
      <c r="R342" s="51" t="str">
        <f t="shared" si="4"/>
        <v/>
      </c>
      <c r="S342" s="51" t="str">
        <f t="shared" si="5"/>
        <v/>
      </c>
      <c r="T342" s="51" t="str">
        <f t="shared" si="6"/>
        <v/>
      </c>
      <c r="U342" s="51"/>
      <c r="V342" s="51"/>
      <c r="W342" s="51"/>
      <c r="X342" s="51"/>
      <c r="Y342" s="51"/>
      <c r="Z342" s="51"/>
      <c r="AA342" s="51"/>
      <c r="AB342" s="51"/>
      <c r="AC342" s="51"/>
      <c r="AD342" s="51" t="s">
        <v>2166</v>
      </c>
      <c r="AE342" s="51" t="s">
        <v>2167</v>
      </c>
      <c r="AF342" s="51" t="str">
        <f t="shared" si="9"/>
        <v>A679077</v>
      </c>
      <c r="AG342" s="51" t="str">
        <f>VLOOKUP(AF342,AKT!$C$4:$E$324,3,FALSE)</f>
        <v>0942</v>
      </c>
    </row>
    <row r="343" spans="1:33" ht="15.75" customHeight="1">
      <c r="A343" s="84"/>
      <c r="B343" s="79" t="str">
        <f t="shared" si="0"/>
        <v/>
      </c>
      <c r="C343" s="84"/>
      <c r="D343" s="79" t="str">
        <f t="shared" si="1"/>
        <v/>
      </c>
      <c r="E343" s="84"/>
      <c r="F343" s="79" t="str">
        <f t="shared" si="2"/>
        <v/>
      </c>
      <c r="G343" s="79" t="str">
        <f t="shared" si="3"/>
        <v/>
      </c>
      <c r="H343" s="67"/>
      <c r="I343" s="67"/>
      <c r="J343" s="67"/>
      <c r="K343" s="89"/>
      <c r="L343" s="90"/>
      <c r="M343" s="90"/>
      <c r="N343" s="89"/>
      <c r="O343" s="73"/>
      <c r="P343" s="68"/>
      <c r="Q343" s="51"/>
      <c r="R343" s="51" t="str">
        <f t="shared" si="4"/>
        <v/>
      </c>
      <c r="S343" s="51" t="str">
        <f t="shared" si="5"/>
        <v/>
      </c>
      <c r="T343" s="51" t="str">
        <f t="shared" si="6"/>
        <v/>
      </c>
      <c r="U343" s="51"/>
      <c r="V343" s="51"/>
      <c r="W343" s="51"/>
      <c r="X343" s="51"/>
      <c r="Y343" s="51"/>
      <c r="Z343" s="51"/>
      <c r="AA343" s="51"/>
      <c r="AB343" s="51"/>
      <c r="AC343" s="51"/>
      <c r="AD343" s="51" t="s">
        <v>2168</v>
      </c>
      <c r="AE343" s="51" t="s">
        <v>2169</v>
      </c>
      <c r="AF343" s="51" t="str">
        <f t="shared" si="9"/>
        <v>A679077</v>
      </c>
      <c r="AG343" s="51" t="str">
        <f>VLOOKUP(AF343,AKT!$C$4:$E$324,3,FALSE)</f>
        <v>0942</v>
      </c>
    </row>
    <row r="344" spans="1:33" ht="15.75" customHeight="1">
      <c r="A344" s="84"/>
      <c r="B344" s="79" t="str">
        <f t="shared" si="0"/>
        <v/>
      </c>
      <c r="C344" s="84"/>
      <c r="D344" s="79" t="str">
        <f t="shared" si="1"/>
        <v/>
      </c>
      <c r="E344" s="84"/>
      <c r="F344" s="79" t="str">
        <f t="shared" si="2"/>
        <v/>
      </c>
      <c r="G344" s="79" t="str">
        <f t="shared" si="3"/>
        <v/>
      </c>
      <c r="H344" s="67"/>
      <c r="I344" s="67"/>
      <c r="J344" s="67"/>
      <c r="K344" s="89"/>
      <c r="L344" s="90"/>
      <c r="M344" s="90"/>
      <c r="N344" s="89"/>
      <c r="O344" s="73"/>
      <c r="P344" s="68"/>
      <c r="Q344" s="51"/>
      <c r="R344" s="51" t="str">
        <f t="shared" si="4"/>
        <v/>
      </c>
      <c r="S344" s="51" t="str">
        <f t="shared" si="5"/>
        <v/>
      </c>
      <c r="T344" s="51" t="str">
        <f t="shared" si="6"/>
        <v/>
      </c>
      <c r="U344" s="51"/>
      <c r="V344" s="51"/>
      <c r="W344" s="51"/>
      <c r="X344" s="51"/>
      <c r="Y344" s="51"/>
      <c r="Z344" s="51"/>
      <c r="AA344" s="51"/>
      <c r="AB344" s="51"/>
      <c r="AC344" s="51"/>
      <c r="AD344" s="51" t="s">
        <v>2170</v>
      </c>
      <c r="AE344" s="51" t="s">
        <v>2171</v>
      </c>
      <c r="AF344" s="51" t="str">
        <f t="shared" si="9"/>
        <v>A679077</v>
      </c>
      <c r="AG344" s="51" t="str">
        <f>VLOOKUP(AF344,AKT!$C$4:$E$324,3,FALSE)</f>
        <v>0942</v>
      </c>
    </row>
    <row r="345" spans="1:33" ht="15.75" customHeight="1">
      <c r="A345" s="84"/>
      <c r="B345" s="79" t="str">
        <f t="shared" si="0"/>
        <v/>
      </c>
      <c r="C345" s="84"/>
      <c r="D345" s="79" t="str">
        <f t="shared" si="1"/>
        <v/>
      </c>
      <c r="E345" s="84"/>
      <c r="F345" s="79" t="str">
        <f t="shared" si="2"/>
        <v/>
      </c>
      <c r="G345" s="79" t="str">
        <f t="shared" si="3"/>
        <v/>
      </c>
      <c r="H345" s="67"/>
      <c r="I345" s="67"/>
      <c r="J345" s="67"/>
      <c r="K345" s="89"/>
      <c r="L345" s="90"/>
      <c r="M345" s="90"/>
      <c r="N345" s="89"/>
      <c r="O345" s="73"/>
      <c r="P345" s="68"/>
      <c r="Q345" s="51"/>
      <c r="R345" s="51" t="str">
        <f t="shared" si="4"/>
        <v/>
      </c>
      <c r="S345" s="51" t="str">
        <f t="shared" si="5"/>
        <v/>
      </c>
      <c r="T345" s="51" t="str">
        <f t="shared" si="6"/>
        <v/>
      </c>
      <c r="U345" s="51"/>
      <c r="V345" s="51"/>
      <c r="W345" s="51"/>
      <c r="X345" s="51"/>
      <c r="Y345" s="51"/>
      <c r="Z345" s="51"/>
      <c r="AA345" s="51"/>
      <c r="AB345" s="51"/>
      <c r="AC345" s="51"/>
      <c r="AD345" s="51" t="s">
        <v>2172</v>
      </c>
      <c r="AE345" s="51" t="s">
        <v>2173</v>
      </c>
      <c r="AF345" s="51" t="str">
        <f t="shared" si="9"/>
        <v>A679077</v>
      </c>
      <c r="AG345" s="51" t="str">
        <f>VLOOKUP(AF345,AKT!$C$4:$E$324,3,FALSE)</f>
        <v>0942</v>
      </c>
    </row>
    <row r="346" spans="1:33" ht="15.75" customHeight="1">
      <c r="A346" s="84"/>
      <c r="B346" s="79" t="str">
        <f t="shared" si="0"/>
        <v/>
      </c>
      <c r="C346" s="84"/>
      <c r="D346" s="79" t="str">
        <f t="shared" si="1"/>
        <v/>
      </c>
      <c r="E346" s="84"/>
      <c r="F346" s="79" t="str">
        <f t="shared" si="2"/>
        <v/>
      </c>
      <c r="G346" s="79" t="str">
        <f t="shared" si="3"/>
        <v/>
      </c>
      <c r="H346" s="67"/>
      <c r="I346" s="67"/>
      <c r="J346" s="67"/>
      <c r="K346" s="89"/>
      <c r="L346" s="90"/>
      <c r="M346" s="90"/>
      <c r="N346" s="89"/>
      <c r="O346" s="73"/>
      <c r="P346" s="68"/>
      <c r="Q346" s="51"/>
      <c r="R346" s="51" t="str">
        <f t="shared" si="4"/>
        <v/>
      </c>
      <c r="S346" s="51" t="str">
        <f t="shared" si="5"/>
        <v/>
      </c>
      <c r="T346" s="51" t="str">
        <f t="shared" si="6"/>
        <v/>
      </c>
      <c r="U346" s="51"/>
      <c r="V346" s="51"/>
      <c r="W346" s="51"/>
      <c r="X346" s="51"/>
      <c r="Y346" s="51"/>
      <c r="Z346" s="51"/>
      <c r="AA346" s="51"/>
      <c r="AB346" s="51"/>
      <c r="AC346" s="51"/>
      <c r="AD346" s="51" t="s">
        <v>2174</v>
      </c>
      <c r="AE346" s="51" t="s">
        <v>2175</v>
      </c>
      <c r="AF346" s="51" t="str">
        <f t="shared" si="9"/>
        <v>A679077</v>
      </c>
      <c r="AG346" s="51" t="str">
        <f>VLOOKUP(AF346,AKT!$C$4:$E$324,3,FALSE)</f>
        <v>0942</v>
      </c>
    </row>
    <row r="347" spans="1:33" ht="15.75" customHeight="1">
      <c r="A347" s="84"/>
      <c r="B347" s="79" t="str">
        <f t="shared" si="0"/>
        <v/>
      </c>
      <c r="C347" s="84"/>
      <c r="D347" s="79" t="str">
        <f t="shared" si="1"/>
        <v/>
      </c>
      <c r="E347" s="84"/>
      <c r="F347" s="79" t="str">
        <f t="shared" si="2"/>
        <v/>
      </c>
      <c r="G347" s="79" t="str">
        <f t="shared" si="3"/>
        <v/>
      </c>
      <c r="H347" s="67"/>
      <c r="I347" s="67"/>
      <c r="J347" s="67"/>
      <c r="K347" s="89"/>
      <c r="L347" s="90"/>
      <c r="M347" s="90"/>
      <c r="N347" s="89"/>
      <c r="O347" s="73"/>
      <c r="P347" s="68"/>
      <c r="Q347" s="51"/>
      <c r="R347" s="51" t="str">
        <f t="shared" si="4"/>
        <v/>
      </c>
      <c r="S347" s="51" t="str">
        <f t="shared" si="5"/>
        <v/>
      </c>
      <c r="T347" s="51" t="str">
        <f t="shared" si="6"/>
        <v/>
      </c>
      <c r="U347" s="51"/>
      <c r="V347" s="51"/>
      <c r="W347" s="51"/>
      <c r="X347" s="51"/>
      <c r="Y347" s="51"/>
      <c r="Z347" s="51"/>
      <c r="AA347" s="51"/>
      <c r="AB347" s="51"/>
      <c r="AC347" s="51"/>
      <c r="AD347" s="51" t="s">
        <v>2176</v>
      </c>
      <c r="AE347" s="51" t="s">
        <v>2177</v>
      </c>
      <c r="AF347" s="51" t="str">
        <f t="shared" si="9"/>
        <v>A679077</v>
      </c>
      <c r="AG347" s="51" t="str">
        <f>VLOOKUP(AF347,AKT!$C$4:$E$324,3,FALSE)</f>
        <v>0942</v>
      </c>
    </row>
    <row r="348" spans="1:33" ht="15.75" customHeight="1">
      <c r="A348" s="84"/>
      <c r="B348" s="79" t="str">
        <f t="shared" si="0"/>
        <v/>
      </c>
      <c r="C348" s="84"/>
      <c r="D348" s="79" t="str">
        <f t="shared" si="1"/>
        <v/>
      </c>
      <c r="E348" s="84"/>
      <c r="F348" s="79" t="str">
        <f t="shared" si="2"/>
        <v/>
      </c>
      <c r="G348" s="79" t="str">
        <f t="shared" si="3"/>
        <v/>
      </c>
      <c r="H348" s="67"/>
      <c r="I348" s="67"/>
      <c r="J348" s="67"/>
      <c r="K348" s="89"/>
      <c r="L348" s="90"/>
      <c r="M348" s="90"/>
      <c r="N348" s="89"/>
      <c r="O348" s="73"/>
      <c r="P348" s="68"/>
      <c r="Q348" s="51"/>
      <c r="R348" s="51" t="str">
        <f t="shared" si="4"/>
        <v/>
      </c>
      <c r="S348" s="51" t="str">
        <f t="shared" si="5"/>
        <v/>
      </c>
      <c r="T348" s="51" t="str">
        <f t="shared" si="6"/>
        <v/>
      </c>
      <c r="U348" s="51"/>
      <c r="V348" s="51"/>
      <c r="W348" s="51"/>
      <c r="X348" s="51"/>
      <c r="Y348" s="51"/>
      <c r="Z348" s="51"/>
      <c r="AA348" s="51"/>
      <c r="AB348" s="51"/>
      <c r="AC348" s="51"/>
      <c r="AD348" s="51" t="s">
        <v>2178</v>
      </c>
      <c r="AE348" s="51" t="s">
        <v>2179</v>
      </c>
      <c r="AF348" s="51" t="str">
        <f t="shared" si="9"/>
        <v>A679077</v>
      </c>
      <c r="AG348" s="51" t="str">
        <f>VLOOKUP(AF348,AKT!$C$4:$E$324,3,FALSE)</f>
        <v>0942</v>
      </c>
    </row>
    <row r="349" spans="1:33" ht="15.75" customHeight="1">
      <c r="A349" s="84"/>
      <c r="B349" s="79" t="str">
        <f t="shared" si="0"/>
        <v/>
      </c>
      <c r="C349" s="84"/>
      <c r="D349" s="79" t="str">
        <f t="shared" si="1"/>
        <v/>
      </c>
      <c r="E349" s="84"/>
      <c r="F349" s="79" t="str">
        <f t="shared" si="2"/>
        <v/>
      </c>
      <c r="G349" s="79" t="str">
        <f t="shared" si="3"/>
        <v/>
      </c>
      <c r="H349" s="67"/>
      <c r="I349" s="67"/>
      <c r="J349" s="67"/>
      <c r="K349" s="89"/>
      <c r="L349" s="90"/>
      <c r="M349" s="90"/>
      <c r="N349" s="89"/>
      <c r="O349" s="73"/>
      <c r="P349" s="68"/>
      <c r="Q349" s="51"/>
      <c r="R349" s="51" t="str">
        <f t="shared" si="4"/>
        <v/>
      </c>
      <c r="S349" s="51" t="str">
        <f t="shared" si="5"/>
        <v/>
      </c>
      <c r="T349" s="51" t="str">
        <f t="shared" si="6"/>
        <v/>
      </c>
      <c r="U349" s="51"/>
      <c r="V349" s="51"/>
      <c r="W349" s="51"/>
      <c r="X349" s="51"/>
      <c r="Y349" s="51"/>
      <c r="Z349" s="51"/>
      <c r="AA349" s="51"/>
      <c r="AB349" s="51"/>
      <c r="AC349" s="51"/>
      <c r="AD349" s="51" t="s">
        <v>2180</v>
      </c>
      <c r="AE349" s="51" t="s">
        <v>2181</v>
      </c>
      <c r="AF349" s="51" t="str">
        <f t="shared" si="9"/>
        <v>A679077</v>
      </c>
      <c r="AG349" s="51" t="str">
        <f>VLOOKUP(AF349,AKT!$C$4:$E$324,3,FALSE)</f>
        <v>0942</v>
      </c>
    </row>
    <row r="350" spans="1:33" ht="15.75" customHeight="1">
      <c r="A350" s="84"/>
      <c r="B350" s="79" t="str">
        <f t="shared" si="0"/>
        <v/>
      </c>
      <c r="C350" s="84"/>
      <c r="D350" s="79" t="str">
        <f t="shared" si="1"/>
        <v/>
      </c>
      <c r="E350" s="84"/>
      <c r="F350" s="79" t="str">
        <f t="shared" si="2"/>
        <v/>
      </c>
      <c r="G350" s="79" t="str">
        <f t="shared" si="3"/>
        <v/>
      </c>
      <c r="H350" s="67"/>
      <c r="I350" s="67"/>
      <c r="J350" s="67"/>
      <c r="K350" s="89"/>
      <c r="L350" s="90"/>
      <c r="M350" s="90"/>
      <c r="N350" s="89"/>
      <c r="O350" s="73"/>
      <c r="P350" s="68"/>
      <c r="Q350" s="51"/>
      <c r="R350" s="51" t="str">
        <f t="shared" si="4"/>
        <v/>
      </c>
      <c r="S350" s="51" t="str">
        <f t="shared" si="5"/>
        <v/>
      </c>
      <c r="T350" s="51" t="str">
        <f t="shared" si="6"/>
        <v/>
      </c>
      <c r="U350" s="51"/>
      <c r="V350" s="51"/>
      <c r="W350" s="51"/>
      <c r="X350" s="51"/>
      <c r="Y350" s="51"/>
      <c r="Z350" s="51"/>
      <c r="AA350" s="51"/>
      <c r="AB350" s="51"/>
      <c r="AC350" s="51"/>
      <c r="AD350" s="51" t="s">
        <v>2182</v>
      </c>
      <c r="AE350" s="51" t="s">
        <v>2183</v>
      </c>
      <c r="AF350" s="51" t="str">
        <f t="shared" si="9"/>
        <v>A679077</v>
      </c>
      <c r="AG350" s="51" t="str">
        <f>VLOOKUP(AF350,AKT!$C$4:$E$324,3,FALSE)</f>
        <v>0942</v>
      </c>
    </row>
    <row r="351" spans="1:33" ht="15.75" customHeight="1">
      <c r="A351" s="84"/>
      <c r="B351" s="79" t="str">
        <f t="shared" si="0"/>
        <v/>
      </c>
      <c r="C351" s="84"/>
      <c r="D351" s="79" t="str">
        <f t="shared" si="1"/>
        <v/>
      </c>
      <c r="E351" s="84"/>
      <c r="F351" s="79" t="str">
        <f t="shared" si="2"/>
        <v/>
      </c>
      <c r="G351" s="79" t="str">
        <f t="shared" si="3"/>
        <v/>
      </c>
      <c r="H351" s="67"/>
      <c r="I351" s="67"/>
      <c r="J351" s="67"/>
      <c r="K351" s="89"/>
      <c r="L351" s="90"/>
      <c r="M351" s="90"/>
      <c r="N351" s="89"/>
      <c r="O351" s="73"/>
      <c r="P351" s="68"/>
      <c r="Q351" s="51"/>
      <c r="R351" s="51" t="str">
        <f t="shared" si="4"/>
        <v/>
      </c>
      <c r="S351" s="51" t="str">
        <f t="shared" si="5"/>
        <v/>
      </c>
      <c r="T351" s="51" t="str">
        <f t="shared" si="6"/>
        <v/>
      </c>
      <c r="U351" s="51"/>
      <c r="V351" s="51"/>
      <c r="W351" s="51"/>
      <c r="X351" s="51"/>
      <c r="Y351" s="51"/>
      <c r="Z351" s="51"/>
      <c r="AA351" s="51"/>
      <c r="AB351" s="51"/>
      <c r="AC351" s="51"/>
      <c r="AD351" s="51" t="s">
        <v>2184</v>
      </c>
      <c r="AE351" s="51" t="s">
        <v>2185</v>
      </c>
      <c r="AF351" s="51" t="str">
        <f t="shared" si="9"/>
        <v>A679077</v>
      </c>
      <c r="AG351" s="51" t="str">
        <f>VLOOKUP(AF351,AKT!$C$4:$E$324,3,FALSE)</f>
        <v>0942</v>
      </c>
    </row>
    <row r="352" spans="1:33" ht="15.75" customHeight="1">
      <c r="A352" s="84"/>
      <c r="B352" s="79" t="str">
        <f t="shared" si="0"/>
        <v/>
      </c>
      <c r="C352" s="84"/>
      <c r="D352" s="79" t="str">
        <f t="shared" si="1"/>
        <v/>
      </c>
      <c r="E352" s="84"/>
      <c r="F352" s="79" t="str">
        <f t="shared" si="2"/>
        <v/>
      </c>
      <c r="G352" s="79" t="str">
        <f t="shared" si="3"/>
        <v/>
      </c>
      <c r="H352" s="67"/>
      <c r="I352" s="67"/>
      <c r="J352" s="67"/>
      <c r="K352" s="89"/>
      <c r="L352" s="90"/>
      <c r="M352" s="90"/>
      <c r="N352" s="89"/>
      <c r="O352" s="73"/>
      <c r="P352" s="68"/>
      <c r="Q352" s="51"/>
      <c r="R352" s="51" t="str">
        <f t="shared" si="4"/>
        <v/>
      </c>
      <c r="S352" s="51" t="str">
        <f t="shared" si="5"/>
        <v/>
      </c>
      <c r="T352" s="51" t="str">
        <f t="shared" si="6"/>
        <v/>
      </c>
      <c r="U352" s="51"/>
      <c r="V352" s="51"/>
      <c r="W352" s="51"/>
      <c r="X352" s="51"/>
      <c r="Y352" s="51"/>
      <c r="Z352" s="51"/>
      <c r="AA352" s="51"/>
      <c r="AB352" s="51"/>
      <c r="AC352" s="51"/>
      <c r="AD352" s="51" t="s">
        <v>2186</v>
      </c>
      <c r="AE352" s="51" t="s">
        <v>2187</v>
      </c>
      <c r="AF352" s="51" t="str">
        <f t="shared" si="9"/>
        <v>A679077</v>
      </c>
      <c r="AG352" s="51" t="str">
        <f>VLOOKUP(AF352,AKT!$C$4:$E$324,3,FALSE)</f>
        <v>0942</v>
      </c>
    </row>
    <row r="353" spans="1:33" ht="15.75" customHeight="1">
      <c r="A353" s="84"/>
      <c r="B353" s="79" t="str">
        <f t="shared" si="0"/>
        <v/>
      </c>
      <c r="C353" s="84"/>
      <c r="D353" s="79" t="str">
        <f t="shared" si="1"/>
        <v/>
      </c>
      <c r="E353" s="84"/>
      <c r="F353" s="79" t="str">
        <f t="shared" si="2"/>
        <v/>
      </c>
      <c r="G353" s="79" t="str">
        <f t="shared" si="3"/>
        <v/>
      </c>
      <c r="H353" s="67"/>
      <c r="I353" s="67"/>
      <c r="J353" s="67"/>
      <c r="K353" s="89"/>
      <c r="L353" s="90"/>
      <c r="M353" s="90"/>
      <c r="N353" s="89"/>
      <c r="O353" s="73"/>
      <c r="P353" s="68"/>
      <c r="Q353" s="51"/>
      <c r="R353" s="51" t="str">
        <f t="shared" si="4"/>
        <v/>
      </c>
      <c r="S353" s="51" t="str">
        <f t="shared" si="5"/>
        <v/>
      </c>
      <c r="T353" s="51" t="str">
        <f t="shared" si="6"/>
        <v/>
      </c>
      <c r="U353" s="51"/>
      <c r="V353" s="51"/>
      <c r="W353" s="51"/>
      <c r="X353" s="51"/>
      <c r="Y353" s="51"/>
      <c r="Z353" s="51"/>
      <c r="AA353" s="51"/>
      <c r="AB353" s="51"/>
      <c r="AC353" s="51"/>
      <c r="AD353" s="51" t="s">
        <v>2188</v>
      </c>
      <c r="AE353" s="51" t="s">
        <v>2189</v>
      </c>
      <c r="AF353" s="51" t="str">
        <f t="shared" si="9"/>
        <v>A679077</v>
      </c>
      <c r="AG353" s="51" t="str">
        <f>VLOOKUP(AF353,AKT!$C$4:$E$324,3,FALSE)</f>
        <v>0942</v>
      </c>
    </row>
    <row r="354" spans="1:33" ht="15.75" customHeight="1">
      <c r="A354" s="84"/>
      <c r="B354" s="79" t="str">
        <f t="shared" si="0"/>
        <v/>
      </c>
      <c r="C354" s="84"/>
      <c r="D354" s="79" t="str">
        <f t="shared" si="1"/>
        <v/>
      </c>
      <c r="E354" s="84"/>
      <c r="F354" s="79" t="str">
        <f t="shared" si="2"/>
        <v/>
      </c>
      <c r="G354" s="79" t="str">
        <f t="shared" si="3"/>
        <v/>
      </c>
      <c r="H354" s="67"/>
      <c r="I354" s="67"/>
      <c r="J354" s="67"/>
      <c r="K354" s="89"/>
      <c r="L354" s="90"/>
      <c r="M354" s="90"/>
      <c r="N354" s="89"/>
      <c r="O354" s="73"/>
      <c r="P354" s="68"/>
      <c r="Q354" s="51"/>
      <c r="R354" s="51" t="str">
        <f t="shared" si="4"/>
        <v/>
      </c>
      <c r="S354" s="51" t="str">
        <f t="shared" si="5"/>
        <v/>
      </c>
      <c r="T354" s="51" t="str">
        <f t="shared" si="6"/>
        <v/>
      </c>
      <c r="U354" s="51"/>
      <c r="V354" s="51"/>
      <c r="W354" s="51"/>
      <c r="X354" s="51"/>
      <c r="Y354" s="51"/>
      <c r="Z354" s="51"/>
      <c r="AA354" s="51"/>
      <c r="AB354" s="51"/>
      <c r="AC354" s="51"/>
      <c r="AD354" s="51" t="s">
        <v>2190</v>
      </c>
      <c r="AE354" s="51" t="s">
        <v>2191</v>
      </c>
      <c r="AF354" s="51" t="str">
        <f t="shared" si="9"/>
        <v>A679077</v>
      </c>
      <c r="AG354" s="51" t="str">
        <f>VLOOKUP(AF354,AKT!$C$4:$E$324,3,FALSE)</f>
        <v>0942</v>
      </c>
    </row>
    <row r="355" spans="1:33" ht="15.75" customHeight="1">
      <c r="A355" s="84"/>
      <c r="B355" s="79" t="str">
        <f t="shared" si="0"/>
        <v/>
      </c>
      <c r="C355" s="84"/>
      <c r="D355" s="79" t="str">
        <f t="shared" si="1"/>
        <v/>
      </c>
      <c r="E355" s="84"/>
      <c r="F355" s="79" t="str">
        <f t="shared" si="2"/>
        <v/>
      </c>
      <c r="G355" s="79" t="str">
        <f t="shared" si="3"/>
        <v/>
      </c>
      <c r="H355" s="67"/>
      <c r="I355" s="67"/>
      <c r="J355" s="67"/>
      <c r="K355" s="89"/>
      <c r="L355" s="90"/>
      <c r="M355" s="90"/>
      <c r="N355" s="89"/>
      <c r="O355" s="73"/>
      <c r="P355" s="68"/>
      <c r="Q355" s="51"/>
      <c r="R355" s="51" t="str">
        <f t="shared" si="4"/>
        <v/>
      </c>
      <c r="S355" s="51" t="str">
        <f t="shared" si="5"/>
        <v/>
      </c>
      <c r="T355" s="51" t="str">
        <f t="shared" si="6"/>
        <v/>
      </c>
      <c r="U355" s="51"/>
      <c r="V355" s="51"/>
      <c r="W355" s="51"/>
      <c r="X355" s="51"/>
      <c r="Y355" s="51"/>
      <c r="Z355" s="51"/>
      <c r="AA355" s="51"/>
      <c r="AB355" s="51"/>
      <c r="AC355" s="51"/>
      <c r="AD355" s="51" t="s">
        <v>2192</v>
      </c>
      <c r="AE355" s="51" t="s">
        <v>2193</v>
      </c>
      <c r="AF355" s="51" t="str">
        <f t="shared" si="9"/>
        <v>A679077</v>
      </c>
      <c r="AG355" s="51" t="str">
        <f>VLOOKUP(AF355,AKT!$C$4:$E$324,3,FALSE)</f>
        <v>0942</v>
      </c>
    </row>
    <row r="356" spans="1:33" ht="15.75" customHeight="1">
      <c r="A356" s="84"/>
      <c r="B356" s="79" t="str">
        <f t="shared" si="0"/>
        <v/>
      </c>
      <c r="C356" s="84"/>
      <c r="D356" s="79" t="str">
        <f t="shared" si="1"/>
        <v/>
      </c>
      <c r="E356" s="84"/>
      <c r="F356" s="79" t="str">
        <f t="shared" si="2"/>
        <v/>
      </c>
      <c r="G356" s="79" t="str">
        <f t="shared" si="3"/>
        <v/>
      </c>
      <c r="H356" s="67"/>
      <c r="I356" s="67"/>
      <c r="J356" s="67"/>
      <c r="K356" s="89"/>
      <c r="L356" s="90"/>
      <c r="M356" s="90"/>
      <c r="N356" s="89"/>
      <c r="O356" s="73"/>
      <c r="P356" s="68"/>
      <c r="Q356" s="51"/>
      <c r="R356" s="51" t="str">
        <f t="shared" si="4"/>
        <v/>
      </c>
      <c r="S356" s="51" t="str">
        <f t="shared" si="5"/>
        <v/>
      </c>
      <c r="T356" s="51" t="str">
        <f t="shared" si="6"/>
        <v/>
      </c>
      <c r="U356" s="51"/>
      <c r="V356" s="51"/>
      <c r="W356" s="51"/>
      <c r="X356" s="51"/>
      <c r="Y356" s="51"/>
      <c r="Z356" s="51"/>
      <c r="AA356" s="51"/>
      <c r="AB356" s="51"/>
      <c r="AC356" s="51"/>
      <c r="AD356" s="51" t="s">
        <v>2194</v>
      </c>
      <c r="AE356" s="51" t="s">
        <v>2195</v>
      </c>
      <c r="AF356" s="51" t="str">
        <f t="shared" si="9"/>
        <v>A679077</v>
      </c>
      <c r="AG356" s="51" t="str">
        <f>VLOOKUP(AF356,AKT!$C$4:$E$324,3,FALSE)</f>
        <v>0942</v>
      </c>
    </row>
    <row r="357" spans="1:33" ht="15.75" customHeight="1">
      <c r="A357" s="84"/>
      <c r="B357" s="79" t="str">
        <f t="shared" si="0"/>
        <v/>
      </c>
      <c r="C357" s="84"/>
      <c r="D357" s="79" t="str">
        <f t="shared" si="1"/>
        <v/>
      </c>
      <c r="E357" s="84"/>
      <c r="F357" s="79" t="str">
        <f t="shared" si="2"/>
        <v/>
      </c>
      <c r="G357" s="79" t="str">
        <f t="shared" si="3"/>
        <v/>
      </c>
      <c r="H357" s="67"/>
      <c r="I357" s="67"/>
      <c r="J357" s="67"/>
      <c r="K357" s="89"/>
      <c r="L357" s="90"/>
      <c r="M357" s="90"/>
      <c r="N357" s="89"/>
      <c r="O357" s="73"/>
      <c r="P357" s="68"/>
      <c r="Q357" s="51"/>
      <c r="R357" s="51" t="str">
        <f t="shared" si="4"/>
        <v/>
      </c>
      <c r="S357" s="51" t="str">
        <f t="shared" si="5"/>
        <v/>
      </c>
      <c r="T357" s="51" t="str">
        <f t="shared" si="6"/>
        <v/>
      </c>
      <c r="U357" s="51"/>
      <c r="V357" s="51"/>
      <c r="W357" s="51"/>
      <c r="X357" s="51"/>
      <c r="Y357" s="51"/>
      <c r="Z357" s="51"/>
      <c r="AA357" s="51"/>
      <c r="AB357" s="51"/>
      <c r="AC357" s="51"/>
      <c r="AD357" s="51" t="s">
        <v>2196</v>
      </c>
      <c r="AE357" s="51" t="s">
        <v>2197</v>
      </c>
      <c r="AF357" s="51" t="str">
        <f t="shared" si="9"/>
        <v>A679077</v>
      </c>
      <c r="AG357" s="51" t="str">
        <f>VLOOKUP(AF357,AKT!$C$4:$E$324,3,FALSE)</f>
        <v>0942</v>
      </c>
    </row>
    <row r="358" spans="1:33" ht="15.75" customHeight="1">
      <c r="A358" s="84"/>
      <c r="B358" s="79" t="str">
        <f t="shared" si="0"/>
        <v/>
      </c>
      <c r="C358" s="84"/>
      <c r="D358" s="79" t="str">
        <f t="shared" si="1"/>
        <v/>
      </c>
      <c r="E358" s="84"/>
      <c r="F358" s="79" t="str">
        <f t="shared" si="2"/>
        <v/>
      </c>
      <c r="G358" s="79" t="str">
        <f t="shared" si="3"/>
        <v/>
      </c>
      <c r="H358" s="67"/>
      <c r="I358" s="67"/>
      <c r="J358" s="67"/>
      <c r="K358" s="89"/>
      <c r="L358" s="90"/>
      <c r="M358" s="90"/>
      <c r="N358" s="89"/>
      <c r="O358" s="73"/>
      <c r="P358" s="68"/>
      <c r="Q358" s="51"/>
      <c r="R358" s="51" t="str">
        <f t="shared" si="4"/>
        <v/>
      </c>
      <c r="S358" s="51" t="str">
        <f t="shared" si="5"/>
        <v/>
      </c>
      <c r="T358" s="51" t="str">
        <f t="shared" si="6"/>
        <v/>
      </c>
      <c r="U358" s="51"/>
      <c r="V358" s="51"/>
      <c r="W358" s="51"/>
      <c r="X358" s="51"/>
      <c r="Y358" s="51"/>
      <c r="Z358" s="51"/>
      <c r="AA358" s="51"/>
      <c r="AB358" s="51"/>
      <c r="AC358" s="51"/>
      <c r="AD358" s="51" t="s">
        <v>2198</v>
      </c>
      <c r="AE358" s="51" t="s">
        <v>2199</v>
      </c>
      <c r="AF358" s="51" t="str">
        <f t="shared" si="9"/>
        <v>A679077</v>
      </c>
      <c r="AG358" s="51" t="str">
        <f>VLOOKUP(AF358,AKT!$C$4:$E$324,3,FALSE)</f>
        <v>0942</v>
      </c>
    </row>
    <row r="359" spans="1:33" ht="15.75" customHeight="1">
      <c r="A359" s="84"/>
      <c r="B359" s="79" t="str">
        <f t="shared" si="0"/>
        <v/>
      </c>
      <c r="C359" s="84"/>
      <c r="D359" s="79" t="str">
        <f t="shared" si="1"/>
        <v/>
      </c>
      <c r="E359" s="84"/>
      <c r="F359" s="79" t="str">
        <f t="shared" si="2"/>
        <v/>
      </c>
      <c r="G359" s="79" t="str">
        <f t="shared" si="3"/>
        <v/>
      </c>
      <c r="H359" s="67"/>
      <c r="I359" s="67"/>
      <c r="J359" s="67"/>
      <c r="K359" s="89"/>
      <c r="L359" s="90"/>
      <c r="M359" s="90"/>
      <c r="N359" s="89"/>
      <c r="O359" s="73"/>
      <c r="P359" s="68"/>
      <c r="Q359" s="51"/>
      <c r="R359" s="51" t="str">
        <f t="shared" si="4"/>
        <v/>
      </c>
      <c r="S359" s="51" t="str">
        <f t="shared" si="5"/>
        <v/>
      </c>
      <c r="T359" s="51" t="str">
        <f t="shared" si="6"/>
        <v/>
      </c>
      <c r="U359" s="51"/>
      <c r="V359" s="51"/>
      <c r="W359" s="51"/>
      <c r="X359" s="51"/>
      <c r="Y359" s="51"/>
      <c r="Z359" s="51"/>
      <c r="AA359" s="51"/>
      <c r="AB359" s="51"/>
      <c r="AC359" s="51"/>
      <c r="AD359" s="51" t="s">
        <v>2200</v>
      </c>
      <c r="AE359" s="51" t="s">
        <v>2201</v>
      </c>
      <c r="AF359" s="51" t="str">
        <f t="shared" si="9"/>
        <v>A679077</v>
      </c>
      <c r="AG359" s="51" t="str">
        <f>VLOOKUP(AF359,AKT!$C$4:$E$324,3,FALSE)</f>
        <v>0942</v>
      </c>
    </row>
    <row r="360" spans="1:33" ht="15.75" customHeight="1">
      <c r="A360" s="84"/>
      <c r="B360" s="79" t="str">
        <f t="shared" si="0"/>
        <v/>
      </c>
      <c r="C360" s="84"/>
      <c r="D360" s="79" t="str">
        <f t="shared" si="1"/>
        <v/>
      </c>
      <c r="E360" s="84"/>
      <c r="F360" s="79" t="str">
        <f t="shared" si="2"/>
        <v/>
      </c>
      <c r="G360" s="79" t="str">
        <f t="shared" si="3"/>
        <v/>
      </c>
      <c r="H360" s="67"/>
      <c r="I360" s="67"/>
      <c r="J360" s="67"/>
      <c r="K360" s="89"/>
      <c r="L360" s="90"/>
      <c r="M360" s="90"/>
      <c r="N360" s="89"/>
      <c r="O360" s="73"/>
      <c r="P360" s="68"/>
      <c r="Q360" s="51"/>
      <c r="R360" s="51" t="str">
        <f t="shared" si="4"/>
        <v/>
      </c>
      <c r="S360" s="51" t="str">
        <f t="shared" si="5"/>
        <v/>
      </c>
      <c r="T360" s="51" t="str">
        <f t="shared" si="6"/>
        <v/>
      </c>
      <c r="U360" s="51"/>
      <c r="V360" s="51"/>
      <c r="W360" s="51"/>
      <c r="X360" s="51"/>
      <c r="Y360" s="51"/>
      <c r="Z360" s="51"/>
      <c r="AA360" s="51"/>
      <c r="AB360" s="51"/>
      <c r="AC360" s="51"/>
      <c r="AD360" s="51" t="s">
        <v>2202</v>
      </c>
      <c r="AE360" s="51" t="s">
        <v>2203</v>
      </c>
      <c r="AF360" s="51" t="str">
        <f t="shared" si="9"/>
        <v>A679077</v>
      </c>
      <c r="AG360" s="51" t="str">
        <f>VLOOKUP(AF360,AKT!$C$4:$E$324,3,FALSE)</f>
        <v>0942</v>
      </c>
    </row>
    <row r="361" spans="1:33" ht="15.75" customHeight="1">
      <c r="A361" s="84"/>
      <c r="B361" s="79" t="str">
        <f t="shared" si="0"/>
        <v/>
      </c>
      <c r="C361" s="84"/>
      <c r="D361" s="79" t="str">
        <f t="shared" si="1"/>
        <v/>
      </c>
      <c r="E361" s="84"/>
      <c r="F361" s="79" t="str">
        <f t="shared" si="2"/>
        <v/>
      </c>
      <c r="G361" s="79" t="str">
        <f t="shared" si="3"/>
        <v/>
      </c>
      <c r="H361" s="67"/>
      <c r="I361" s="67"/>
      <c r="J361" s="67"/>
      <c r="K361" s="89"/>
      <c r="L361" s="90"/>
      <c r="M361" s="90"/>
      <c r="N361" s="89"/>
      <c r="O361" s="73"/>
      <c r="P361" s="68"/>
      <c r="Q361" s="51"/>
      <c r="R361" s="51" t="str">
        <f t="shared" si="4"/>
        <v/>
      </c>
      <c r="S361" s="51" t="str">
        <f t="shared" si="5"/>
        <v/>
      </c>
      <c r="T361" s="51" t="str">
        <f t="shared" si="6"/>
        <v/>
      </c>
      <c r="U361" s="51"/>
      <c r="V361" s="51"/>
      <c r="W361" s="51"/>
      <c r="X361" s="51"/>
      <c r="Y361" s="51"/>
      <c r="Z361" s="51"/>
      <c r="AA361" s="51"/>
      <c r="AB361" s="51"/>
      <c r="AC361" s="51"/>
      <c r="AD361" s="51" t="s">
        <v>2204</v>
      </c>
      <c r="AE361" s="51" t="s">
        <v>2205</v>
      </c>
      <c r="AF361" s="51" t="str">
        <f t="shared" si="9"/>
        <v>A679077</v>
      </c>
      <c r="AG361" s="51" t="str">
        <f>VLOOKUP(AF361,AKT!$C$4:$E$324,3,FALSE)</f>
        <v>0942</v>
      </c>
    </row>
    <row r="362" spans="1:33" ht="15.75" customHeight="1">
      <c r="A362" s="84"/>
      <c r="B362" s="79" t="str">
        <f t="shared" si="0"/>
        <v/>
      </c>
      <c r="C362" s="84"/>
      <c r="D362" s="79" t="str">
        <f t="shared" si="1"/>
        <v/>
      </c>
      <c r="E362" s="84"/>
      <c r="F362" s="79" t="str">
        <f t="shared" si="2"/>
        <v/>
      </c>
      <c r="G362" s="79" t="str">
        <f t="shared" si="3"/>
        <v/>
      </c>
      <c r="H362" s="67"/>
      <c r="I362" s="67"/>
      <c r="J362" s="67"/>
      <c r="K362" s="89"/>
      <c r="L362" s="90"/>
      <c r="M362" s="90"/>
      <c r="N362" s="89"/>
      <c r="O362" s="73"/>
      <c r="P362" s="68"/>
      <c r="Q362" s="51"/>
      <c r="R362" s="51" t="str">
        <f t="shared" si="4"/>
        <v/>
      </c>
      <c r="S362" s="51" t="str">
        <f t="shared" si="5"/>
        <v/>
      </c>
      <c r="T362" s="51" t="str">
        <f t="shared" si="6"/>
        <v/>
      </c>
      <c r="U362" s="51"/>
      <c r="V362" s="51"/>
      <c r="W362" s="51"/>
      <c r="X362" s="51"/>
      <c r="Y362" s="51"/>
      <c r="Z362" s="51"/>
      <c r="AA362" s="51"/>
      <c r="AB362" s="51"/>
      <c r="AC362" s="51"/>
      <c r="AD362" s="51" t="s">
        <v>2206</v>
      </c>
      <c r="AE362" s="51" t="s">
        <v>2207</v>
      </c>
      <c r="AF362" s="51" t="str">
        <f t="shared" si="9"/>
        <v>A679077</v>
      </c>
      <c r="AG362" s="51" t="str">
        <f>VLOOKUP(AF362,AKT!$C$4:$E$324,3,FALSE)</f>
        <v>0942</v>
      </c>
    </row>
    <row r="363" spans="1:33" ht="15.75" customHeight="1">
      <c r="A363" s="84"/>
      <c r="B363" s="79" t="str">
        <f t="shared" si="0"/>
        <v/>
      </c>
      <c r="C363" s="84"/>
      <c r="D363" s="79" t="str">
        <f t="shared" si="1"/>
        <v/>
      </c>
      <c r="E363" s="84"/>
      <c r="F363" s="79" t="str">
        <f t="shared" si="2"/>
        <v/>
      </c>
      <c r="G363" s="79" t="str">
        <f t="shared" si="3"/>
        <v/>
      </c>
      <c r="H363" s="67"/>
      <c r="I363" s="67"/>
      <c r="J363" s="67"/>
      <c r="K363" s="89"/>
      <c r="L363" s="90"/>
      <c r="M363" s="90"/>
      <c r="N363" s="89"/>
      <c r="O363" s="73"/>
      <c r="P363" s="68"/>
      <c r="Q363" s="51"/>
      <c r="R363" s="51" t="str">
        <f t="shared" si="4"/>
        <v/>
      </c>
      <c r="S363" s="51" t="str">
        <f t="shared" si="5"/>
        <v/>
      </c>
      <c r="T363" s="51" t="str">
        <f t="shared" si="6"/>
        <v/>
      </c>
      <c r="U363" s="51"/>
      <c r="V363" s="51"/>
      <c r="W363" s="51"/>
      <c r="X363" s="51"/>
      <c r="Y363" s="51"/>
      <c r="Z363" s="51"/>
      <c r="AA363" s="51"/>
      <c r="AB363" s="51"/>
      <c r="AC363" s="51"/>
      <c r="AD363" s="51" t="s">
        <v>2208</v>
      </c>
      <c r="AE363" s="51" t="s">
        <v>2209</v>
      </c>
      <c r="AF363" s="51" t="str">
        <f t="shared" si="9"/>
        <v>A679077</v>
      </c>
      <c r="AG363" s="51" t="str">
        <f>VLOOKUP(AF363,AKT!$C$4:$E$324,3,FALSE)</f>
        <v>0942</v>
      </c>
    </row>
    <row r="364" spans="1:33" ht="15.75" customHeight="1">
      <c r="A364" s="84"/>
      <c r="B364" s="79" t="str">
        <f t="shared" si="0"/>
        <v/>
      </c>
      <c r="C364" s="84"/>
      <c r="D364" s="79" t="str">
        <f t="shared" si="1"/>
        <v/>
      </c>
      <c r="E364" s="84"/>
      <c r="F364" s="79" t="str">
        <f t="shared" si="2"/>
        <v/>
      </c>
      <c r="G364" s="79" t="str">
        <f t="shared" si="3"/>
        <v/>
      </c>
      <c r="H364" s="67"/>
      <c r="I364" s="67"/>
      <c r="J364" s="67"/>
      <c r="K364" s="89"/>
      <c r="L364" s="90"/>
      <c r="M364" s="90"/>
      <c r="N364" s="89"/>
      <c r="O364" s="73"/>
      <c r="P364" s="68"/>
      <c r="Q364" s="51"/>
      <c r="R364" s="51" t="str">
        <f t="shared" si="4"/>
        <v/>
      </c>
      <c r="S364" s="51" t="str">
        <f t="shared" si="5"/>
        <v/>
      </c>
      <c r="T364" s="51" t="str">
        <f t="shared" si="6"/>
        <v/>
      </c>
      <c r="U364" s="51"/>
      <c r="V364" s="51"/>
      <c r="W364" s="51"/>
      <c r="X364" s="51"/>
      <c r="Y364" s="51"/>
      <c r="Z364" s="51"/>
      <c r="AA364" s="51"/>
      <c r="AB364" s="51"/>
      <c r="AC364" s="51"/>
      <c r="AD364" s="51" t="s">
        <v>2210</v>
      </c>
      <c r="AE364" s="51" t="s">
        <v>2211</v>
      </c>
      <c r="AF364" s="51" t="str">
        <f t="shared" si="9"/>
        <v>A679077</v>
      </c>
      <c r="AG364" s="51" t="str">
        <f>VLOOKUP(AF364,AKT!$C$4:$E$324,3,FALSE)</f>
        <v>0942</v>
      </c>
    </row>
    <row r="365" spans="1:33" ht="15.75" customHeight="1">
      <c r="A365" s="84"/>
      <c r="B365" s="79" t="str">
        <f t="shared" si="0"/>
        <v/>
      </c>
      <c r="C365" s="84"/>
      <c r="D365" s="79" t="str">
        <f t="shared" si="1"/>
        <v/>
      </c>
      <c r="E365" s="84"/>
      <c r="F365" s="79" t="str">
        <f t="shared" si="2"/>
        <v/>
      </c>
      <c r="G365" s="79" t="str">
        <f t="shared" si="3"/>
        <v/>
      </c>
      <c r="H365" s="67"/>
      <c r="I365" s="67"/>
      <c r="J365" s="67"/>
      <c r="K365" s="89"/>
      <c r="L365" s="90"/>
      <c r="M365" s="90"/>
      <c r="N365" s="89"/>
      <c r="O365" s="73"/>
      <c r="P365" s="68"/>
      <c r="Q365" s="51"/>
      <c r="R365" s="51" t="str">
        <f t="shared" si="4"/>
        <v/>
      </c>
      <c r="S365" s="51" t="str">
        <f t="shared" si="5"/>
        <v/>
      </c>
      <c r="T365" s="51" t="str">
        <f t="shared" si="6"/>
        <v/>
      </c>
      <c r="U365" s="51"/>
      <c r="V365" s="51"/>
      <c r="W365" s="51"/>
      <c r="X365" s="51"/>
      <c r="Y365" s="51"/>
      <c r="Z365" s="51"/>
      <c r="AA365" s="51"/>
      <c r="AB365" s="51"/>
      <c r="AC365" s="51"/>
      <c r="AD365" s="51" t="s">
        <v>2212</v>
      </c>
      <c r="AE365" s="51" t="s">
        <v>2213</v>
      </c>
      <c r="AF365" s="51" t="str">
        <f t="shared" si="9"/>
        <v>A679077</v>
      </c>
      <c r="AG365" s="51" t="str">
        <f>VLOOKUP(AF365,AKT!$C$4:$E$324,3,FALSE)</f>
        <v>0942</v>
      </c>
    </row>
    <row r="366" spans="1:33" ht="15.75" customHeight="1">
      <c r="A366" s="84"/>
      <c r="B366" s="79" t="str">
        <f t="shared" si="0"/>
        <v/>
      </c>
      <c r="C366" s="84"/>
      <c r="D366" s="79" t="str">
        <f t="shared" si="1"/>
        <v/>
      </c>
      <c r="E366" s="84"/>
      <c r="F366" s="79" t="str">
        <f t="shared" si="2"/>
        <v/>
      </c>
      <c r="G366" s="79" t="str">
        <f t="shared" si="3"/>
        <v/>
      </c>
      <c r="H366" s="67"/>
      <c r="I366" s="67"/>
      <c r="J366" s="67"/>
      <c r="K366" s="89"/>
      <c r="L366" s="90"/>
      <c r="M366" s="90"/>
      <c r="N366" s="89"/>
      <c r="O366" s="73"/>
      <c r="P366" s="68"/>
      <c r="Q366" s="51"/>
      <c r="R366" s="51" t="str">
        <f t="shared" si="4"/>
        <v/>
      </c>
      <c r="S366" s="51" t="str">
        <f t="shared" si="5"/>
        <v/>
      </c>
      <c r="T366" s="51" t="str">
        <f t="shared" si="6"/>
        <v/>
      </c>
      <c r="U366" s="51"/>
      <c r="V366" s="51"/>
      <c r="W366" s="51"/>
      <c r="X366" s="51"/>
      <c r="Y366" s="51"/>
      <c r="Z366" s="51"/>
      <c r="AA366" s="51"/>
      <c r="AB366" s="51"/>
      <c r="AC366" s="51"/>
      <c r="AD366" s="51" t="s">
        <v>2214</v>
      </c>
      <c r="AE366" s="51" t="s">
        <v>2215</v>
      </c>
      <c r="AF366" s="51" t="str">
        <f t="shared" si="9"/>
        <v>A679077</v>
      </c>
      <c r="AG366" s="51" t="str">
        <f>VLOOKUP(AF366,AKT!$C$4:$E$324,3,FALSE)</f>
        <v>0942</v>
      </c>
    </row>
    <row r="367" spans="1:33" ht="15.75" customHeight="1">
      <c r="A367" s="84"/>
      <c r="B367" s="79" t="str">
        <f t="shared" si="0"/>
        <v/>
      </c>
      <c r="C367" s="84"/>
      <c r="D367" s="79" t="str">
        <f t="shared" si="1"/>
        <v/>
      </c>
      <c r="E367" s="84"/>
      <c r="F367" s="79" t="str">
        <f t="shared" si="2"/>
        <v/>
      </c>
      <c r="G367" s="79" t="str">
        <f t="shared" si="3"/>
        <v/>
      </c>
      <c r="H367" s="67"/>
      <c r="I367" s="67"/>
      <c r="J367" s="67"/>
      <c r="K367" s="89"/>
      <c r="L367" s="90"/>
      <c r="M367" s="90"/>
      <c r="N367" s="89"/>
      <c r="O367" s="73"/>
      <c r="P367" s="68"/>
      <c r="Q367" s="51"/>
      <c r="R367" s="51" t="str">
        <f t="shared" si="4"/>
        <v/>
      </c>
      <c r="S367" s="51" t="str">
        <f t="shared" si="5"/>
        <v/>
      </c>
      <c r="T367" s="51" t="str">
        <f t="shared" si="6"/>
        <v/>
      </c>
      <c r="U367" s="51"/>
      <c r="V367" s="51"/>
      <c r="W367" s="51"/>
      <c r="X367" s="51"/>
      <c r="Y367" s="51"/>
      <c r="Z367" s="51"/>
      <c r="AA367" s="51"/>
      <c r="AB367" s="51"/>
      <c r="AC367" s="51"/>
      <c r="AD367" s="51" t="s">
        <v>2216</v>
      </c>
      <c r="AE367" s="51" t="s">
        <v>2217</v>
      </c>
      <c r="AF367" s="51" t="str">
        <f t="shared" si="9"/>
        <v>A679077</v>
      </c>
      <c r="AG367" s="51" t="str">
        <f>VLOOKUP(AF367,AKT!$C$4:$E$324,3,FALSE)</f>
        <v>0942</v>
      </c>
    </row>
    <row r="368" spans="1:33" ht="15.75" customHeight="1">
      <c r="A368" s="84"/>
      <c r="B368" s="79" t="str">
        <f t="shared" si="0"/>
        <v/>
      </c>
      <c r="C368" s="84"/>
      <c r="D368" s="79" t="str">
        <f t="shared" si="1"/>
        <v/>
      </c>
      <c r="E368" s="84"/>
      <c r="F368" s="79" t="str">
        <f t="shared" si="2"/>
        <v/>
      </c>
      <c r="G368" s="79" t="str">
        <f t="shared" si="3"/>
        <v/>
      </c>
      <c r="H368" s="67"/>
      <c r="I368" s="67"/>
      <c r="J368" s="67"/>
      <c r="K368" s="89"/>
      <c r="L368" s="90"/>
      <c r="M368" s="90"/>
      <c r="N368" s="89"/>
      <c r="O368" s="73"/>
      <c r="P368" s="68"/>
      <c r="Q368" s="51"/>
      <c r="R368" s="51" t="str">
        <f t="shared" si="4"/>
        <v/>
      </c>
      <c r="S368" s="51" t="str">
        <f t="shared" si="5"/>
        <v/>
      </c>
      <c r="T368" s="51" t="str">
        <f t="shared" si="6"/>
        <v/>
      </c>
      <c r="U368" s="51"/>
      <c r="V368" s="51"/>
      <c r="W368" s="51"/>
      <c r="X368" s="51"/>
      <c r="Y368" s="51"/>
      <c r="Z368" s="51"/>
      <c r="AA368" s="51"/>
      <c r="AB368" s="51"/>
      <c r="AC368" s="51"/>
      <c r="AD368" s="51" t="s">
        <v>2218</v>
      </c>
      <c r="AE368" s="51" t="s">
        <v>2219</v>
      </c>
      <c r="AF368" s="51" t="str">
        <f t="shared" si="9"/>
        <v>A679077</v>
      </c>
      <c r="AG368" s="51" t="str">
        <f>VLOOKUP(AF368,AKT!$C$4:$E$324,3,FALSE)</f>
        <v>0942</v>
      </c>
    </row>
    <row r="369" spans="1:33" ht="15.75" customHeight="1">
      <c r="A369" s="84"/>
      <c r="B369" s="79" t="str">
        <f t="shared" si="0"/>
        <v/>
      </c>
      <c r="C369" s="84"/>
      <c r="D369" s="79" t="str">
        <f t="shared" si="1"/>
        <v/>
      </c>
      <c r="E369" s="84"/>
      <c r="F369" s="79" t="str">
        <f t="shared" si="2"/>
        <v/>
      </c>
      <c r="G369" s="79" t="str">
        <f t="shared" si="3"/>
        <v/>
      </c>
      <c r="H369" s="67"/>
      <c r="I369" s="67"/>
      <c r="J369" s="67"/>
      <c r="K369" s="89"/>
      <c r="L369" s="90"/>
      <c r="M369" s="90"/>
      <c r="N369" s="89"/>
      <c r="O369" s="73"/>
      <c r="P369" s="68"/>
      <c r="Q369" s="51"/>
      <c r="R369" s="51" t="str">
        <f t="shared" si="4"/>
        <v/>
      </c>
      <c r="S369" s="51" t="str">
        <f t="shared" si="5"/>
        <v/>
      </c>
      <c r="T369" s="51" t="str">
        <f t="shared" si="6"/>
        <v/>
      </c>
      <c r="U369" s="51"/>
      <c r="V369" s="51"/>
      <c r="W369" s="51"/>
      <c r="X369" s="51"/>
      <c r="Y369" s="51"/>
      <c r="Z369" s="51"/>
      <c r="AA369" s="51"/>
      <c r="AB369" s="51"/>
      <c r="AC369" s="51"/>
      <c r="AD369" s="51" t="s">
        <v>2220</v>
      </c>
      <c r="AE369" s="51" t="s">
        <v>2221</v>
      </c>
      <c r="AF369" s="51" t="str">
        <f t="shared" si="9"/>
        <v>A679077</v>
      </c>
      <c r="AG369" s="51" t="str">
        <f>VLOOKUP(AF369,AKT!$C$4:$E$324,3,FALSE)</f>
        <v>0942</v>
      </c>
    </row>
    <row r="370" spans="1:33" ht="15.75" customHeight="1">
      <c r="A370" s="84"/>
      <c r="B370" s="79" t="str">
        <f t="shared" si="0"/>
        <v/>
      </c>
      <c r="C370" s="84"/>
      <c r="D370" s="79" t="str">
        <f t="shared" si="1"/>
        <v/>
      </c>
      <c r="E370" s="84"/>
      <c r="F370" s="79" t="str">
        <f t="shared" si="2"/>
        <v/>
      </c>
      <c r="G370" s="79" t="str">
        <f t="shared" si="3"/>
        <v/>
      </c>
      <c r="H370" s="67"/>
      <c r="I370" s="67"/>
      <c r="J370" s="67"/>
      <c r="K370" s="89"/>
      <c r="L370" s="90"/>
      <c r="M370" s="90"/>
      <c r="N370" s="89"/>
      <c r="O370" s="73"/>
      <c r="P370" s="68"/>
      <c r="Q370" s="51"/>
      <c r="R370" s="51" t="str">
        <f t="shared" si="4"/>
        <v/>
      </c>
      <c r="S370" s="51" t="str">
        <f t="shared" si="5"/>
        <v/>
      </c>
      <c r="T370" s="51" t="str">
        <f t="shared" si="6"/>
        <v/>
      </c>
      <c r="U370" s="51"/>
      <c r="V370" s="51"/>
      <c r="W370" s="51"/>
      <c r="X370" s="51"/>
      <c r="Y370" s="51"/>
      <c r="Z370" s="51"/>
      <c r="AA370" s="51"/>
      <c r="AB370" s="51"/>
      <c r="AC370" s="51"/>
      <c r="AD370" s="51" t="s">
        <v>2222</v>
      </c>
      <c r="AE370" s="51" t="s">
        <v>2223</v>
      </c>
      <c r="AF370" s="51" t="str">
        <f t="shared" si="9"/>
        <v>A679077</v>
      </c>
      <c r="AG370" s="51" t="str">
        <f>VLOOKUP(AF370,AKT!$C$4:$E$324,3,FALSE)</f>
        <v>0942</v>
      </c>
    </row>
    <row r="371" spans="1:33" ht="15.75" customHeight="1">
      <c r="A371" s="84"/>
      <c r="B371" s="79" t="str">
        <f t="shared" si="0"/>
        <v/>
      </c>
      <c r="C371" s="84"/>
      <c r="D371" s="79" t="str">
        <f t="shared" si="1"/>
        <v/>
      </c>
      <c r="E371" s="84"/>
      <c r="F371" s="79" t="str">
        <f t="shared" si="2"/>
        <v/>
      </c>
      <c r="G371" s="79" t="str">
        <f t="shared" si="3"/>
        <v/>
      </c>
      <c r="H371" s="67"/>
      <c r="I371" s="67"/>
      <c r="J371" s="67"/>
      <c r="K371" s="89"/>
      <c r="L371" s="90"/>
      <c r="M371" s="90"/>
      <c r="N371" s="89"/>
      <c r="O371" s="73"/>
      <c r="P371" s="68"/>
      <c r="Q371" s="51"/>
      <c r="R371" s="51" t="str">
        <f t="shared" si="4"/>
        <v/>
      </c>
      <c r="S371" s="51" t="str">
        <f t="shared" si="5"/>
        <v/>
      </c>
      <c r="T371" s="51" t="str">
        <f t="shared" si="6"/>
        <v/>
      </c>
      <c r="U371" s="51"/>
      <c r="V371" s="51"/>
      <c r="W371" s="51"/>
      <c r="X371" s="51"/>
      <c r="Y371" s="51"/>
      <c r="Z371" s="51"/>
      <c r="AA371" s="51"/>
      <c r="AB371" s="51"/>
      <c r="AC371" s="51"/>
      <c r="AD371" s="51" t="s">
        <v>2224</v>
      </c>
      <c r="AE371" s="51" t="s">
        <v>2225</v>
      </c>
      <c r="AF371" s="51" t="str">
        <f t="shared" si="9"/>
        <v>A679077</v>
      </c>
      <c r="AG371" s="51" t="str">
        <f>VLOOKUP(AF371,AKT!$C$4:$E$324,3,FALSE)</f>
        <v>0942</v>
      </c>
    </row>
    <row r="372" spans="1:33" ht="15.75" customHeight="1">
      <c r="A372" s="84"/>
      <c r="B372" s="79" t="str">
        <f t="shared" si="0"/>
        <v/>
      </c>
      <c r="C372" s="84"/>
      <c r="D372" s="79" t="str">
        <f t="shared" si="1"/>
        <v/>
      </c>
      <c r="E372" s="84"/>
      <c r="F372" s="79" t="str">
        <f t="shared" si="2"/>
        <v/>
      </c>
      <c r="G372" s="79" t="str">
        <f t="shared" si="3"/>
        <v/>
      </c>
      <c r="H372" s="67"/>
      <c r="I372" s="67"/>
      <c r="J372" s="67"/>
      <c r="K372" s="89"/>
      <c r="L372" s="90"/>
      <c r="M372" s="90"/>
      <c r="N372" s="89"/>
      <c r="O372" s="73"/>
      <c r="P372" s="68"/>
      <c r="Q372" s="51"/>
      <c r="R372" s="51" t="str">
        <f t="shared" si="4"/>
        <v/>
      </c>
      <c r="S372" s="51" t="str">
        <f t="shared" si="5"/>
        <v/>
      </c>
      <c r="T372" s="51" t="str">
        <f t="shared" si="6"/>
        <v/>
      </c>
      <c r="U372" s="51"/>
      <c r="V372" s="51"/>
      <c r="W372" s="51"/>
      <c r="X372" s="51"/>
      <c r="Y372" s="51"/>
      <c r="Z372" s="51"/>
      <c r="AA372" s="51"/>
      <c r="AB372" s="51"/>
      <c r="AC372" s="51"/>
      <c r="AD372" s="51" t="s">
        <v>2226</v>
      </c>
      <c r="AE372" s="51" t="s">
        <v>2227</v>
      </c>
      <c r="AF372" s="51" t="str">
        <f t="shared" si="9"/>
        <v>A679077</v>
      </c>
      <c r="AG372" s="51" t="str">
        <f>VLOOKUP(AF372,AKT!$C$4:$E$324,3,FALSE)</f>
        <v>0942</v>
      </c>
    </row>
    <row r="373" spans="1:33" ht="15.75" customHeight="1">
      <c r="A373" s="84"/>
      <c r="B373" s="79" t="str">
        <f t="shared" si="0"/>
        <v/>
      </c>
      <c r="C373" s="84"/>
      <c r="D373" s="79" t="str">
        <f t="shared" si="1"/>
        <v/>
      </c>
      <c r="E373" s="84"/>
      <c r="F373" s="79" t="str">
        <f t="shared" si="2"/>
        <v/>
      </c>
      <c r="G373" s="79" t="str">
        <f t="shared" si="3"/>
        <v/>
      </c>
      <c r="H373" s="67"/>
      <c r="I373" s="67"/>
      <c r="J373" s="67"/>
      <c r="K373" s="89"/>
      <c r="L373" s="90"/>
      <c r="M373" s="90"/>
      <c r="N373" s="89"/>
      <c r="O373" s="73"/>
      <c r="P373" s="68"/>
      <c r="Q373" s="51"/>
      <c r="R373" s="51" t="str">
        <f t="shared" si="4"/>
        <v/>
      </c>
      <c r="S373" s="51" t="str">
        <f t="shared" si="5"/>
        <v/>
      </c>
      <c r="T373" s="51" t="str">
        <f t="shared" si="6"/>
        <v/>
      </c>
      <c r="U373" s="51"/>
      <c r="V373" s="51"/>
      <c r="W373" s="51"/>
      <c r="X373" s="51"/>
      <c r="Y373" s="51"/>
      <c r="Z373" s="51"/>
      <c r="AA373" s="51"/>
      <c r="AB373" s="51"/>
      <c r="AC373" s="51"/>
      <c r="AD373" s="51" t="s">
        <v>2228</v>
      </c>
      <c r="AE373" s="51" t="s">
        <v>2229</v>
      </c>
      <c r="AF373" s="51" t="str">
        <f t="shared" si="9"/>
        <v>A679077</v>
      </c>
      <c r="AG373" s="51" t="str">
        <f>VLOOKUP(AF373,AKT!$C$4:$E$324,3,FALSE)</f>
        <v>0942</v>
      </c>
    </row>
    <row r="374" spans="1:33" ht="15.75" customHeight="1">
      <c r="A374" s="84"/>
      <c r="B374" s="79" t="str">
        <f t="shared" si="0"/>
        <v/>
      </c>
      <c r="C374" s="84"/>
      <c r="D374" s="79" t="str">
        <f t="shared" si="1"/>
        <v/>
      </c>
      <c r="E374" s="84"/>
      <c r="F374" s="79" t="str">
        <f t="shared" si="2"/>
        <v/>
      </c>
      <c r="G374" s="79" t="str">
        <f t="shared" si="3"/>
        <v/>
      </c>
      <c r="H374" s="67"/>
      <c r="I374" s="67"/>
      <c r="J374" s="67"/>
      <c r="K374" s="89"/>
      <c r="L374" s="90"/>
      <c r="M374" s="90"/>
      <c r="N374" s="89"/>
      <c r="O374" s="73"/>
      <c r="P374" s="68"/>
      <c r="Q374" s="51"/>
      <c r="R374" s="51" t="str">
        <f t="shared" si="4"/>
        <v/>
      </c>
      <c r="S374" s="51" t="str">
        <f t="shared" si="5"/>
        <v/>
      </c>
      <c r="T374" s="51" t="str">
        <f t="shared" si="6"/>
        <v/>
      </c>
      <c r="U374" s="51"/>
      <c r="V374" s="51"/>
      <c r="W374" s="51"/>
      <c r="X374" s="51"/>
      <c r="Y374" s="51"/>
      <c r="Z374" s="51"/>
      <c r="AA374" s="51"/>
      <c r="AB374" s="51"/>
      <c r="AC374" s="51"/>
      <c r="AD374" s="51" t="s">
        <v>2230</v>
      </c>
      <c r="AE374" s="51" t="s">
        <v>2231</v>
      </c>
      <c r="AF374" s="51" t="str">
        <f t="shared" si="9"/>
        <v>A679077</v>
      </c>
      <c r="AG374" s="51" t="str">
        <f>VLOOKUP(AF374,AKT!$C$4:$E$324,3,FALSE)</f>
        <v>0942</v>
      </c>
    </row>
    <row r="375" spans="1:33" ht="15.75" customHeight="1">
      <c r="A375" s="84"/>
      <c r="B375" s="79" t="str">
        <f t="shared" si="0"/>
        <v/>
      </c>
      <c r="C375" s="84"/>
      <c r="D375" s="79" t="str">
        <f t="shared" si="1"/>
        <v/>
      </c>
      <c r="E375" s="84"/>
      <c r="F375" s="79" t="str">
        <f t="shared" si="2"/>
        <v/>
      </c>
      <c r="G375" s="79" t="str">
        <f t="shared" si="3"/>
        <v/>
      </c>
      <c r="H375" s="67"/>
      <c r="I375" s="67"/>
      <c r="J375" s="67"/>
      <c r="K375" s="89"/>
      <c r="L375" s="90"/>
      <c r="M375" s="90"/>
      <c r="N375" s="89"/>
      <c r="O375" s="73"/>
      <c r="P375" s="68"/>
      <c r="Q375" s="51"/>
      <c r="R375" s="51" t="str">
        <f t="shared" si="4"/>
        <v/>
      </c>
      <c r="S375" s="51" t="str">
        <f t="shared" si="5"/>
        <v/>
      </c>
      <c r="T375" s="51" t="str">
        <f t="shared" si="6"/>
        <v/>
      </c>
      <c r="U375" s="51"/>
      <c r="V375" s="51"/>
      <c r="W375" s="51"/>
      <c r="X375" s="51"/>
      <c r="Y375" s="51"/>
      <c r="Z375" s="51"/>
      <c r="AA375" s="51"/>
      <c r="AB375" s="51"/>
      <c r="AC375" s="51"/>
      <c r="AD375" s="51" t="s">
        <v>2232</v>
      </c>
      <c r="AE375" s="51" t="s">
        <v>2233</v>
      </c>
      <c r="AF375" s="51" t="str">
        <f t="shared" si="9"/>
        <v>A679077</v>
      </c>
      <c r="AG375" s="51" t="str">
        <f>VLOOKUP(AF375,AKT!$C$4:$E$324,3,FALSE)</f>
        <v>0942</v>
      </c>
    </row>
    <row r="376" spans="1:33" ht="15.75" customHeight="1">
      <c r="A376" s="84"/>
      <c r="B376" s="79" t="str">
        <f t="shared" si="0"/>
        <v/>
      </c>
      <c r="C376" s="84"/>
      <c r="D376" s="79" t="str">
        <f t="shared" si="1"/>
        <v/>
      </c>
      <c r="E376" s="84"/>
      <c r="F376" s="79" t="str">
        <f t="shared" si="2"/>
        <v/>
      </c>
      <c r="G376" s="79" t="str">
        <f t="shared" si="3"/>
        <v/>
      </c>
      <c r="H376" s="67"/>
      <c r="I376" s="67"/>
      <c r="J376" s="67"/>
      <c r="K376" s="89"/>
      <c r="L376" s="90"/>
      <c r="M376" s="90"/>
      <c r="N376" s="89"/>
      <c r="O376" s="73"/>
      <c r="P376" s="68"/>
      <c r="Q376" s="51"/>
      <c r="R376" s="51" t="str">
        <f t="shared" si="4"/>
        <v/>
      </c>
      <c r="S376" s="51" t="str">
        <f t="shared" si="5"/>
        <v/>
      </c>
      <c r="T376" s="51" t="str">
        <f t="shared" si="6"/>
        <v/>
      </c>
      <c r="U376" s="51"/>
      <c r="V376" s="51"/>
      <c r="W376" s="51"/>
      <c r="X376" s="51"/>
      <c r="Y376" s="51"/>
      <c r="Z376" s="51"/>
      <c r="AA376" s="51"/>
      <c r="AB376" s="51"/>
      <c r="AC376" s="51"/>
      <c r="AD376" s="51" t="s">
        <v>2234</v>
      </c>
      <c r="AE376" s="51" t="s">
        <v>2235</v>
      </c>
      <c r="AF376" s="51" t="str">
        <f t="shared" si="9"/>
        <v>A679077</v>
      </c>
      <c r="AG376" s="51" t="str">
        <f>VLOOKUP(AF376,AKT!$C$4:$E$324,3,FALSE)</f>
        <v>0942</v>
      </c>
    </row>
    <row r="377" spans="1:33" ht="15.75" customHeight="1">
      <c r="A377" s="84"/>
      <c r="B377" s="79" t="str">
        <f t="shared" si="0"/>
        <v/>
      </c>
      <c r="C377" s="84"/>
      <c r="D377" s="79" t="str">
        <f t="shared" si="1"/>
        <v/>
      </c>
      <c r="E377" s="84"/>
      <c r="F377" s="79" t="str">
        <f t="shared" si="2"/>
        <v/>
      </c>
      <c r="G377" s="79" t="str">
        <f t="shared" si="3"/>
        <v/>
      </c>
      <c r="H377" s="67"/>
      <c r="I377" s="67"/>
      <c r="J377" s="67"/>
      <c r="K377" s="89"/>
      <c r="L377" s="90"/>
      <c r="M377" s="90"/>
      <c r="N377" s="89"/>
      <c r="O377" s="73"/>
      <c r="P377" s="68"/>
      <c r="Q377" s="51"/>
      <c r="R377" s="51" t="str">
        <f t="shared" si="4"/>
        <v/>
      </c>
      <c r="S377" s="51" t="str">
        <f t="shared" si="5"/>
        <v/>
      </c>
      <c r="T377" s="51" t="str">
        <f t="shared" si="6"/>
        <v/>
      </c>
      <c r="U377" s="51"/>
      <c r="V377" s="51"/>
      <c r="W377" s="51"/>
      <c r="X377" s="51"/>
      <c r="Y377" s="51"/>
      <c r="Z377" s="51"/>
      <c r="AA377" s="51"/>
      <c r="AB377" s="51"/>
      <c r="AC377" s="51"/>
      <c r="AD377" s="51" t="s">
        <v>2236</v>
      </c>
      <c r="AE377" s="51" t="s">
        <v>2237</v>
      </c>
      <c r="AF377" s="51" t="str">
        <f t="shared" si="9"/>
        <v>A679077</v>
      </c>
      <c r="AG377" s="51" t="str">
        <f>VLOOKUP(AF377,AKT!$C$4:$E$324,3,FALSE)</f>
        <v>0942</v>
      </c>
    </row>
    <row r="378" spans="1:33" ht="15.75" customHeight="1">
      <c r="A378" s="84"/>
      <c r="B378" s="79" t="str">
        <f t="shared" si="0"/>
        <v/>
      </c>
      <c r="C378" s="84"/>
      <c r="D378" s="79" t="str">
        <f t="shared" si="1"/>
        <v/>
      </c>
      <c r="E378" s="84"/>
      <c r="F378" s="79" t="str">
        <f t="shared" si="2"/>
        <v/>
      </c>
      <c r="G378" s="79" t="str">
        <f t="shared" si="3"/>
        <v/>
      </c>
      <c r="H378" s="67"/>
      <c r="I378" s="67"/>
      <c r="J378" s="67"/>
      <c r="K378" s="89"/>
      <c r="L378" s="90"/>
      <c r="M378" s="90"/>
      <c r="N378" s="89"/>
      <c r="O378" s="73"/>
      <c r="P378" s="68"/>
      <c r="Q378" s="51"/>
      <c r="R378" s="51" t="str">
        <f t="shared" si="4"/>
        <v/>
      </c>
      <c r="S378" s="51" t="str">
        <f t="shared" si="5"/>
        <v/>
      </c>
      <c r="T378" s="51" t="str">
        <f t="shared" si="6"/>
        <v/>
      </c>
      <c r="U378" s="51"/>
      <c r="V378" s="51"/>
      <c r="W378" s="51"/>
      <c r="X378" s="51"/>
      <c r="Y378" s="51"/>
      <c r="Z378" s="51"/>
      <c r="AA378" s="51"/>
      <c r="AB378" s="51"/>
      <c r="AC378" s="51"/>
      <c r="AD378" s="51" t="s">
        <v>2238</v>
      </c>
      <c r="AE378" s="51" t="s">
        <v>2239</v>
      </c>
      <c r="AF378" s="51" t="str">
        <f t="shared" si="9"/>
        <v>A679077</v>
      </c>
      <c r="AG378" s="51" t="str">
        <f>VLOOKUP(AF378,AKT!$C$4:$E$324,3,FALSE)</f>
        <v>0942</v>
      </c>
    </row>
    <row r="379" spans="1:33" ht="15.75" customHeight="1">
      <c r="A379" s="84"/>
      <c r="B379" s="79" t="str">
        <f t="shared" si="0"/>
        <v/>
      </c>
      <c r="C379" s="84"/>
      <c r="D379" s="79" t="str">
        <f t="shared" si="1"/>
        <v/>
      </c>
      <c r="E379" s="84"/>
      <c r="F379" s="79" t="str">
        <f t="shared" si="2"/>
        <v/>
      </c>
      <c r="G379" s="79" t="str">
        <f t="shared" si="3"/>
        <v/>
      </c>
      <c r="H379" s="67"/>
      <c r="I379" s="67"/>
      <c r="J379" s="67"/>
      <c r="K379" s="89"/>
      <c r="L379" s="90"/>
      <c r="M379" s="90"/>
      <c r="N379" s="89"/>
      <c r="O379" s="73"/>
      <c r="P379" s="68"/>
      <c r="Q379" s="51"/>
      <c r="R379" s="51" t="str">
        <f t="shared" si="4"/>
        <v/>
      </c>
      <c r="S379" s="51" t="str">
        <f t="shared" si="5"/>
        <v/>
      </c>
      <c r="T379" s="51" t="str">
        <f t="shared" si="6"/>
        <v/>
      </c>
      <c r="U379" s="51"/>
      <c r="V379" s="51"/>
      <c r="W379" s="51"/>
      <c r="X379" s="51"/>
      <c r="Y379" s="51"/>
      <c r="Z379" s="51"/>
      <c r="AA379" s="51"/>
      <c r="AB379" s="51"/>
      <c r="AC379" s="51"/>
      <c r="AD379" s="51" t="s">
        <v>2240</v>
      </c>
      <c r="AE379" s="51" t="s">
        <v>1434</v>
      </c>
      <c r="AF379" s="51" t="str">
        <f t="shared" si="9"/>
        <v>A679077</v>
      </c>
      <c r="AG379" s="51" t="str">
        <f>VLOOKUP(AF379,AKT!$C$4:$E$324,3,FALSE)</f>
        <v>0942</v>
      </c>
    </row>
    <row r="380" spans="1:33" ht="15.75" customHeight="1">
      <c r="A380" s="84"/>
      <c r="B380" s="79" t="str">
        <f t="shared" si="0"/>
        <v/>
      </c>
      <c r="C380" s="84"/>
      <c r="D380" s="79" t="str">
        <f t="shared" si="1"/>
        <v/>
      </c>
      <c r="E380" s="84"/>
      <c r="F380" s="79" t="str">
        <f t="shared" si="2"/>
        <v/>
      </c>
      <c r="G380" s="79" t="str">
        <f t="shared" si="3"/>
        <v/>
      </c>
      <c r="H380" s="67"/>
      <c r="I380" s="67"/>
      <c r="J380" s="67"/>
      <c r="K380" s="89"/>
      <c r="L380" s="90"/>
      <c r="M380" s="90"/>
      <c r="N380" s="89"/>
      <c r="O380" s="73"/>
      <c r="P380" s="68"/>
      <c r="Q380" s="51"/>
      <c r="R380" s="51" t="str">
        <f t="shared" si="4"/>
        <v/>
      </c>
      <c r="S380" s="51" t="str">
        <f t="shared" si="5"/>
        <v/>
      </c>
      <c r="T380" s="51" t="str">
        <f t="shared" si="6"/>
        <v/>
      </c>
      <c r="U380" s="51"/>
      <c r="V380" s="51"/>
      <c r="W380" s="51"/>
      <c r="X380" s="51"/>
      <c r="Y380" s="51"/>
      <c r="Z380" s="51"/>
      <c r="AA380" s="51"/>
      <c r="AB380" s="51"/>
      <c r="AC380" s="51"/>
      <c r="AD380" s="51" t="s">
        <v>2241</v>
      </c>
      <c r="AE380" s="51" t="s">
        <v>1445</v>
      </c>
      <c r="AF380" s="51" t="str">
        <f t="shared" si="9"/>
        <v>A679077</v>
      </c>
      <c r="AG380" s="51" t="str">
        <f>VLOOKUP(AF380,AKT!$C$4:$E$324,3,FALSE)</f>
        <v>0942</v>
      </c>
    </row>
    <row r="381" spans="1:33" ht="15.75" customHeight="1">
      <c r="A381" s="84"/>
      <c r="B381" s="79" t="str">
        <f t="shared" si="0"/>
        <v/>
      </c>
      <c r="C381" s="84"/>
      <c r="D381" s="79" t="str">
        <f t="shared" si="1"/>
        <v/>
      </c>
      <c r="E381" s="84"/>
      <c r="F381" s="79" t="str">
        <f t="shared" si="2"/>
        <v/>
      </c>
      <c r="G381" s="79" t="str">
        <f t="shared" si="3"/>
        <v/>
      </c>
      <c r="H381" s="67"/>
      <c r="I381" s="67"/>
      <c r="J381" s="67"/>
      <c r="K381" s="89"/>
      <c r="L381" s="90"/>
      <c r="M381" s="90"/>
      <c r="N381" s="89"/>
      <c r="O381" s="73"/>
      <c r="P381" s="68"/>
      <c r="Q381" s="51"/>
      <c r="R381" s="51" t="str">
        <f t="shared" si="4"/>
        <v/>
      </c>
      <c r="S381" s="51" t="str">
        <f t="shared" si="5"/>
        <v/>
      </c>
      <c r="T381" s="51" t="str">
        <f t="shared" si="6"/>
        <v/>
      </c>
      <c r="U381" s="51"/>
      <c r="V381" s="51"/>
      <c r="W381" s="51"/>
      <c r="X381" s="51"/>
      <c r="Y381" s="51"/>
      <c r="Z381" s="51"/>
      <c r="AA381" s="51"/>
      <c r="AB381" s="51"/>
      <c r="AC381" s="51"/>
      <c r="AD381" s="51" t="s">
        <v>2242</v>
      </c>
      <c r="AE381" s="51" t="s">
        <v>2243</v>
      </c>
      <c r="AF381" s="51" t="str">
        <f t="shared" si="9"/>
        <v>A679077</v>
      </c>
      <c r="AG381" s="51" t="str">
        <f>VLOOKUP(AF381,AKT!$C$4:$E$324,3,FALSE)</f>
        <v>0942</v>
      </c>
    </row>
    <row r="382" spans="1:33" ht="15.75" customHeight="1">
      <c r="A382" s="84"/>
      <c r="B382" s="79" t="str">
        <f t="shared" si="0"/>
        <v/>
      </c>
      <c r="C382" s="84"/>
      <c r="D382" s="79" t="str">
        <f t="shared" si="1"/>
        <v/>
      </c>
      <c r="E382" s="84"/>
      <c r="F382" s="79" t="str">
        <f t="shared" si="2"/>
        <v/>
      </c>
      <c r="G382" s="79" t="str">
        <f t="shared" si="3"/>
        <v/>
      </c>
      <c r="H382" s="67"/>
      <c r="I382" s="67"/>
      <c r="J382" s="67"/>
      <c r="K382" s="89"/>
      <c r="L382" s="90"/>
      <c r="M382" s="90"/>
      <c r="N382" s="89"/>
      <c r="O382" s="73"/>
      <c r="P382" s="68"/>
      <c r="Q382" s="51"/>
      <c r="R382" s="51" t="str">
        <f t="shared" si="4"/>
        <v/>
      </c>
      <c r="S382" s="51" t="str">
        <f t="shared" si="5"/>
        <v/>
      </c>
      <c r="T382" s="51" t="str">
        <f t="shared" si="6"/>
        <v/>
      </c>
      <c r="U382" s="51"/>
      <c r="V382" s="51"/>
      <c r="W382" s="51"/>
      <c r="X382" s="51"/>
      <c r="Y382" s="51"/>
      <c r="Z382" s="51"/>
      <c r="AA382" s="51"/>
      <c r="AB382" s="51"/>
      <c r="AC382" s="51"/>
      <c r="AD382" s="51" t="s">
        <v>2244</v>
      </c>
      <c r="AE382" s="51" t="s">
        <v>2245</v>
      </c>
      <c r="AF382" s="51" t="str">
        <f t="shared" si="9"/>
        <v>A679077</v>
      </c>
      <c r="AG382" s="51" t="str">
        <f>VLOOKUP(AF382,AKT!$C$4:$E$324,3,FALSE)</f>
        <v>0942</v>
      </c>
    </row>
    <row r="383" spans="1:33" ht="15.75" customHeight="1">
      <c r="A383" s="84"/>
      <c r="B383" s="79" t="str">
        <f t="shared" si="0"/>
        <v/>
      </c>
      <c r="C383" s="84"/>
      <c r="D383" s="79" t="str">
        <f t="shared" si="1"/>
        <v/>
      </c>
      <c r="E383" s="84"/>
      <c r="F383" s="79" t="str">
        <f t="shared" si="2"/>
        <v/>
      </c>
      <c r="G383" s="79" t="str">
        <f t="shared" si="3"/>
        <v/>
      </c>
      <c r="H383" s="67"/>
      <c r="I383" s="67"/>
      <c r="J383" s="67"/>
      <c r="K383" s="89"/>
      <c r="L383" s="90"/>
      <c r="M383" s="90"/>
      <c r="N383" s="89"/>
      <c r="O383" s="73"/>
      <c r="P383" s="68"/>
      <c r="Q383" s="51"/>
      <c r="R383" s="51" t="str">
        <f t="shared" si="4"/>
        <v/>
      </c>
      <c r="S383" s="51" t="str">
        <f t="shared" si="5"/>
        <v/>
      </c>
      <c r="T383" s="51" t="str">
        <f t="shared" si="6"/>
        <v/>
      </c>
      <c r="U383" s="51"/>
      <c r="V383" s="51"/>
      <c r="W383" s="51"/>
      <c r="X383" s="51"/>
      <c r="Y383" s="51"/>
      <c r="Z383" s="51"/>
      <c r="AA383" s="51"/>
      <c r="AB383" s="51"/>
      <c r="AC383" s="51"/>
      <c r="AD383" s="51" t="s">
        <v>2246</v>
      </c>
      <c r="AE383" s="51" t="s">
        <v>2247</v>
      </c>
      <c r="AF383" s="51" t="str">
        <f t="shared" si="9"/>
        <v>A679077</v>
      </c>
      <c r="AG383" s="51" t="str">
        <f>VLOOKUP(AF383,AKT!$C$4:$E$324,3,FALSE)</f>
        <v>0942</v>
      </c>
    </row>
    <row r="384" spans="1:33" ht="15.75" customHeight="1">
      <c r="A384" s="84"/>
      <c r="B384" s="79" t="str">
        <f t="shared" si="0"/>
        <v/>
      </c>
      <c r="C384" s="84"/>
      <c r="D384" s="79" t="str">
        <f t="shared" si="1"/>
        <v/>
      </c>
      <c r="E384" s="84"/>
      <c r="F384" s="79" t="str">
        <f t="shared" si="2"/>
        <v/>
      </c>
      <c r="G384" s="79" t="str">
        <f t="shared" si="3"/>
        <v/>
      </c>
      <c r="H384" s="67"/>
      <c r="I384" s="67"/>
      <c r="J384" s="67"/>
      <c r="K384" s="89"/>
      <c r="L384" s="90"/>
      <c r="M384" s="90"/>
      <c r="N384" s="89"/>
      <c r="O384" s="73"/>
      <c r="P384" s="68"/>
      <c r="Q384" s="51"/>
      <c r="R384" s="51" t="str">
        <f t="shared" si="4"/>
        <v/>
      </c>
      <c r="S384" s="51" t="str">
        <f t="shared" si="5"/>
        <v/>
      </c>
      <c r="T384" s="51" t="str">
        <f t="shared" si="6"/>
        <v/>
      </c>
      <c r="U384" s="51"/>
      <c r="V384" s="51"/>
      <c r="W384" s="51"/>
      <c r="X384" s="51"/>
      <c r="Y384" s="51"/>
      <c r="Z384" s="51"/>
      <c r="AA384" s="51"/>
      <c r="AB384" s="51"/>
      <c r="AC384" s="51"/>
      <c r="AD384" s="51" t="s">
        <v>2248</v>
      </c>
      <c r="AE384" s="51" t="s">
        <v>2249</v>
      </c>
      <c r="AF384" s="51" t="str">
        <f t="shared" si="9"/>
        <v>A679077</v>
      </c>
      <c r="AG384" s="51" t="str">
        <f>VLOOKUP(AF384,AKT!$C$4:$E$324,3,FALSE)</f>
        <v>0942</v>
      </c>
    </row>
    <row r="385" spans="1:33" ht="15.75" customHeight="1">
      <c r="A385" s="84"/>
      <c r="B385" s="79" t="str">
        <f t="shared" si="0"/>
        <v/>
      </c>
      <c r="C385" s="84"/>
      <c r="D385" s="79" t="str">
        <f t="shared" si="1"/>
        <v/>
      </c>
      <c r="E385" s="84"/>
      <c r="F385" s="79" t="str">
        <f t="shared" si="2"/>
        <v/>
      </c>
      <c r="G385" s="79" t="str">
        <f t="shared" si="3"/>
        <v/>
      </c>
      <c r="H385" s="67"/>
      <c r="I385" s="67"/>
      <c r="J385" s="67"/>
      <c r="K385" s="89"/>
      <c r="L385" s="90"/>
      <c r="M385" s="90"/>
      <c r="N385" s="89"/>
      <c r="O385" s="73"/>
      <c r="P385" s="68"/>
      <c r="Q385" s="51"/>
      <c r="R385" s="51" t="str">
        <f t="shared" si="4"/>
        <v/>
      </c>
      <c r="S385" s="51" t="str">
        <f t="shared" si="5"/>
        <v/>
      </c>
      <c r="T385" s="51" t="str">
        <f t="shared" si="6"/>
        <v/>
      </c>
      <c r="U385" s="51"/>
      <c r="V385" s="51"/>
      <c r="W385" s="51"/>
      <c r="X385" s="51"/>
      <c r="Y385" s="51"/>
      <c r="Z385" s="51"/>
      <c r="AA385" s="51"/>
      <c r="AB385" s="51"/>
      <c r="AC385" s="51"/>
      <c r="AD385" s="51" t="s">
        <v>2250</v>
      </c>
      <c r="AE385" s="51" t="s">
        <v>2251</v>
      </c>
      <c r="AF385" s="51" t="str">
        <f t="shared" si="9"/>
        <v>A679077</v>
      </c>
      <c r="AG385" s="51" t="str">
        <f>VLOOKUP(AF385,AKT!$C$4:$E$324,3,FALSE)</f>
        <v>0942</v>
      </c>
    </row>
    <row r="386" spans="1:33" ht="15.75" customHeight="1">
      <c r="A386" s="84"/>
      <c r="B386" s="79" t="str">
        <f t="shared" si="0"/>
        <v/>
      </c>
      <c r="C386" s="84"/>
      <c r="D386" s="79" t="str">
        <f t="shared" si="1"/>
        <v/>
      </c>
      <c r="E386" s="84"/>
      <c r="F386" s="79" t="str">
        <f t="shared" si="2"/>
        <v/>
      </c>
      <c r="G386" s="79" t="str">
        <f t="shared" si="3"/>
        <v/>
      </c>
      <c r="H386" s="67"/>
      <c r="I386" s="67"/>
      <c r="J386" s="67"/>
      <c r="K386" s="89"/>
      <c r="L386" s="90"/>
      <c r="M386" s="90"/>
      <c r="N386" s="89"/>
      <c r="O386" s="73"/>
      <c r="P386" s="68"/>
      <c r="Q386" s="51"/>
      <c r="R386" s="51" t="str">
        <f t="shared" si="4"/>
        <v/>
      </c>
      <c r="S386" s="51" t="str">
        <f t="shared" si="5"/>
        <v/>
      </c>
      <c r="T386" s="51" t="str">
        <f t="shared" si="6"/>
        <v/>
      </c>
      <c r="U386" s="51"/>
      <c r="V386" s="51"/>
      <c r="W386" s="51"/>
      <c r="X386" s="51"/>
      <c r="Y386" s="51"/>
      <c r="Z386" s="51"/>
      <c r="AA386" s="51"/>
      <c r="AB386" s="51"/>
      <c r="AC386" s="51"/>
      <c r="AD386" s="51" t="s">
        <v>2252</v>
      </c>
      <c r="AE386" s="51" t="s">
        <v>2253</v>
      </c>
      <c r="AF386" s="51" t="str">
        <f t="shared" si="9"/>
        <v>A679077</v>
      </c>
      <c r="AG386" s="51" t="str">
        <f>VLOOKUP(AF386,AKT!$C$4:$E$324,3,FALSE)</f>
        <v>0942</v>
      </c>
    </row>
    <row r="387" spans="1:33" ht="15.75" customHeight="1">
      <c r="A387" s="84"/>
      <c r="B387" s="79" t="str">
        <f t="shared" si="0"/>
        <v/>
      </c>
      <c r="C387" s="84"/>
      <c r="D387" s="79" t="str">
        <f t="shared" si="1"/>
        <v/>
      </c>
      <c r="E387" s="84"/>
      <c r="F387" s="79" t="str">
        <f t="shared" si="2"/>
        <v/>
      </c>
      <c r="G387" s="79" t="str">
        <f t="shared" si="3"/>
        <v/>
      </c>
      <c r="H387" s="67"/>
      <c r="I387" s="67"/>
      <c r="J387" s="67"/>
      <c r="K387" s="89"/>
      <c r="L387" s="90"/>
      <c r="M387" s="90"/>
      <c r="N387" s="89"/>
      <c r="O387" s="73"/>
      <c r="P387" s="68"/>
      <c r="Q387" s="51"/>
      <c r="R387" s="51" t="str">
        <f t="shared" si="4"/>
        <v/>
      </c>
      <c r="S387" s="51" t="str">
        <f t="shared" si="5"/>
        <v/>
      </c>
      <c r="T387" s="51" t="str">
        <f t="shared" si="6"/>
        <v/>
      </c>
      <c r="U387" s="51"/>
      <c r="V387" s="51"/>
      <c r="W387" s="51"/>
      <c r="X387" s="51"/>
      <c r="Y387" s="51"/>
      <c r="Z387" s="51"/>
      <c r="AA387" s="51"/>
      <c r="AB387" s="51"/>
      <c r="AC387" s="51"/>
      <c r="AD387" s="51" t="s">
        <v>2254</v>
      </c>
      <c r="AE387" s="51" t="s">
        <v>2255</v>
      </c>
      <c r="AF387" s="51" t="str">
        <f t="shared" si="9"/>
        <v>A679077</v>
      </c>
      <c r="AG387" s="51" t="str">
        <f>VLOOKUP(AF387,AKT!$C$4:$E$324,3,FALSE)</f>
        <v>0942</v>
      </c>
    </row>
    <row r="388" spans="1:33" ht="15.75" customHeight="1">
      <c r="A388" s="84"/>
      <c r="B388" s="79" t="str">
        <f t="shared" si="0"/>
        <v/>
      </c>
      <c r="C388" s="84"/>
      <c r="D388" s="79" t="str">
        <f t="shared" si="1"/>
        <v/>
      </c>
      <c r="E388" s="84"/>
      <c r="F388" s="79" t="str">
        <f t="shared" si="2"/>
        <v/>
      </c>
      <c r="G388" s="79" t="str">
        <f t="shared" si="3"/>
        <v/>
      </c>
      <c r="H388" s="67"/>
      <c r="I388" s="67"/>
      <c r="J388" s="67"/>
      <c r="K388" s="89"/>
      <c r="L388" s="90"/>
      <c r="M388" s="90"/>
      <c r="N388" s="89"/>
      <c r="O388" s="73"/>
      <c r="P388" s="68"/>
      <c r="Q388" s="51"/>
      <c r="R388" s="51" t="str">
        <f t="shared" si="4"/>
        <v/>
      </c>
      <c r="S388" s="51" t="str">
        <f t="shared" si="5"/>
        <v/>
      </c>
      <c r="T388" s="51" t="str">
        <f t="shared" si="6"/>
        <v/>
      </c>
      <c r="U388" s="51"/>
      <c r="V388" s="51"/>
      <c r="W388" s="51"/>
      <c r="X388" s="51"/>
      <c r="Y388" s="51"/>
      <c r="Z388" s="51"/>
      <c r="AA388" s="51"/>
      <c r="AB388" s="51"/>
      <c r="AC388" s="51"/>
      <c r="AD388" s="51" t="s">
        <v>2256</v>
      </c>
      <c r="AE388" s="51" t="s">
        <v>2257</v>
      </c>
      <c r="AF388" s="51" t="str">
        <f t="shared" si="9"/>
        <v>A679077</v>
      </c>
      <c r="AG388" s="51" t="str">
        <f>VLOOKUP(AF388,AKT!$C$4:$E$324,3,FALSE)</f>
        <v>0942</v>
      </c>
    </row>
    <row r="389" spans="1:33" ht="15.75" customHeight="1">
      <c r="A389" s="84"/>
      <c r="B389" s="79" t="str">
        <f t="shared" si="0"/>
        <v/>
      </c>
      <c r="C389" s="84"/>
      <c r="D389" s="79" t="str">
        <f t="shared" si="1"/>
        <v/>
      </c>
      <c r="E389" s="84"/>
      <c r="F389" s="79" t="str">
        <f t="shared" si="2"/>
        <v/>
      </c>
      <c r="G389" s="79" t="str">
        <f t="shared" si="3"/>
        <v/>
      </c>
      <c r="H389" s="67"/>
      <c r="I389" s="67"/>
      <c r="J389" s="67"/>
      <c r="K389" s="89"/>
      <c r="L389" s="90"/>
      <c r="M389" s="90"/>
      <c r="N389" s="89"/>
      <c r="O389" s="73"/>
      <c r="P389" s="68"/>
      <c r="Q389" s="51"/>
      <c r="R389" s="51" t="str">
        <f t="shared" si="4"/>
        <v/>
      </c>
      <c r="S389" s="51" t="str">
        <f t="shared" si="5"/>
        <v/>
      </c>
      <c r="T389" s="51" t="str">
        <f t="shared" si="6"/>
        <v/>
      </c>
      <c r="U389" s="51"/>
      <c r="V389" s="51"/>
      <c r="W389" s="51"/>
      <c r="X389" s="51"/>
      <c r="Y389" s="51"/>
      <c r="Z389" s="51"/>
      <c r="AA389" s="51"/>
      <c r="AB389" s="51"/>
      <c r="AC389" s="51"/>
      <c r="AD389" s="51" t="s">
        <v>2258</v>
      </c>
      <c r="AE389" s="51" t="s">
        <v>2259</v>
      </c>
      <c r="AF389" s="51" t="str">
        <f t="shared" si="9"/>
        <v>A679077</v>
      </c>
      <c r="AG389" s="51" t="str">
        <f>VLOOKUP(AF389,AKT!$C$4:$E$324,3,FALSE)</f>
        <v>0942</v>
      </c>
    </row>
    <row r="390" spans="1:33" ht="15.75" customHeight="1">
      <c r="A390" s="84"/>
      <c r="B390" s="79" t="str">
        <f t="shared" si="0"/>
        <v/>
      </c>
      <c r="C390" s="84"/>
      <c r="D390" s="79" t="str">
        <f t="shared" si="1"/>
        <v/>
      </c>
      <c r="E390" s="84"/>
      <c r="F390" s="79" t="str">
        <f t="shared" si="2"/>
        <v/>
      </c>
      <c r="G390" s="79" t="str">
        <f t="shared" si="3"/>
        <v/>
      </c>
      <c r="H390" s="67"/>
      <c r="I390" s="67"/>
      <c r="J390" s="67"/>
      <c r="K390" s="89"/>
      <c r="L390" s="90"/>
      <c r="M390" s="90"/>
      <c r="N390" s="89"/>
      <c r="O390" s="73"/>
      <c r="P390" s="68"/>
      <c r="Q390" s="51"/>
      <c r="R390" s="51" t="str">
        <f t="shared" si="4"/>
        <v/>
      </c>
      <c r="S390" s="51" t="str">
        <f t="shared" si="5"/>
        <v/>
      </c>
      <c r="T390" s="51" t="str">
        <f t="shared" si="6"/>
        <v/>
      </c>
      <c r="U390" s="51"/>
      <c r="V390" s="51"/>
      <c r="W390" s="51"/>
      <c r="X390" s="51"/>
      <c r="Y390" s="51"/>
      <c r="Z390" s="51"/>
      <c r="AA390" s="51"/>
      <c r="AB390" s="51"/>
      <c r="AC390" s="51"/>
      <c r="AD390" s="51" t="s">
        <v>2260</v>
      </c>
      <c r="AE390" s="51" t="s">
        <v>2261</v>
      </c>
      <c r="AF390" s="51" t="str">
        <f t="shared" si="9"/>
        <v>A679077</v>
      </c>
      <c r="AG390" s="51" t="str">
        <f>VLOOKUP(AF390,AKT!$C$4:$E$324,3,FALSE)</f>
        <v>0942</v>
      </c>
    </row>
    <row r="391" spans="1:33" ht="15.75" customHeight="1">
      <c r="A391" s="84"/>
      <c r="B391" s="79" t="str">
        <f t="shared" si="0"/>
        <v/>
      </c>
      <c r="C391" s="84"/>
      <c r="D391" s="79" t="str">
        <f t="shared" si="1"/>
        <v/>
      </c>
      <c r="E391" s="84"/>
      <c r="F391" s="79" t="str">
        <f t="shared" si="2"/>
        <v/>
      </c>
      <c r="G391" s="79" t="str">
        <f t="shared" si="3"/>
        <v/>
      </c>
      <c r="H391" s="67"/>
      <c r="I391" s="67"/>
      <c r="J391" s="67"/>
      <c r="K391" s="89"/>
      <c r="L391" s="90"/>
      <c r="M391" s="90"/>
      <c r="N391" s="89"/>
      <c r="O391" s="73"/>
      <c r="P391" s="68"/>
      <c r="Q391" s="51"/>
      <c r="R391" s="51" t="str">
        <f t="shared" si="4"/>
        <v/>
      </c>
      <c r="S391" s="51" t="str">
        <f t="shared" si="5"/>
        <v/>
      </c>
      <c r="T391" s="51" t="str">
        <f t="shared" si="6"/>
        <v/>
      </c>
      <c r="U391" s="51"/>
      <c r="V391" s="51"/>
      <c r="W391" s="51"/>
      <c r="X391" s="51"/>
      <c r="Y391" s="51"/>
      <c r="Z391" s="51"/>
      <c r="AA391" s="51"/>
      <c r="AB391" s="51"/>
      <c r="AC391" s="51"/>
      <c r="AD391" s="51" t="s">
        <v>2262</v>
      </c>
      <c r="AE391" s="51" t="s">
        <v>2263</v>
      </c>
      <c r="AF391" s="51" t="str">
        <f t="shared" si="9"/>
        <v>A679077</v>
      </c>
      <c r="AG391" s="51" t="str">
        <f>VLOOKUP(AF391,AKT!$C$4:$E$324,3,FALSE)</f>
        <v>0942</v>
      </c>
    </row>
    <row r="392" spans="1:33" ht="15.75" customHeight="1">
      <c r="A392" s="84"/>
      <c r="B392" s="79" t="str">
        <f t="shared" si="0"/>
        <v/>
      </c>
      <c r="C392" s="84"/>
      <c r="D392" s="79" t="str">
        <f t="shared" si="1"/>
        <v/>
      </c>
      <c r="E392" s="84"/>
      <c r="F392" s="79" t="str">
        <f t="shared" si="2"/>
        <v/>
      </c>
      <c r="G392" s="79" t="str">
        <f t="shared" si="3"/>
        <v/>
      </c>
      <c r="H392" s="67"/>
      <c r="I392" s="67"/>
      <c r="J392" s="67"/>
      <c r="K392" s="89"/>
      <c r="L392" s="90"/>
      <c r="M392" s="90"/>
      <c r="N392" s="89"/>
      <c r="O392" s="73"/>
      <c r="P392" s="68"/>
      <c r="Q392" s="51"/>
      <c r="R392" s="51" t="str">
        <f t="shared" si="4"/>
        <v/>
      </c>
      <c r="S392" s="51" t="str">
        <f t="shared" si="5"/>
        <v/>
      </c>
      <c r="T392" s="51" t="str">
        <f t="shared" si="6"/>
        <v/>
      </c>
      <c r="U392" s="51"/>
      <c r="V392" s="51"/>
      <c r="W392" s="51"/>
      <c r="X392" s="51"/>
      <c r="Y392" s="51"/>
      <c r="Z392" s="51"/>
      <c r="AA392" s="51"/>
      <c r="AB392" s="51"/>
      <c r="AC392" s="51"/>
      <c r="AD392" s="51" t="s">
        <v>2264</v>
      </c>
      <c r="AE392" s="51" t="s">
        <v>2265</v>
      </c>
      <c r="AF392" s="51" t="str">
        <f t="shared" si="9"/>
        <v>A679077</v>
      </c>
      <c r="AG392" s="51" t="str">
        <f>VLOOKUP(AF392,AKT!$C$4:$E$324,3,FALSE)</f>
        <v>0942</v>
      </c>
    </row>
    <row r="393" spans="1:33" ht="15.75" customHeight="1">
      <c r="A393" s="84"/>
      <c r="B393" s="79" t="str">
        <f t="shared" si="0"/>
        <v/>
      </c>
      <c r="C393" s="84"/>
      <c r="D393" s="79" t="str">
        <f t="shared" si="1"/>
        <v/>
      </c>
      <c r="E393" s="84"/>
      <c r="F393" s="79" t="str">
        <f t="shared" si="2"/>
        <v/>
      </c>
      <c r="G393" s="79" t="str">
        <f t="shared" si="3"/>
        <v/>
      </c>
      <c r="H393" s="67"/>
      <c r="I393" s="67"/>
      <c r="J393" s="67"/>
      <c r="K393" s="89"/>
      <c r="L393" s="90"/>
      <c r="M393" s="90"/>
      <c r="N393" s="89"/>
      <c r="O393" s="73"/>
      <c r="P393" s="68"/>
      <c r="Q393" s="51"/>
      <c r="R393" s="51" t="str">
        <f t="shared" si="4"/>
        <v/>
      </c>
      <c r="S393" s="51" t="str">
        <f t="shared" si="5"/>
        <v/>
      </c>
      <c r="T393" s="51" t="str">
        <f t="shared" si="6"/>
        <v/>
      </c>
      <c r="U393" s="51"/>
      <c r="V393" s="51"/>
      <c r="W393" s="51"/>
      <c r="X393" s="51"/>
      <c r="Y393" s="51"/>
      <c r="Z393" s="51"/>
      <c r="AA393" s="51"/>
      <c r="AB393" s="51"/>
      <c r="AC393" s="51"/>
      <c r="AD393" s="51" t="s">
        <v>2266</v>
      </c>
      <c r="AE393" s="51" t="s">
        <v>2267</v>
      </c>
      <c r="AF393" s="51" t="str">
        <f t="shared" si="9"/>
        <v>A679077</v>
      </c>
      <c r="AG393" s="51" t="str">
        <f>VLOOKUP(AF393,AKT!$C$4:$E$324,3,FALSE)</f>
        <v>0942</v>
      </c>
    </row>
    <row r="394" spans="1:33" ht="15.75" customHeight="1">
      <c r="A394" s="84"/>
      <c r="B394" s="79" t="str">
        <f t="shared" si="0"/>
        <v/>
      </c>
      <c r="C394" s="84"/>
      <c r="D394" s="79" t="str">
        <f t="shared" si="1"/>
        <v/>
      </c>
      <c r="E394" s="84"/>
      <c r="F394" s="79" t="str">
        <f t="shared" si="2"/>
        <v/>
      </c>
      <c r="G394" s="79" t="str">
        <f t="shared" si="3"/>
        <v/>
      </c>
      <c r="H394" s="67"/>
      <c r="I394" s="67"/>
      <c r="J394" s="67"/>
      <c r="K394" s="89"/>
      <c r="L394" s="90"/>
      <c r="M394" s="90"/>
      <c r="N394" s="89"/>
      <c r="O394" s="73"/>
      <c r="P394" s="68"/>
      <c r="Q394" s="51"/>
      <c r="R394" s="51" t="str">
        <f t="shared" si="4"/>
        <v/>
      </c>
      <c r="S394" s="51" t="str">
        <f t="shared" si="5"/>
        <v/>
      </c>
      <c r="T394" s="51" t="str">
        <f t="shared" si="6"/>
        <v/>
      </c>
      <c r="U394" s="51"/>
      <c r="V394" s="51"/>
      <c r="W394" s="51"/>
      <c r="X394" s="51"/>
      <c r="Y394" s="51"/>
      <c r="Z394" s="51"/>
      <c r="AA394" s="51"/>
      <c r="AB394" s="51"/>
      <c r="AC394" s="51"/>
      <c r="AD394" s="51" t="s">
        <v>2268</v>
      </c>
      <c r="AE394" s="51" t="s">
        <v>2269</v>
      </c>
      <c r="AF394" s="51" t="str">
        <f t="shared" si="9"/>
        <v>A679077</v>
      </c>
      <c r="AG394" s="51" t="str">
        <f>VLOOKUP(AF394,AKT!$C$4:$E$324,3,FALSE)</f>
        <v>0942</v>
      </c>
    </row>
    <row r="395" spans="1:33" ht="15.75" customHeight="1">
      <c r="A395" s="84"/>
      <c r="B395" s="79" t="str">
        <f t="shared" si="0"/>
        <v/>
      </c>
      <c r="C395" s="84"/>
      <c r="D395" s="79" t="str">
        <f t="shared" si="1"/>
        <v/>
      </c>
      <c r="E395" s="84"/>
      <c r="F395" s="79" t="str">
        <f t="shared" si="2"/>
        <v/>
      </c>
      <c r="G395" s="79" t="str">
        <f t="shared" si="3"/>
        <v/>
      </c>
      <c r="H395" s="67"/>
      <c r="I395" s="67"/>
      <c r="J395" s="67"/>
      <c r="K395" s="89"/>
      <c r="L395" s="90"/>
      <c r="M395" s="90"/>
      <c r="N395" s="89"/>
      <c r="O395" s="73"/>
      <c r="P395" s="68"/>
      <c r="Q395" s="51"/>
      <c r="R395" s="51" t="str">
        <f t="shared" si="4"/>
        <v/>
      </c>
      <c r="S395" s="51" t="str">
        <f t="shared" si="5"/>
        <v/>
      </c>
      <c r="T395" s="51" t="str">
        <f t="shared" si="6"/>
        <v/>
      </c>
      <c r="U395" s="51"/>
      <c r="V395" s="51"/>
      <c r="W395" s="51"/>
      <c r="X395" s="51"/>
      <c r="Y395" s="51"/>
      <c r="Z395" s="51"/>
      <c r="AA395" s="51"/>
      <c r="AB395" s="51"/>
      <c r="AC395" s="51"/>
      <c r="AD395" s="51" t="s">
        <v>2270</v>
      </c>
      <c r="AE395" s="51" t="s">
        <v>2271</v>
      </c>
      <c r="AF395" s="51" t="str">
        <f t="shared" si="9"/>
        <v>A679077</v>
      </c>
      <c r="AG395" s="51" t="str">
        <f>VLOOKUP(AF395,AKT!$C$4:$E$324,3,FALSE)</f>
        <v>0942</v>
      </c>
    </row>
    <row r="396" spans="1:33" ht="15.75" customHeight="1">
      <c r="A396" s="84"/>
      <c r="B396" s="79" t="str">
        <f t="shared" si="0"/>
        <v/>
      </c>
      <c r="C396" s="84"/>
      <c r="D396" s="79" t="str">
        <f t="shared" si="1"/>
        <v/>
      </c>
      <c r="E396" s="84"/>
      <c r="F396" s="79" t="str">
        <f t="shared" si="2"/>
        <v/>
      </c>
      <c r="G396" s="79" t="str">
        <f t="shared" si="3"/>
        <v/>
      </c>
      <c r="H396" s="67"/>
      <c r="I396" s="67"/>
      <c r="J396" s="67"/>
      <c r="K396" s="89"/>
      <c r="L396" s="90"/>
      <c r="M396" s="90"/>
      <c r="N396" s="89"/>
      <c r="O396" s="73"/>
      <c r="P396" s="68"/>
      <c r="Q396" s="51"/>
      <c r="R396" s="51" t="str">
        <f t="shared" si="4"/>
        <v/>
      </c>
      <c r="S396" s="51" t="str">
        <f t="shared" si="5"/>
        <v/>
      </c>
      <c r="T396" s="51" t="str">
        <f t="shared" si="6"/>
        <v/>
      </c>
      <c r="U396" s="51"/>
      <c r="V396" s="51"/>
      <c r="W396" s="51"/>
      <c r="X396" s="51"/>
      <c r="Y396" s="51"/>
      <c r="Z396" s="51"/>
      <c r="AA396" s="51"/>
      <c r="AB396" s="51"/>
      <c r="AC396" s="51"/>
      <c r="AD396" s="51" t="s">
        <v>2272</v>
      </c>
      <c r="AE396" s="51" t="s">
        <v>2273</v>
      </c>
      <c r="AF396" s="51" t="str">
        <f t="shared" si="9"/>
        <v>A679077</v>
      </c>
      <c r="AG396" s="51" t="str">
        <f>VLOOKUP(AF396,AKT!$C$4:$E$324,3,FALSE)</f>
        <v>0942</v>
      </c>
    </row>
    <row r="397" spans="1:33" ht="15.75" customHeight="1">
      <c r="A397" s="84"/>
      <c r="B397" s="79" t="str">
        <f t="shared" si="0"/>
        <v/>
      </c>
      <c r="C397" s="84"/>
      <c r="D397" s="79" t="str">
        <f t="shared" si="1"/>
        <v/>
      </c>
      <c r="E397" s="84"/>
      <c r="F397" s="79" t="str">
        <f t="shared" si="2"/>
        <v/>
      </c>
      <c r="G397" s="79" t="str">
        <f t="shared" si="3"/>
        <v/>
      </c>
      <c r="H397" s="67"/>
      <c r="I397" s="67"/>
      <c r="J397" s="67"/>
      <c r="K397" s="89"/>
      <c r="L397" s="90"/>
      <c r="M397" s="90"/>
      <c r="N397" s="89"/>
      <c r="O397" s="73"/>
      <c r="P397" s="68"/>
      <c r="Q397" s="51"/>
      <c r="R397" s="51" t="str">
        <f t="shared" si="4"/>
        <v/>
      </c>
      <c r="S397" s="51" t="str">
        <f t="shared" si="5"/>
        <v/>
      </c>
      <c r="T397" s="51" t="str">
        <f t="shared" si="6"/>
        <v/>
      </c>
      <c r="U397" s="51"/>
      <c r="V397" s="51"/>
      <c r="W397" s="51"/>
      <c r="X397" s="51"/>
      <c r="Y397" s="51"/>
      <c r="Z397" s="51"/>
      <c r="AA397" s="51"/>
      <c r="AB397" s="51"/>
      <c r="AC397" s="51"/>
      <c r="AD397" s="51" t="s">
        <v>2274</v>
      </c>
      <c r="AE397" s="51" t="s">
        <v>2275</v>
      </c>
      <c r="AF397" s="51" t="str">
        <f t="shared" si="9"/>
        <v>A679077</v>
      </c>
      <c r="AG397" s="51" t="str">
        <f>VLOOKUP(AF397,AKT!$C$4:$E$324,3,FALSE)</f>
        <v>0942</v>
      </c>
    </row>
    <row r="398" spans="1:33" ht="15.75" customHeight="1">
      <c r="A398" s="84"/>
      <c r="B398" s="79" t="str">
        <f t="shared" si="0"/>
        <v/>
      </c>
      <c r="C398" s="84"/>
      <c r="D398" s="79" t="str">
        <f t="shared" si="1"/>
        <v/>
      </c>
      <c r="E398" s="84"/>
      <c r="F398" s="79" t="str">
        <f t="shared" si="2"/>
        <v/>
      </c>
      <c r="G398" s="79" t="str">
        <f t="shared" si="3"/>
        <v/>
      </c>
      <c r="H398" s="67"/>
      <c r="I398" s="67"/>
      <c r="J398" s="67"/>
      <c r="K398" s="89"/>
      <c r="L398" s="90"/>
      <c r="M398" s="90"/>
      <c r="N398" s="89"/>
      <c r="O398" s="73"/>
      <c r="P398" s="68"/>
      <c r="Q398" s="51"/>
      <c r="R398" s="51" t="str">
        <f t="shared" si="4"/>
        <v/>
      </c>
      <c r="S398" s="51" t="str">
        <f t="shared" si="5"/>
        <v/>
      </c>
      <c r="T398" s="51" t="str">
        <f t="shared" si="6"/>
        <v/>
      </c>
      <c r="U398" s="51"/>
      <c r="V398" s="51"/>
      <c r="W398" s="51"/>
      <c r="X398" s="51"/>
      <c r="Y398" s="51"/>
      <c r="Z398" s="51"/>
      <c r="AA398" s="51"/>
      <c r="AB398" s="51"/>
      <c r="AC398" s="51"/>
      <c r="AD398" s="51" t="s">
        <v>2276</v>
      </c>
      <c r="AE398" s="51" t="s">
        <v>2277</v>
      </c>
      <c r="AF398" s="51" t="str">
        <f t="shared" si="9"/>
        <v>A679077</v>
      </c>
      <c r="AG398" s="51" t="str">
        <f>VLOOKUP(AF398,AKT!$C$4:$E$324,3,FALSE)</f>
        <v>0942</v>
      </c>
    </row>
    <row r="399" spans="1:33" ht="15.75" customHeight="1">
      <c r="A399" s="84"/>
      <c r="B399" s="79" t="str">
        <f t="shared" si="0"/>
        <v/>
      </c>
      <c r="C399" s="84"/>
      <c r="D399" s="79" t="str">
        <f t="shared" si="1"/>
        <v/>
      </c>
      <c r="E399" s="84"/>
      <c r="F399" s="79" t="str">
        <f t="shared" si="2"/>
        <v/>
      </c>
      <c r="G399" s="79" t="str">
        <f t="shared" si="3"/>
        <v/>
      </c>
      <c r="H399" s="67"/>
      <c r="I399" s="67"/>
      <c r="J399" s="67"/>
      <c r="K399" s="89"/>
      <c r="L399" s="90"/>
      <c r="M399" s="90"/>
      <c r="N399" s="89"/>
      <c r="O399" s="73"/>
      <c r="P399" s="68"/>
      <c r="Q399" s="51"/>
      <c r="R399" s="51" t="str">
        <f t="shared" si="4"/>
        <v/>
      </c>
      <c r="S399" s="51" t="str">
        <f t="shared" si="5"/>
        <v/>
      </c>
      <c r="T399" s="51" t="str">
        <f t="shared" si="6"/>
        <v/>
      </c>
      <c r="U399" s="51"/>
      <c r="V399" s="51"/>
      <c r="W399" s="51"/>
      <c r="X399" s="51"/>
      <c r="Y399" s="51"/>
      <c r="Z399" s="51"/>
      <c r="AA399" s="51"/>
      <c r="AB399" s="51"/>
      <c r="AC399" s="51"/>
      <c r="AD399" s="51" t="s">
        <v>2278</v>
      </c>
      <c r="AE399" s="51" t="s">
        <v>2279</v>
      </c>
      <c r="AF399" s="51" t="str">
        <f t="shared" si="9"/>
        <v>A679077</v>
      </c>
      <c r="AG399" s="51" t="str">
        <f>VLOOKUP(AF399,AKT!$C$4:$E$324,3,FALSE)</f>
        <v>0942</v>
      </c>
    </row>
    <row r="400" spans="1:33" ht="15.75" customHeight="1">
      <c r="A400" s="84"/>
      <c r="B400" s="79" t="str">
        <f t="shared" si="0"/>
        <v/>
      </c>
      <c r="C400" s="84"/>
      <c r="D400" s="79" t="str">
        <f t="shared" si="1"/>
        <v/>
      </c>
      <c r="E400" s="84"/>
      <c r="F400" s="79" t="str">
        <f t="shared" si="2"/>
        <v/>
      </c>
      <c r="G400" s="79" t="str">
        <f t="shared" si="3"/>
        <v/>
      </c>
      <c r="H400" s="67"/>
      <c r="I400" s="67"/>
      <c r="J400" s="67"/>
      <c r="K400" s="89"/>
      <c r="L400" s="90"/>
      <c r="M400" s="90"/>
      <c r="N400" s="89"/>
      <c r="O400" s="73"/>
      <c r="P400" s="68"/>
      <c r="Q400" s="51"/>
      <c r="R400" s="51" t="str">
        <f t="shared" si="4"/>
        <v/>
      </c>
      <c r="S400" s="51" t="str">
        <f t="shared" si="5"/>
        <v/>
      </c>
      <c r="T400" s="51" t="str">
        <f t="shared" si="6"/>
        <v/>
      </c>
      <c r="U400" s="51"/>
      <c r="V400" s="51"/>
      <c r="W400" s="51"/>
      <c r="X400" s="51"/>
      <c r="Y400" s="51"/>
      <c r="Z400" s="51"/>
      <c r="AA400" s="51"/>
      <c r="AB400" s="51"/>
      <c r="AC400" s="51"/>
      <c r="AD400" s="51" t="s">
        <v>2280</v>
      </c>
      <c r="AE400" s="51" t="s">
        <v>2281</v>
      </c>
      <c r="AF400" s="51" t="str">
        <f t="shared" si="9"/>
        <v>A679077</v>
      </c>
      <c r="AG400" s="51" t="str">
        <f>VLOOKUP(AF400,AKT!$C$4:$E$324,3,FALSE)</f>
        <v>0942</v>
      </c>
    </row>
    <row r="401" spans="1:33" ht="15.75" customHeight="1">
      <c r="A401" s="84"/>
      <c r="B401" s="79" t="str">
        <f t="shared" si="0"/>
        <v/>
      </c>
      <c r="C401" s="84"/>
      <c r="D401" s="79" t="str">
        <f t="shared" si="1"/>
        <v/>
      </c>
      <c r="E401" s="84"/>
      <c r="F401" s="79" t="str">
        <f t="shared" si="2"/>
        <v/>
      </c>
      <c r="G401" s="79" t="str">
        <f t="shared" si="3"/>
        <v/>
      </c>
      <c r="H401" s="67"/>
      <c r="I401" s="67"/>
      <c r="J401" s="67"/>
      <c r="K401" s="89"/>
      <c r="L401" s="90"/>
      <c r="M401" s="90"/>
      <c r="N401" s="89"/>
      <c r="O401" s="73"/>
      <c r="P401" s="68"/>
      <c r="Q401" s="51"/>
      <c r="R401" s="51" t="str">
        <f t="shared" si="4"/>
        <v/>
      </c>
      <c r="S401" s="51" t="str">
        <f t="shared" si="5"/>
        <v/>
      </c>
      <c r="T401" s="51" t="str">
        <f t="shared" si="6"/>
        <v/>
      </c>
      <c r="U401" s="51"/>
      <c r="V401" s="51"/>
      <c r="W401" s="51"/>
      <c r="X401" s="51"/>
      <c r="Y401" s="51"/>
      <c r="Z401" s="51"/>
      <c r="AA401" s="51"/>
      <c r="AB401" s="51"/>
      <c r="AC401" s="51"/>
      <c r="AD401" s="51" t="s">
        <v>2282</v>
      </c>
      <c r="AE401" s="51" t="s">
        <v>2283</v>
      </c>
      <c r="AF401" s="51" t="str">
        <f t="shared" si="9"/>
        <v>A679077</v>
      </c>
      <c r="AG401" s="51" t="str">
        <f>VLOOKUP(AF401,AKT!$C$4:$E$324,3,FALSE)</f>
        <v>0942</v>
      </c>
    </row>
    <row r="402" spans="1:33" ht="15.75" customHeight="1">
      <c r="A402" s="84"/>
      <c r="B402" s="79" t="str">
        <f t="shared" si="0"/>
        <v/>
      </c>
      <c r="C402" s="84"/>
      <c r="D402" s="79" t="str">
        <f t="shared" si="1"/>
        <v/>
      </c>
      <c r="E402" s="84"/>
      <c r="F402" s="79" t="str">
        <f t="shared" si="2"/>
        <v/>
      </c>
      <c r="G402" s="79" t="str">
        <f t="shared" si="3"/>
        <v/>
      </c>
      <c r="H402" s="67"/>
      <c r="I402" s="67"/>
      <c r="J402" s="67"/>
      <c r="K402" s="89"/>
      <c r="L402" s="90"/>
      <c r="M402" s="90"/>
      <c r="N402" s="89"/>
      <c r="O402" s="73"/>
      <c r="P402" s="68"/>
      <c r="Q402" s="51"/>
      <c r="R402" s="51" t="str">
        <f t="shared" si="4"/>
        <v/>
      </c>
      <c r="S402" s="51" t="str">
        <f t="shared" si="5"/>
        <v/>
      </c>
      <c r="T402" s="51" t="str">
        <f t="shared" si="6"/>
        <v/>
      </c>
      <c r="U402" s="51"/>
      <c r="V402" s="51"/>
      <c r="W402" s="51"/>
      <c r="X402" s="51"/>
      <c r="Y402" s="51"/>
      <c r="Z402" s="51"/>
      <c r="AA402" s="51"/>
      <c r="AB402" s="51"/>
      <c r="AC402" s="51"/>
      <c r="AD402" s="51" t="s">
        <v>2284</v>
      </c>
      <c r="AE402" s="51" t="s">
        <v>2285</v>
      </c>
      <c r="AF402" s="51" t="str">
        <f t="shared" si="9"/>
        <v>A679077</v>
      </c>
      <c r="AG402" s="51" t="str">
        <f>VLOOKUP(AF402,AKT!$C$4:$E$324,3,FALSE)</f>
        <v>0942</v>
      </c>
    </row>
    <row r="403" spans="1:33" ht="15.75" customHeight="1">
      <c r="A403" s="84"/>
      <c r="B403" s="79" t="str">
        <f t="shared" si="0"/>
        <v/>
      </c>
      <c r="C403" s="84"/>
      <c r="D403" s="79" t="str">
        <f t="shared" si="1"/>
        <v/>
      </c>
      <c r="E403" s="84"/>
      <c r="F403" s="79" t="str">
        <f t="shared" si="2"/>
        <v/>
      </c>
      <c r="G403" s="79" t="str">
        <f t="shared" si="3"/>
        <v/>
      </c>
      <c r="H403" s="67"/>
      <c r="I403" s="67"/>
      <c r="J403" s="67"/>
      <c r="K403" s="89"/>
      <c r="L403" s="90"/>
      <c r="M403" s="90"/>
      <c r="N403" s="89"/>
      <c r="O403" s="73"/>
      <c r="P403" s="68"/>
      <c r="Q403" s="51"/>
      <c r="R403" s="51" t="str">
        <f t="shared" si="4"/>
        <v/>
      </c>
      <c r="S403" s="51" t="str">
        <f t="shared" si="5"/>
        <v/>
      </c>
      <c r="T403" s="51" t="str">
        <f t="shared" si="6"/>
        <v/>
      </c>
      <c r="U403" s="51"/>
      <c r="V403" s="51"/>
      <c r="W403" s="51"/>
      <c r="X403" s="51"/>
      <c r="Y403" s="51"/>
      <c r="Z403" s="51"/>
      <c r="AA403" s="51"/>
      <c r="AB403" s="51"/>
      <c r="AC403" s="51"/>
      <c r="AD403" s="51" t="s">
        <v>2286</v>
      </c>
      <c r="AE403" s="51" t="s">
        <v>2287</v>
      </c>
      <c r="AF403" s="51" t="str">
        <f t="shared" si="9"/>
        <v>A679077</v>
      </c>
      <c r="AG403" s="51" t="str">
        <f>VLOOKUP(AF403,AKT!$C$4:$E$324,3,FALSE)</f>
        <v>0942</v>
      </c>
    </row>
    <row r="404" spans="1:33" ht="15.75" customHeight="1">
      <c r="A404" s="84"/>
      <c r="B404" s="79" t="str">
        <f t="shared" si="0"/>
        <v/>
      </c>
      <c r="C404" s="84"/>
      <c r="D404" s="79" t="str">
        <f t="shared" si="1"/>
        <v/>
      </c>
      <c r="E404" s="84"/>
      <c r="F404" s="79" t="str">
        <f t="shared" si="2"/>
        <v/>
      </c>
      <c r="G404" s="79" t="str">
        <f t="shared" si="3"/>
        <v/>
      </c>
      <c r="H404" s="67"/>
      <c r="I404" s="67"/>
      <c r="J404" s="67"/>
      <c r="K404" s="89"/>
      <c r="L404" s="90"/>
      <c r="M404" s="90"/>
      <c r="N404" s="89"/>
      <c r="O404" s="73"/>
      <c r="P404" s="68"/>
      <c r="Q404" s="51"/>
      <c r="R404" s="51" t="str">
        <f t="shared" si="4"/>
        <v/>
      </c>
      <c r="S404" s="51" t="str">
        <f t="shared" si="5"/>
        <v/>
      </c>
      <c r="T404" s="51" t="str">
        <f t="shared" si="6"/>
        <v/>
      </c>
      <c r="U404" s="51"/>
      <c r="V404" s="51"/>
      <c r="W404" s="51"/>
      <c r="X404" s="51"/>
      <c r="Y404" s="51"/>
      <c r="Z404" s="51"/>
      <c r="AA404" s="51"/>
      <c r="AB404" s="51"/>
      <c r="AC404" s="51"/>
      <c r="AD404" s="51" t="s">
        <v>2288</v>
      </c>
      <c r="AE404" s="51" t="s">
        <v>2289</v>
      </c>
      <c r="AF404" s="51" t="str">
        <f t="shared" si="9"/>
        <v>A679077</v>
      </c>
      <c r="AG404" s="51" t="str">
        <f>VLOOKUP(AF404,AKT!$C$4:$E$324,3,FALSE)</f>
        <v>0942</v>
      </c>
    </row>
    <row r="405" spans="1:33" ht="15.75" customHeight="1">
      <c r="A405" s="84"/>
      <c r="B405" s="79" t="str">
        <f t="shared" si="0"/>
        <v/>
      </c>
      <c r="C405" s="84"/>
      <c r="D405" s="79" t="str">
        <f t="shared" si="1"/>
        <v/>
      </c>
      <c r="E405" s="84"/>
      <c r="F405" s="79" t="str">
        <f t="shared" si="2"/>
        <v/>
      </c>
      <c r="G405" s="79" t="str">
        <f t="shared" si="3"/>
        <v/>
      </c>
      <c r="H405" s="67"/>
      <c r="I405" s="67"/>
      <c r="J405" s="67"/>
      <c r="K405" s="89"/>
      <c r="L405" s="90"/>
      <c r="M405" s="90"/>
      <c r="N405" s="89"/>
      <c r="O405" s="73"/>
      <c r="P405" s="68"/>
      <c r="Q405" s="51"/>
      <c r="R405" s="51" t="str">
        <f t="shared" si="4"/>
        <v/>
      </c>
      <c r="S405" s="51" t="str">
        <f t="shared" si="5"/>
        <v/>
      </c>
      <c r="T405" s="51" t="str">
        <f t="shared" si="6"/>
        <v/>
      </c>
      <c r="U405" s="51"/>
      <c r="V405" s="51"/>
      <c r="W405" s="51"/>
      <c r="X405" s="51"/>
      <c r="Y405" s="51"/>
      <c r="Z405" s="51"/>
      <c r="AA405" s="51"/>
      <c r="AB405" s="51"/>
      <c r="AC405" s="51"/>
      <c r="AD405" s="51" t="s">
        <v>2290</v>
      </c>
      <c r="AE405" s="51" t="s">
        <v>2291</v>
      </c>
      <c r="AF405" s="51" t="str">
        <f t="shared" si="9"/>
        <v>A679077</v>
      </c>
      <c r="AG405" s="51" t="str">
        <f>VLOOKUP(AF405,AKT!$C$4:$E$324,3,FALSE)</f>
        <v>0942</v>
      </c>
    </row>
    <row r="406" spans="1:33" ht="15.75" customHeight="1">
      <c r="A406" s="84"/>
      <c r="B406" s="79" t="str">
        <f t="shared" si="0"/>
        <v/>
      </c>
      <c r="C406" s="84"/>
      <c r="D406" s="79" t="str">
        <f t="shared" si="1"/>
        <v/>
      </c>
      <c r="E406" s="84"/>
      <c r="F406" s="79" t="str">
        <f t="shared" si="2"/>
        <v/>
      </c>
      <c r="G406" s="79" t="str">
        <f t="shared" si="3"/>
        <v/>
      </c>
      <c r="H406" s="67"/>
      <c r="I406" s="67"/>
      <c r="J406" s="67"/>
      <c r="K406" s="89"/>
      <c r="L406" s="90"/>
      <c r="M406" s="90"/>
      <c r="N406" s="89"/>
      <c r="O406" s="73"/>
      <c r="P406" s="68"/>
      <c r="Q406" s="51"/>
      <c r="R406" s="51" t="str">
        <f t="shared" si="4"/>
        <v/>
      </c>
      <c r="S406" s="51" t="str">
        <f t="shared" si="5"/>
        <v/>
      </c>
      <c r="T406" s="51" t="str">
        <f t="shared" si="6"/>
        <v/>
      </c>
      <c r="U406" s="51"/>
      <c r="V406" s="51"/>
      <c r="W406" s="51"/>
      <c r="X406" s="51"/>
      <c r="Y406" s="51"/>
      <c r="Z406" s="51"/>
      <c r="AA406" s="51"/>
      <c r="AB406" s="51"/>
      <c r="AC406" s="51"/>
      <c r="AD406" s="51" t="s">
        <v>2292</v>
      </c>
      <c r="AE406" s="51" t="s">
        <v>2293</v>
      </c>
      <c r="AF406" s="51" t="str">
        <f t="shared" si="9"/>
        <v>A679077</v>
      </c>
      <c r="AG406" s="51" t="str">
        <f>VLOOKUP(AF406,AKT!$C$4:$E$324,3,FALSE)</f>
        <v>0942</v>
      </c>
    </row>
    <row r="407" spans="1:33" ht="15.75" customHeight="1">
      <c r="A407" s="84"/>
      <c r="B407" s="79" t="str">
        <f t="shared" si="0"/>
        <v/>
      </c>
      <c r="C407" s="84"/>
      <c r="D407" s="79" t="str">
        <f t="shared" si="1"/>
        <v/>
      </c>
      <c r="E407" s="84"/>
      <c r="F407" s="79" t="str">
        <f t="shared" si="2"/>
        <v/>
      </c>
      <c r="G407" s="79" t="str">
        <f t="shared" si="3"/>
        <v/>
      </c>
      <c r="H407" s="67"/>
      <c r="I407" s="67"/>
      <c r="J407" s="67"/>
      <c r="K407" s="89"/>
      <c r="L407" s="90"/>
      <c r="M407" s="90"/>
      <c r="N407" s="89"/>
      <c r="O407" s="73"/>
      <c r="P407" s="68"/>
      <c r="Q407" s="51"/>
      <c r="R407" s="51" t="str">
        <f t="shared" si="4"/>
        <v/>
      </c>
      <c r="S407" s="51" t="str">
        <f t="shared" si="5"/>
        <v/>
      </c>
      <c r="T407" s="51" t="str">
        <f t="shared" si="6"/>
        <v/>
      </c>
      <c r="U407" s="51"/>
      <c r="V407" s="51"/>
      <c r="W407" s="51"/>
      <c r="X407" s="51"/>
      <c r="Y407" s="51"/>
      <c r="Z407" s="51"/>
      <c r="AA407" s="51"/>
      <c r="AB407" s="51"/>
      <c r="AC407" s="51"/>
      <c r="AD407" s="51" t="s">
        <v>2294</v>
      </c>
      <c r="AE407" s="51" t="s">
        <v>2295</v>
      </c>
      <c r="AF407" s="51" t="str">
        <f t="shared" si="9"/>
        <v>A679077</v>
      </c>
      <c r="AG407" s="51" t="str">
        <f>VLOOKUP(AF407,AKT!$C$4:$E$324,3,FALSE)</f>
        <v>0942</v>
      </c>
    </row>
    <row r="408" spans="1:33" ht="15.75" customHeight="1">
      <c r="A408" s="84"/>
      <c r="B408" s="79" t="str">
        <f t="shared" si="0"/>
        <v/>
      </c>
      <c r="C408" s="84"/>
      <c r="D408" s="79" t="str">
        <f t="shared" si="1"/>
        <v/>
      </c>
      <c r="E408" s="84"/>
      <c r="F408" s="79" t="str">
        <f t="shared" si="2"/>
        <v/>
      </c>
      <c r="G408" s="79" t="str">
        <f t="shared" si="3"/>
        <v/>
      </c>
      <c r="H408" s="67"/>
      <c r="I408" s="67"/>
      <c r="J408" s="67"/>
      <c r="K408" s="89"/>
      <c r="L408" s="90"/>
      <c r="M408" s="90"/>
      <c r="N408" s="89"/>
      <c r="O408" s="73"/>
      <c r="P408" s="68"/>
      <c r="Q408" s="51"/>
      <c r="R408" s="51" t="str">
        <f t="shared" si="4"/>
        <v/>
      </c>
      <c r="S408" s="51" t="str">
        <f t="shared" si="5"/>
        <v/>
      </c>
      <c r="T408" s="51" t="str">
        <f t="shared" si="6"/>
        <v/>
      </c>
      <c r="U408" s="51"/>
      <c r="V408" s="51"/>
      <c r="W408" s="51"/>
      <c r="X408" s="51"/>
      <c r="Y408" s="51"/>
      <c r="Z408" s="51"/>
      <c r="AA408" s="51"/>
      <c r="AB408" s="51"/>
      <c r="AC408" s="51"/>
      <c r="AD408" s="51" t="s">
        <v>2296</v>
      </c>
      <c r="AE408" s="51" t="s">
        <v>2297</v>
      </c>
      <c r="AF408" s="51" t="str">
        <f t="shared" si="9"/>
        <v>A679077</v>
      </c>
      <c r="AG408" s="51" t="str">
        <f>VLOOKUP(AF408,AKT!$C$4:$E$324,3,FALSE)</f>
        <v>0942</v>
      </c>
    </row>
    <row r="409" spans="1:33" ht="15.75" customHeight="1">
      <c r="A409" s="84"/>
      <c r="B409" s="79" t="str">
        <f t="shared" si="0"/>
        <v/>
      </c>
      <c r="C409" s="84"/>
      <c r="D409" s="79" t="str">
        <f t="shared" si="1"/>
        <v/>
      </c>
      <c r="E409" s="84"/>
      <c r="F409" s="79" t="str">
        <f t="shared" si="2"/>
        <v/>
      </c>
      <c r="G409" s="79" t="str">
        <f t="shared" si="3"/>
        <v/>
      </c>
      <c r="H409" s="67"/>
      <c r="I409" s="67"/>
      <c r="J409" s="67"/>
      <c r="K409" s="89"/>
      <c r="L409" s="90"/>
      <c r="M409" s="90"/>
      <c r="N409" s="89"/>
      <c r="O409" s="73"/>
      <c r="P409" s="68"/>
      <c r="Q409" s="51"/>
      <c r="R409" s="51" t="str">
        <f t="shared" si="4"/>
        <v/>
      </c>
      <c r="S409" s="51" t="str">
        <f t="shared" si="5"/>
        <v/>
      </c>
      <c r="T409" s="51" t="str">
        <f t="shared" si="6"/>
        <v/>
      </c>
      <c r="U409" s="51"/>
      <c r="V409" s="51"/>
      <c r="W409" s="51"/>
      <c r="X409" s="51"/>
      <c r="Y409" s="51"/>
      <c r="Z409" s="51"/>
      <c r="AA409" s="51"/>
      <c r="AB409" s="51"/>
      <c r="AC409" s="51"/>
      <c r="AD409" s="51" t="s">
        <v>2298</v>
      </c>
      <c r="AE409" s="51" t="s">
        <v>2299</v>
      </c>
      <c r="AF409" s="51" t="str">
        <f t="shared" si="9"/>
        <v>A679077</v>
      </c>
      <c r="AG409" s="51" t="str">
        <f>VLOOKUP(AF409,AKT!$C$4:$E$324,3,FALSE)</f>
        <v>0942</v>
      </c>
    </row>
    <row r="410" spans="1:33" ht="15.75" customHeight="1">
      <c r="A410" s="84"/>
      <c r="B410" s="79" t="str">
        <f t="shared" si="0"/>
        <v/>
      </c>
      <c r="C410" s="84"/>
      <c r="D410" s="79" t="str">
        <f t="shared" si="1"/>
        <v/>
      </c>
      <c r="E410" s="84"/>
      <c r="F410" s="79" t="str">
        <f t="shared" si="2"/>
        <v/>
      </c>
      <c r="G410" s="79" t="str">
        <f t="shared" si="3"/>
        <v/>
      </c>
      <c r="H410" s="67"/>
      <c r="I410" s="67"/>
      <c r="J410" s="67"/>
      <c r="K410" s="89"/>
      <c r="L410" s="90"/>
      <c r="M410" s="90"/>
      <c r="N410" s="89"/>
      <c r="O410" s="73"/>
      <c r="P410" s="68"/>
      <c r="Q410" s="51"/>
      <c r="R410" s="51" t="str">
        <f t="shared" si="4"/>
        <v/>
      </c>
      <c r="S410" s="51" t="str">
        <f t="shared" si="5"/>
        <v/>
      </c>
      <c r="T410" s="51" t="str">
        <f t="shared" si="6"/>
        <v/>
      </c>
      <c r="U410" s="51"/>
      <c r="V410" s="51"/>
      <c r="W410" s="51"/>
      <c r="X410" s="51"/>
      <c r="Y410" s="51"/>
      <c r="Z410" s="51"/>
      <c r="AA410" s="51"/>
      <c r="AB410" s="51"/>
      <c r="AC410" s="51"/>
      <c r="AD410" s="51" t="s">
        <v>2300</v>
      </c>
      <c r="AE410" s="51" t="s">
        <v>2301</v>
      </c>
      <c r="AF410" s="51" t="str">
        <f t="shared" si="9"/>
        <v>A679077</v>
      </c>
      <c r="AG410" s="51" t="str">
        <f>VLOOKUP(AF410,AKT!$C$4:$E$324,3,FALSE)</f>
        <v>0942</v>
      </c>
    </row>
    <row r="411" spans="1:33" ht="15.75" customHeight="1">
      <c r="A411" s="84"/>
      <c r="B411" s="79" t="str">
        <f t="shared" si="0"/>
        <v/>
      </c>
      <c r="C411" s="84"/>
      <c r="D411" s="79" t="str">
        <f t="shared" si="1"/>
        <v/>
      </c>
      <c r="E411" s="84"/>
      <c r="F411" s="79" t="str">
        <f t="shared" si="2"/>
        <v/>
      </c>
      <c r="G411" s="79" t="str">
        <f t="shared" si="3"/>
        <v/>
      </c>
      <c r="H411" s="67"/>
      <c r="I411" s="67"/>
      <c r="J411" s="67"/>
      <c r="K411" s="89"/>
      <c r="L411" s="90"/>
      <c r="M411" s="90"/>
      <c r="N411" s="89"/>
      <c r="O411" s="73"/>
      <c r="P411" s="68"/>
      <c r="Q411" s="51"/>
      <c r="R411" s="51" t="str">
        <f t="shared" si="4"/>
        <v/>
      </c>
      <c r="S411" s="51" t="str">
        <f t="shared" si="5"/>
        <v/>
      </c>
      <c r="T411" s="51" t="str">
        <f t="shared" si="6"/>
        <v/>
      </c>
      <c r="U411" s="51"/>
      <c r="V411" s="51"/>
      <c r="W411" s="51"/>
      <c r="X411" s="51"/>
      <c r="Y411" s="51"/>
      <c r="Z411" s="51"/>
      <c r="AA411" s="51"/>
      <c r="AB411" s="51"/>
      <c r="AC411" s="51"/>
      <c r="AD411" s="51" t="s">
        <v>2302</v>
      </c>
      <c r="AE411" s="51" t="s">
        <v>2303</v>
      </c>
      <c r="AF411" s="51" t="str">
        <f t="shared" si="9"/>
        <v>A679077</v>
      </c>
      <c r="AG411" s="51" t="str">
        <f>VLOOKUP(AF411,AKT!$C$4:$E$324,3,FALSE)</f>
        <v>0942</v>
      </c>
    </row>
    <row r="412" spans="1:33" ht="15.75" customHeight="1">
      <c r="A412" s="84"/>
      <c r="B412" s="79" t="str">
        <f t="shared" si="0"/>
        <v/>
      </c>
      <c r="C412" s="84"/>
      <c r="D412" s="79" t="str">
        <f t="shared" si="1"/>
        <v/>
      </c>
      <c r="E412" s="84"/>
      <c r="F412" s="79" t="str">
        <f t="shared" si="2"/>
        <v/>
      </c>
      <c r="G412" s="79" t="str">
        <f t="shared" si="3"/>
        <v/>
      </c>
      <c r="H412" s="67"/>
      <c r="I412" s="67"/>
      <c r="J412" s="67"/>
      <c r="K412" s="89"/>
      <c r="L412" s="90"/>
      <c r="M412" s="90"/>
      <c r="N412" s="89"/>
      <c r="O412" s="73"/>
      <c r="P412" s="68"/>
      <c r="Q412" s="51"/>
      <c r="R412" s="51" t="str">
        <f t="shared" si="4"/>
        <v/>
      </c>
      <c r="S412" s="51" t="str">
        <f t="shared" si="5"/>
        <v/>
      </c>
      <c r="T412" s="51" t="str">
        <f t="shared" si="6"/>
        <v/>
      </c>
      <c r="U412" s="51"/>
      <c r="V412" s="51"/>
      <c r="W412" s="51"/>
      <c r="X412" s="51"/>
      <c r="Y412" s="51"/>
      <c r="Z412" s="51"/>
      <c r="AA412" s="51"/>
      <c r="AB412" s="51"/>
      <c r="AC412" s="51"/>
      <c r="AD412" s="51" t="s">
        <v>2304</v>
      </c>
      <c r="AE412" s="51" t="s">
        <v>2305</v>
      </c>
      <c r="AF412" s="51" t="str">
        <f t="shared" si="9"/>
        <v>A679077</v>
      </c>
      <c r="AG412" s="51" t="str">
        <f>VLOOKUP(AF412,AKT!$C$4:$E$324,3,FALSE)</f>
        <v>0942</v>
      </c>
    </row>
    <row r="413" spans="1:33" ht="15.75" customHeight="1">
      <c r="A413" s="84"/>
      <c r="B413" s="79" t="str">
        <f t="shared" si="0"/>
        <v/>
      </c>
      <c r="C413" s="84"/>
      <c r="D413" s="79" t="str">
        <f t="shared" si="1"/>
        <v/>
      </c>
      <c r="E413" s="84"/>
      <c r="F413" s="79" t="str">
        <f t="shared" si="2"/>
        <v/>
      </c>
      <c r="G413" s="79" t="str">
        <f t="shared" si="3"/>
        <v/>
      </c>
      <c r="H413" s="67"/>
      <c r="I413" s="67"/>
      <c r="J413" s="67"/>
      <c r="K413" s="89"/>
      <c r="L413" s="90"/>
      <c r="M413" s="90"/>
      <c r="N413" s="89"/>
      <c r="O413" s="73"/>
      <c r="P413" s="68"/>
      <c r="Q413" s="51"/>
      <c r="R413" s="51" t="str">
        <f t="shared" si="4"/>
        <v/>
      </c>
      <c r="S413" s="51" t="str">
        <f t="shared" si="5"/>
        <v/>
      </c>
      <c r="T413" s="51" t="str">
        <f t="shared" si="6"/>
        <v/>
      </c>
      <c r="U413" s="51"/>
      <c r="V413" s="51"/>
      <c r="W413" s="51"/>
      <c r="X413" s="51"/>
      <c r="Y413" s="51"/>
      <c r="Z413" s="51"/>
      <c r="AA413" s="51"/>
      <c r="AB413" s="51"/>
      <c r="AC413" s="51"/>
      <c r="AD413" s="51" t="s">
        <v>2306</v>
      </c>
      <c r="AE413" s="51" t="s">
        <v>2307</v>
      </c>
      <c r="AF413" s="51" t="str">
        <f t="shared" si="9"/>
        <v>A679077</v>
      </c>
      <c r="AG413" s="51" t="str">
        <f>VLOOKUP(AF413,AKT!$C$4:$E$324,3,FALSE)</f>
        <v>0942</v>
      </c>
    </row>
    <row r="414" spans="1:33" ht="15.75" customHeight="1">
      <c r="A414" s="84"/>
      <c r="B414" s="79" t="str">
        <f t="shared" si="0"/>
        <v/>
      </c>
      <c r="C414" s="84"/>
      <c r="D414" s="79" t="str">
        <f t="shared" si="1"/>
        <v/>
      </c>
      <c r="E414" s="84"/>
      <c r="F414" s="79" t="str">
        <f t="shared" si="2"/>
        <v/>
      </c>
      <c r="G414" s="79" t="str">
        <f t="shared" si="3"/>
        <v/>
      </c>
      <c r="H414" s="67"/>
      <c r="I414" s="67"/>
      <c r="J414" s="67"/>
      <c r="K414" s="89"/>
      <c r="L414" s="90"/>
      <c r="M414" s="90"/>
      <c r="N414" s="89"/>
      <c r="O414" s="73"/>
      <c r="P414" s="68"/>
      <c r="Q414" s="51"/>
      <c r="R414" s="51" t="str">
        <f t="shared" si="4"/>
        <v/>
      </c>
      <c r="S414" s="51" t="str">
        <f t="shared" si="5"/>
        <v/>
      </c>
      <c r="T414" s="51" t="str">
        <f t="shared" si="6"/>
        <v/>
      </c>
      <c r="U414" s="51"/>
      <c r="V414" s="51"/>
      <c r="W414" s="51"/>
      <c r="X414" s="51"/>
      <c r="Y414" s="51"/>
      <c r="Z414" s="51"/>
      <c r="AA414" s="51"/>
      <c r="AB414" s="51"/>
      <c r="AC414" s="51"/>
      <c r="AD414" s="51" t="s">
        <v>2308</v>
      </c>
      <c r="AE414" s="51" t="s">
        <v>2309</v>
      </c>
      <c r="AF414" s="51" t="str">
        <f t="shared" si="9"/>
        <v>A679077</v>
      </c>
      <c r="AG414" s="51" t="str">
        <f>VLOOKUP(AF414,AKT!$C$4:$E$324,3,FALSE)</f>
        <v>0942</v>
      </c>
    </row>
    <row r="415" spans="1:33" ht="15.75" customHeight="1">
      <c r="A415" s="84"/>
      <c r="B415" s="79" t="str">
        <f t="shared" si="0"/>
        <v/>
      </c>
      <c r="C415" s="84"/>
      <c r="D415" s="79" t="str">
        <f t="shared" si="1"/>
        <v/>
      </c>
      <c r="E415" s="84"/>
      <c r="F415" s="79" t="str">
        <f t="shared" si="2"/>
        <v/>
      </c>
      <c r="G415" s="79" t="str">
        <f t="shared" si="3"/>
        <v/>
      </c>
      <c r="H415" s="67"/>
      <c r="I415" s="67"/>
      <c r="J415" s="67"/>
      <c r="K415" s="89"/>
      <c r="L415" s="90"/>
      <c r="M415" s="90"/>
      <c r="N415" s="89"/>
      <c r="O415" s="73"/>
      <c r="P415" s="68"/>
      <c r="Q415" s="51"/>
      <c r="R415" s="51" t="str">
        <f t="shared" si="4"/>
        <v/>
      </c>
      <c r="S415" s="51" t="str">
        <f t="shared" si="5"/>
        <v/>
      </c>
      <c r="T415" s="51" t="str">
        <f t="shared" si="6"/>
        <v/>
      </c>
      <c r="U415" s="51"/>
      <c r="V415" s="51"/>
      <c r="W415" s="51"/>
      <c r="X415" s="51"/>
      <c r="Y415" s="51"/>
      <c r="Z415" s="51"/>
      <c r="AA415" s="51"/>
      <c r="AB415" s="51"/>
      <c r="AC415" s="51"/>
      <c r="AD415" s="51" t="s">
        <v>2310</v>
      </c>
      <c r="AE415" s="51" t="s">
        <v>2311</v>
      </c>
      <c r="AF415" s="51" t="str">
        <f t="shared" si="9"/>
        <v>A679078</v>
      </c>
      <c r="AG415" s="51" t="str">
        <f>VLOOKUP(AF415,AKT!$C$4:$E$324,3,FALSE)</f>
        <v>0942</v>
      </c>
    </row>
    <row r="416" spans="1:33" ht="15.75" customHeight="1">
      <c r="A416" s="84"/>
      <c r="B416" s="79" t="str">
        <f t="shared" si="0"/>
        <v/>
      </c>
      <c r="C416" s="84"/>
      <c r="D416" s="79" t="str">
        <f t="shared" si="1"/>
        <v/>
      </c>
      <c r="E416" s="84"/>
      <c r="F416" s="79" t="str">
        <f t="shared" si="2"/>
        <v/>
      </c>
      <c r="G416" s="79" t="str">
        <f t="shared" si="3"/>
        <v/>
      </c>
      <c r="H416" s="67"/>
      <c r="I416" s="67"/>
      <c r="J416" s="67"/>
      <c r="K416" s="89"/>
      <c r="L416" s="90"/>
      <c r="M416" s="90"/>
      <c r="N416" s="89"/>
      <c r="O416" s="73"/>
      <c r="P416" s="68"/>
      <c r="Q416" s="51"/>
      <c r="R416" s="51" t="str">
        <f t="shared" si="4"/>
        <v/>
      </c>
      <c r="S416" s="51" t="str">
        <f t="shared" si="5"/>
        <v/>
      </c>
      <c r="T416" s="51" t="str">
        <f t="shared" si="6"/>
        <v/>
      </c>
      <c r="U416" s="51"/>
      <c r="V416" s="51"/>
      <c r="W416" s="51"/>
      <c r="X416" s="51"/>
      <c r="Y416" s="51"/>
      <c r="Z416" s="51"/>
      <c r="AA416" s="51"/>
      <c r="AB416" s="51"/>
      <c r="AC416" s="51"/>
      <c r="AD416" s="51" t="s">
        <v>2312</v>
      </c>
      <c r="AE416" s="51" t="s">
        <v>2313</v>
      </c>
      <c r="AF416" s="51" t="str">
        <f t="shared" si="9"/>
        <v>A679078</v>
      </c>
      <c r="AG416" s="51" t="str">
        <f>VLOOKUP(AF416,AKT!$C$4:$E$324,3,FALSE)</f>
        <v>0942</v>
      </c>
    </row>
    <row r="417" spans="1:33" ht="15.75" customHeight="1">
      <c r="A417" s="84"/>
      <c r="B417" s="79" t="str">
        <f t="shared" si="0"/>
        <v/>
      </c>
      <c r="C417" s="84"/>
      <c r="D417" s="79" t="str">
        <f t="shared" si="1"/>
        <v/>
      </c>
      <c r="E417" s="84"/>
      <c r="F417" s="79" t="str">
        <f t="shared" si="2"/>
        <v/>
      </c>
      <c r="G417" s="79" t="str">
        <f t="shared" si="3"/>
        <v/>
      </c>
      <c r="H417" s="67"/>
      <c r="I417" s="67"/>
      <c r="J417" s="67"/>
      <c r="K417" s="89"/>
      <c r="L417" s="90"/>
      <c r="M417" s="90"/>
      <c r="N417" s="89"/>
      <c r="O417" s="73"/>
      <c r="P417" s="68"/>
      <c r="Q417" s="51"/>
      <c r="R417" s="51" t="str">
        <f t="shared" si="4"/>
        <v/>
      </c>
      <c r="S417" s="51" t="str">
        <f t="shared" si="5"/>
        <v/>
      </c>
      <c r="T417" s="51" t="str">
        <f t="shared" si="6"/>
        <v/>
      </c>
      <c r="U417" s="51"/>
      <c r="V417" s="51"/>
      <c r="W417" s="51"/>
      <c r="X417" s="51"/>
      <c r="Y417" s="51"/>
      <c r="Z417" s="51"/>
      <c r="AA417" s="51"/>
      <c r="AB417" s="51"/>
      <c r="AC417" s="51"/>
      <c r="AD417" s="51" t="s">
        <v>2314</v>
      </c>
      <c r="AE417" s="51" t="s">
        <v>2315</v>
      </c>
      <c r="AF417" s="51" t="str">
        <f t="shared" si="9"/>
        <v>A679078</v>
      </c>
      <c r="AG417" s="51" t="str">
        <f>VLOOKUP(AF417,AKT!$C$4:$E$324,3,FALSE)</f>
        <v>0942</v>
      </c>
    </row>
    <row r="418" spans="1:33" ht="15.75" customHeight="1">
      <c r="A418" s="84"/>
      <c r="B418" s="79" t="str">
        <f t="shared" si="0"/>
        <v/>
      </c>
      <c r="C418" s="84"/>
      <c r="D418" s="79" t="str">
        <f t="shared" si="1"/>
        <v/>
      </c>
      <c r="E418" s="84"/>
      <c r="F418" s="79" t="str">
        <f t="shared" si="2"/>
        <v/>
      </c>
      <c r="G418" s="79" t="str">
        <f t="shared" si="3"/>
        <v/>
      </c>
      <c r="H418" s="67"/>
      <c r="I418" s="67"/>
      <c r="J418" s="67"/>
      <c r="K418" s="89"/>
      <c r="L418" s="90"/>
      <c r="M418" s="90"/>
      <c r="N418" s="89"/>
      <c r="O418" s="73"/>
      <c r="P418" s="68"/>
      <c r="Q418" s="51"/>
      <c r="R418" s="51" t="str">
        <f t="shared" si="4"/>
        <v/>
      </c>
      <c r="S418" s="51" t="str">
        <f t="shared" si="5"/>
        <v/>
      </c>
      <c r="T418" s="51" t="str">
        <f t="shared" si="6"/>
        <v/>
      </c>
      <c r="U418" s="51"/>
      <c r="V418" s="51"/>
      <c r="W418" s="51"/>
      <c r="X418" s="51"/>
      <c r="Y418" s="51"/>
      <c r="Z418" s="51"/>
      <c r="AA418" s="51"/>
      <c r="AB418" s="51"/>
      <c r="AC418" s="51"/>
      <c r="AD418" s="51" t="s">
        <v>2316</v>
      </c>
      <c r="AE418" s="51" t="s">
        <v>2317</v>
      </c>
      <c r="AF418" s="51" t="str">
        <f t="shared" si="9"/>
        <v>A679078</v>
      </c>
      <c r="AG418" s="51" t="str">
        <f>VLOOKUP(AF418,AKT!$C$4:$E$324,3,FALSE)</f>
        <v>0942</v>
      </c>
    </row>
    <row r="419" spans="1:33" ht="15.75" customHeight="1">
      <c r="A419" s="84"/>
      <c r="B419" s="79" t="str">
        <f t="shared" si="0"/>
        <v/>
      </c>
      <c r="C419" s="84"/>
      <c r="D419" s="79" t="str">
        <f t="shared" si="1"/>
        <v/>
      </c>
      <c r="E419" s="84"/>
      <c r="F419" s="79" t="str">
        <f t="shared" si="2"/>
        <v/>
      </c>
      <c r="G419" s="79" t="str">
        <f t="shared" si="3"/>
        <v/>
      </c>
      <c r="H419" s="67"/>
      <c r="I419" s="67"/>
      <c r="J419" s="67"/>
      <c r="K419" s="89"/>
      <c r="L419" s="90"/>
      <c r="M419" s="90"/>
      <c r="N419" s="89"/>
      <c r="O419" s="73"/>
      <c r="P419" s="68"/>
      <c r="Q419" s="51"/>
      <c r="R419" s="51" t="str">
        <f t="shared" si="4"/>
        <v/>
      </c>
      <c r="S419" s="51" t="str">
        <f t="shared" si="5"/>
        <v/>
      </c>
      <c r="T419" s="51" t="str">
        <f t="shared" si="6"/>
        <v/>
      </c>
      <c r="U419" s="51"/>
      <c r="V419" s="51"/>
      <c r="W419" s="51"/>
      <c r="X419" s="51"/>
      <c r="Y419" s="51"/>
      <c r="Z419" s="51"/>
      <c r="AA419" s="51"/>
      <c r="AB419" s="51"/>
      <c r="AC419" s="51"/>
      <c r="AD419" s="51" t="s">
        <v>2318</v>
      </c>
      <c r="AE419" s="51" t="s">
        <v>2319</v>
      </c>
      <c r="AF419" s="51" t="str">
        <f t="shared" si="9"/>
        <v>A679078</v>
      </c>
      <c r="AG419" s="51" t="str">
        <f>VLOOKUP(AF419,AKT!$C$4:$E$324,3,FALSE)</f>
        <v>0942</v>
      </c>
    </row>
    <row r="420" spans="1:33" ht="15.75" customHeight="1">
      <c r="A420" s="84"/>
      <c r="B420" s="79" t="str">
        <f t="shared" si="0"/>
        <v/>
      </c>
      <c r="C420" s="84"/>
      <c r="D420" s="79" t="str">
        <f t="shared" si="1"/>
        <v/>
      </c>
      <c r="E420" s="84"/>
      <c r="F420" s="79" t="str">
        <f t="shared" si="2"/>
        <v/>
      </c>
      <c r="G420" s="79" t="str">
        <f t="shared" si="3"/>
        <v/>
      </c>
      <c r="H420" s="67"/>
      <c r="I420" s="67"/>
      <c r="J420" s="67"/>
      <c r="K420" s="89"/>
      <c r="L420" s="90"/>
      <c r="M420" s="90"/>
      <c r="N420" s="89"/>
      <c r="O420" s="73"/>
      <c r="P420" s="68"/>
      <c r="Q420" s="51"/>
      <c r="R420" s="51" t="str">
        <f t="shared" si="4"/>
        <v/>
      </c>
      <c r="S420" s="51" t="str">
        <f t="shared" si="5"/>
        <v/>
      </c>
      <c r="T420" s="51" t="str">
        <f t="shared" si="6"/>
        <v/>
      </c>
      <c r="U420" s="51"/>
      <c r="V420" s="51"/>
      <c r="W420" s="51"/>
      <c r="X420" s="51"/>
      <c r="Y420" s="51"/>
      <c r="Z420" s="51"/>
      <c r="AA420" s="51"/>
      <c r="AB420" s="51"/>
      <c r="AC420" s="51"/>
      <c r="AD420" s="51" t="s">
        <v>2320</v>
      </c>
      <c r="AE420" s="51" t="s">
        <v>2321</v>
      </c>
      <c r="AF420" s="51" t="str">
        <f t="shared" si="9"/>
        <v>A679078</v>
      </c>
      <c r="AG420" s="51" t="str">
        <f>VLOOKUP(AF420,AKT!$C$4:$E$324,3,FALSE)</f>
        <v>0942</v>
      </c>
    </row>
    <row r="421" spans="1:33" ht="15.75" customHeight="1">
      <c r="A421" s="84"/>
      <c r="B421" s="79" t="str">
        <f t="shared" si="0"/>
        <v/>
      </c>
      <c r="C421" s="84"/>
      <c r="D421" s="79" t="str">
        <f t="shared" si="1"/>
        <v/>
      </c>
      <c r="E421" s="84"/>
      <c r="F421" s="79" t="str">
        <f t="shared" si="2"/>
        <v/>
      </c>
      <c r="G421" s="79" t="str">
        <f t="shared" si="3"/>
        <v/>
      </c>
      <c r="H421" s="67"/>
      <c r="I421" s="67"/>
      <c r="J421" s="67"/>
      <c r="K421" s="89"/>
      <c r="L421" s="90"/>
      <c r="M421" s="90"/>
      <c r="N421" s="89"/>
      <c r="O421" s="73"/>
      <c r="P421" s="68"/>
      <c r="Q421" s="51"/>
      <c r="R421" s="51" t="str">
        <f t="shared" si="4"/>
        <v/>
      </c>
      <c r="S421" s="51" t="str">
        <f t="shared" si="5"/>
        <v/>
      </c>
      <c r="T421" s="51" t="str">
        <f t="shared" si="6"/>
        <v/>
      </c>
      <c r="U421" s="51"/>
      <c r="V421" s="51"/>
      <c r="W421" s="51"/>
      <c r="X421" s="51"/>
      <c r="Y421" s="51"/>
      <c r="Z421" s="51"/>
      <c r="AA421" s="51"/>
      <c r="AB421" s="51"/>
      <c r="AC421" s="51"/>
      <c r="AD421" s="51" t="s">
        <v>2322</v>
      </c>
      <c r="AE421" s="51" t="s">
        <v>2323</v>
      </c>
      <c r="AF421" s="51" t="str">
        <f t="shared" si="9"/>
        <v>A679078</v>
      </c>
      <c r="AG421" s="51" t="str">
        <f>VLOOKUP(AF421,AKT!$C$4:$E$324,3,FALSE)</f>
        <v>0942</v>
      </c>
    </row>
    <row r="422" spans="1:33" ht="15.75" customHeight="1">
      <c r="A422" s="84"/>
      <c r="B422" s="79" t="str">
        <f t="shared" si="0"/>
        <v/>
      </c>
      <c r="C422" s="84"/>
      <c r="D422" s="79" t="str">
        <f t="shared" si="1"/>
        <v/>
      </c>
      <c r="E422" s="84"/>
      <c r="F422" s="79" t="str">
        <f t="shared" si="2"/>
        <v/>
      </c>
      <c r="G422" s="79" t="str">
        <f t="shared" si="3"/>
        <v/>
      </c>
      <c r="H422" s="67"/>
      <c r="I422" s="67"/>
      <c r="J422" s="67"/>
      <c r="K422" s="89"/>
      <c r="L422" s="90"/>
      <c r="M422" s="90"/>
      <c r="N422" s="89"/>
      <c r="O422" s="73"/>
      <c r="P422" s="68"/>
      <c r="Q422" s="51"/>
      <c r="R422" s="51" t="str">
        <f t="shared" si="4"/>
        <v/>
      </c>
      <c r="S422" s="51" t="str">
        <f t="shared" si="5"/>
        <v/>
      </c>
      <c r="T422" s="51" t="str">
        <f t="shared" si="6"/>
        <v/>
      </c>
      <c r="U422" s="51"/>
      <c r="V422" s="51"/>
      <c r="W422" s="51"/>
      <c r="X422" s="51"/>
      <c r="Y422" s="51"/>
      <c r="Z422" s="51"/>
      <c r="AA422" s="51"/>
      <c r="AB422" s="51"/>
      <c r="AC422" s="51"/>
      <c r="AD422" s="51" t="s">
        <v>2324</v>
      </c>
      <c r="AE422" s="51" t="s">
        <v>2325</v>
      </c>
      <c r="AF422" s="51" t="str">
        <f t="shared" si="9"/>
        <v>A679078</v>
      </c>
      <c r="AG422" s="51" t="str">
        <f>VLOOKUP(AF422,AKT!$C$4:$E$324,3,FALSE)</f>
        <v>0942</v>
      </c>
    </row>
    <row r="423" spans="1:33" ht="15.75" customHeight="1">
      <c r="A423" s="84"/>
      <c r="B423" s="79" t="str">
        <f t="shared" si="0"/>
        <v/>
      </c>
      <c r="C423" s="84"/>
      <c r="D423" s="79" t="str">
        <f t="shared" si="1"/>
        <v/>
      </c>
      <c r="E423" s="84"/>
      <c r="F423" s="79" t="str">
        <f t="shared" si="2"/>
        <v/>
      </c>
      <c r="G423" s="79" t="str">
        <f t="shared" si="3"/>
        <v/>
      </c>
      <c r="H423" s="67"/>
      <c r="I423" s="67"/>
      <c r="J423" s="67"/>
      <c r="K423" s="89"/>
      <c r="L423" s="90"/>
      <c r="M423" s="90"/>
      <c r="N423" s="89"/>
      <c r="O423" s="73"/>
      <c r="P423" s="68"/>
      <c r="Q423" s="51"/>
      <c r="R423" s="51" t="str">
        <f t="shared" si="4"/>
        <v/>
      </c>
      <c r="S423" s="51" t="str">
        <f t="shared" si="5"/>
        <v/>
      </c>
      <c r="T423" s="51" t="str">
        <f t="shared" si="6"/>
        <v/>
      </c>
      <c r="U423" s="51"/>
      <c r="V423" s="51"/>
      <c r="W423" s="51"/>
      <c r="X423" s="51"/>
      <c r="Y423" s="51"/>
      <c r="Z423" s="51"/>
      <c r="AA423" s="51"/>
      <c r="AB423" s="51"/>
      <c r="AC423" s="51"/>
      <c r="AD423" s="51" t="s">
        <v>2326</v>
      </c>
      <c r="AE423" s="51" t="s">
        <v>2327</v>
      </c>
      <c r="AF423" s="51" t="str">
        <f t="shared" si="9"/>
        <v>A679078</v>
      </c>
      <c r="AG423" s="51" t="str">
        <f>VLOOKUP(AF423,AKT!$C$4:$E$324,3,FALSE)</f>
        <v>0942</v>
      </c>
    </row>
    <row r="424" spans="1:33" ht="15.75" customHeight="1">
      <c r="A424" s="84"/>
      <c r="B424" s="79" t="str">
        <f t="shared" si="0"/>
        <v/>
      </c>
      <c r="C424" s="84"/>
      <c r="D424" s="79" t="str">
        <f t="shared" si="1"/>
        <v/>
      </c>
      <c r="E424" s="84"/>
      <c r="F424" s="79" t="str">
        <f t="shared" si="2"/>
        <v/>
      </c>
      <c r="G424" s="79" t="str">
        <f t="shared" si="3"/>
        <v/>
      </c>
      <c r="H424" s="67"/>
      <c r="I424" s="67"/>
      <c r="J424" s="67"/>
      <c r="K424" s="89"/>
      <c r="L424" s="90"/>
      <c r="M424" s="90"/>
      <c r="N424" s="89"/>
      <c r="O424" s="73"/>
      <c r="P424" s="68"/>
      <c r="Q424" s="51"/>
      <c r="R424" s="51" t="str">
        <f t="shared" si="4"/>
        <v/>
      </c>
      <c r="S424" s="51" t="str">
        <f t="shared" si="5"/>
        <v/>
      </c>
      <c r="T424" s="51" t="str">
        <f t="shared" si="6"/>
        <v/>
      </c>
      <c r="U424" s="51"/>
      <c r="V424" s="51"/>
      <c r="W424" s="51"/>
      <c r="X424" s="51"/>
      <c r="Y424" s="51"/>
      <c r="Z424" s="51"/>
      <c r="AA424" s="51"/>
      <c r="AB424" s="51"/>
      <c r="AC424" s="51"/>
      <c r="AD424" s="51" t="s">
        <v>2328</v>
      </c>
      <c r="AE424" s="51" t="s">
        <v>2329</v>
      </c>
      <c r="AF424" s="51" t="str">
        <f t="shared" si="9"/>
        <v>A679078</v>
      </c>
      <c r="AG424" s="51" t="str">
        <f>VLOOKUP(AF424,AKT!$C$4:$E$324,3,FALSE)</f>
        <v>0942</v>
      </c>
    </row>
    <row r="425" spans="1:33" ht="15.75" customHeight="1">
      <c r="A425" s="84"/>
      <c r="B425" s="79" t="str">
        <f t="shared" si="0"/>
        <v/>
      </c>
      <c r="C425" s="84"/>
      <c r="D425" s="79" t="str">
        <f t="shared" si="1"/>
        <v/>
      </c>
      <c r="E425" s="84"/>
      <c r="F425" s="79" t="str">
        <f t="shared" si="2"/>
        <v/>
      </c>
      <c r="G425" s="79" t="str">
        <f t="shared" si="3"/>
        <v/>
      </c>
      <c r="H425" s="67"/>
      <c r="I425" s="67"/>
      <c r="J425" s="67"/>
      <c r="K425" s="89"/>
      <c r="L425" s="90"/>
      <c r="M425" s="90"/>
      <c r="N425" s="89"/>
      <c r="O425" s="73"/>
      <c r="P425" s="68"/>
      <c r="Q425" s="51"/>
      <c r="R425" s="51" t="str">
        <f t="shared" si="4"/>
        <v/>
      </c>
      <c r="S425" s="51" t="str">
        <f t="shared" si="5"/>
        <v/>
      </c>
      <c r="T425" s="51" t="str">
        <f t="shared" si="6"/>
        <v/>
      </c>
      <c r="U425" s="51"/>
      <c r="V425" s="51"/>
      <c r="W425" s="51"/>
      <c r="X425" s="51"/>
      <c r="Y425" s="51"/>
      <c r="Z425" s="51"/>
      <c r="AA425" s="51"/>
      <c r="AB425" s="51"/>
      <c r="AC425" s="51"/>
      <c r="AD425" s="51" t="s">
        <v>2330</v>
      </c>
      <c r="AE425" s="51" t="s">
        <v>2331</v>
      </c>
      <c r="AF425" s="51" t="str">
        <f t="shared" si="9"/>
        <v>A679078</v>
      </c>
      <c r="AG425" s="51" t="str">
        <f>VLOOKUP(AF425,AKT!$C$4:$E$324,3,FALSE)</f>
        <v>0942</v>
      </c>
    </row>
    <row r="426" spans="1:33" ht="15.75" customHeight="1">
      <c r="A426" s="84"/>
      <c r="B426" s="79" t="str">
        <f t="shared" si="0"/>
        <v/>
      </c>
      <c r="C426" s="84"/>
      <c r="D426" s="79" t="str">
        <f t="shared" si="1"/>
        <v/>
      </c>
      <c r="E426" s="84"/>
      <c r="F426" s="79" t="str">
        <f t="shared" si="2"/>
        <v/>
      </c>
      <c r="G426" s="79" t="str">
        <f t="shared" si="3"/>
        <v/>
      </c>
      <c r="H426" s="67"/>
      <c r="I426" s="67"/>
      <c r="J426" s="67"/>
      <c r="K426" s="89"/>
      <c r="L426" s="90"/>
      <c r="M426" s="90"/>
      <c r="N426" s="89"/>
      <c r="O426" s="73"/>
      <c r="P426" s="68"/>
      <c r="Q426" s="51"/>
      <c r="R426" s="51" t="str">
        <f t="shared" si="4"/>
        <v/>
      </c>
      <c r="S426" s="51" t="str">
        <f t="shared" si="5"/>
        <v/>
      </c>
      <c r="T426" s="51" t="str">
        <f t="shared" si="6"/>
        <v/>
      </c>
      <c r="U426" s="51"/>
      <c r="V426" s="51"/>
      <c r="W426" s="51"/>
      <c r="X426" s="51"/>
      <c r="Y426" s="51"/>
      <c r="Z426" s="51"/>
      <c r="AA426" s="51"/>
      <c r="AB426" s="51"/>
      <c r="AC426" s="51"/>
      <c r="AD426" s="51" t="s">
        <v>2332</v>
      </c>
      <c r="AE426" s="51" t="s">
        <v>2333</v>
      </c>
      <c r="AF426" s="51" t="str">
        <f t="shared" si="9"/>
        <v>A679078</v>
      </c>
      <c r="AG426" s="51" t="str">
        <f>VLOOKUP(AF426,AKT!$C$4:$E$324,3,FALSE)</f>
        <v>0942</v>
      </c>
    </row>
    <row r="427" spans="1:33" ht="15.75" customHeight="1">
      <c r="A427" s="84"/>
      <c r="B427" s="79" t="str">
        <f t="shared" si="0"/>
        <v/>
      </c>
      <c r="C427" s="84"/>
      <c r="D427" s="79" t="str">
        <f t="shared" si="1"/>
        <v/>
      </c>
      <c r="E427" s="84"/>
      <c r="F427" s="79" t="str">
        <f t="shared" si="2"/>
        <v/>
      </c>
      <c r="G427" s="79" t="str">
        <f t="shared" si="3"/>
        <v/>
      </c>
      <c r="H427" s="67"/>
      <c r="I427" s="67"/>
      <c r="J427" s="67"/>
      <c r="K427" s="89"/>
      <c r="L427" s="90"/>
      <c r="M427" s="90"/>
      <c r="N427" s="89"/>
      <c r="O427" s="73"/>
      <c r="P427" s="68"/>
      <c r="Q427" s="51"/>
      <c r="R427" s="51" t="str">
        <f t="shared" si="4"/>
        <v/>
      </c>
      <c r="S427" s="51" t="str">
        <f t="shared" si="5"/>
        <v/>
      </c>
      <c r="T427" s="51" t="str">
        <f t="shared" si="6"/>
        <v/>
      </c>
      <c r="U427" s="51"/>
      <c r="V427" s="51"/>
      <c r="W427" s="51"/>
      <c r="X427" s="51"/>
      <c r="Y427" s="51"/>
      <c r="Z427" s="51"/>
      <c r="AA427" s="51"/>
      <c r="AB427" s="51"/>
      <c r="AC427" s="51"/>
      <c r="AD427" s="51" t="s">
        <v>2334</v>
      </c>
      <c r="AE427" s="51" t="s">
        <v>2335</v>
      </c>
      <c r="AF427" s="51" t="str">
        <f t="shared" si="9"/>
        <v>A679078</v>
      </c>
      <c r="AG427" s="51" t="str">
        <f>VLOOKUP(AF427,AKT!$C$4:$E$324,3,FALSE)</f>
        <v>0942</v>
      </c>
    </row>
    <row r="428" spans="1:33" ht="15.75" customHeight="1">
      <c r="A428" s="84"/>
      <c r="B428" s="79" t="str">
        <f t="shared" si="0"/>
        <v/>
      </c>
      <c r="C428" s="84"/>
      <c r="D428" s="79" t="str">
        <f t="shared" si="1"/>
        <v/>
      </c>
      <c r="E428" s="84"/>
      <c r="F428" s="79" t="str">
        <f t="shared" si="2"/>
        <v/>
      </c>
      <c r="G428" s="79" t="str">
        <f t="shared" si="3"/>
        <v/>
      </c>
      <c r="H428" s="67"/>
      <c r="I428" s="67"/>
      <c r="J428" s="67"/>
      <c r="K428" s="89"/>
      <c r="L428" s="90"/>
      <c r="M428" s="90"/>
      <c r="N428" s="89"/>
      <c r="O428" s="73"/>
      <c r="P428" s="68"/>
      <c r="Q428" s="51"/>
      <c r="R428" s="51" t="str">
        <f t="shared" si="4"/>
        <v/>
      </c>
      <c r="S428" s="51" t="str">
        <f t="shared" si="5"/>
        <v/>
      </c>
      <c r="T428" s="51" t="str">
        <f t="shared" si="6"/>
        <v/>
      </c>
      <c r="U428" s="51"/>
      <c r="V428" s="51"/>
      <c r="W428" s="51"/>
      <c r="X428" s="51"/>
      <c r="Y428" s="51"/>
      <c r="Z428" s="51"/>
      <c r="AA428" s="51"/>
      <c r="AB428" s="51"/>
      <c r="AC428" s="51"/>
      <c r="AD428" s="51" t="s">
        <v>2336</v>
      </c>
      <c r="AE428" s="51" t="s">
        <v>2337</v>
      </c>
      <c r="AF428" s="51" t="str">
        <f t="shared" si="9"/>
        <v>A679078</v>
      </c>
      <c r="AG428" s="51" t="str">
        <f>VLOOKUP(AF428,AKT!$C$4:$E$324,3,FALSE)</f>
        <v>0942</v>
      </c>
    </row>
    <row r="429" spans="1:33" ht="15.75" customHeight="1">
      <c r="A429" s="84"/>
      <c r="B429" s="79" t="str">
        <f t="shared" si="0"/>
        <v/>
      </c>
      <c r="C429" s="84"/>
      <c r="D429" s="79" t="str">
        <f t="shared" si="1"/>
        <v/>
      </c>
      <c r="E429" s="84"/>
      <c r="F429" s="79" t="str">
        <f t="shared" si="2"/>
        <v/>
      </c>
      <c r="G429" s="79" t="str">
        <f t="shared" si="3"/>
        <v/>
      </c>
      <c r="H429" s="67"/>
      <c r="I429" s="67"/>
      <c r="J429" s="67"/>
      <c r="K429" s="89"/>
      <c r="L429" s="90"/>
      <c r="M429" s="90"/>
      <c r="N429" s="89"/>
      <c r="O429" s="73"/>
      <c r="P429" s="68"/>
      <c r="Q429" s="51"/>
      <c r="R429" s="51" t="str">
        <f t="shared" si="4"/>
        <v/>
      </c>
      <c r="S429" s="51" t="str">
        <f t="shared" si="5"/>
        <v/>
      </c>
      <c r="T429" s="51" t="str">
        <f t="shared" si="6"/>
        <v/>
      </c>
      <c r="U429" s="51"/>
      <c r="V429" s="51"/>
      <c r="W429" s="51"/>
      <c r="X429" s="51"/>
      <c r="Y429" s="51"/>
      <c r="Z429" s="51"/>
      <c r="AA429" s="51"/>
      <c r="AB429" s="51"/>
      <c r="AC429" s="51"/>
      <c r="AD429" s="51" t="s">
        <v>2338</v>
      </c>
      <c r="AE429" s="51" t="s">
        <v>2339</v>
      </c>
      <c r="AF429" s="51" t="str">
        <f t="shared" si="9"/>
        <v>A679078</v>
      </c>
      <c r="AG429" s="51" t="str">
        <f>VLOOKUP(AF429,AKT!$C$4:$E$324,3,FALSE)</f>
        <v>0942</v>
      </c>
    </row>
    <row r="430" spans="1:33" ht="15.75" customHeight="1">
      <c r="A430" s="84"/>
      <c r="B430" s="79" t="str">
        <f t="shared" si="0"/>
        <v/>
      </c>
      <c r="C430" s="84"/>
      <c r="D430" s="79" t="str">
        <f t="shared" si="1"/>
        <v/>
      </c>
      <c r="E430" s="84"/>
      <c r="F430" s="79" t="str">
        <f t="shared" si="2"/>
        <v/>
      </c>
      <c r="G430" s="79" t="str">
        <f t="shared" si="3"/>
        <v/>
      </c>
      <c r="H430" s="67"/>
      <c r="I430" s="67"/>
      <c r="J430" s="67"/>
      <c r="K430" s="89"/>
      <c r="L430" s="90"/>
      <c r="M430" s="90"/>
      <c r="N430" s="89"/>
      <c r="O430" s="73"/>
      <c r="P430" s="68"/>
      <c r="Q430" s="51"/>
      <c r="R430" s="51" t="str">
        <f t="shared" si="4"/>
        <v/>
      </c>
      <c r="S430" s="51" t="str">
        <f t="shared" si="5"/>
        <v/>
      </c>
      <c r="T430" s="51" t="str">
        <f t="shared" si="6"/>
        <v/>
      </c>
      <c r="U430" s="51"/>
      <c r="V430" s="51"/>
      <c r="W430" s="51"/>
      <c r="X430" s="51"/>
      <c r="Y430" s="51"/>
      <c r="Z430" s="51"/>
      <c r="AA430" s="51"/>
      <c r="AB430" s="51"/>
      <c r="AC430" s="51"/>
      <c r="AD430" s="51" t="s">
        <v>2340</v>
      </c>
      <c r="AE430" s="51" t="s">
        <v>2341</v>
      </c>
      <c r="AF430" s="51" t="str">
        <f t="shared" si="9"/>
        <v>A679078</v>
      </c>
      <c r="AG430" s="51" t="str">
        <f>VLOOKUP(AF430,AKT!$C$4:$E$324,3,FALSE)</f>
        <v>0942</v>
      </c>
    </row>
    <row r="431" spans="1:33" ht="15.75" customHeight="1">
      <c r="A431" s="84"/>
      <c r="B431" s="79" t="str">
        <f t="shared" si="0"/>
        <v/>
      </c>
      <c r="C431" s="84"/>
      <c r="D431" s="79" t="str">
        <f t="shared" si="1"/>
        <v/>
      </c>
      <c r="E431" s="84"/>
      <c r="F431" s="79" t="str">
        <f t="shared" si="2"/>
        <v/>
      </c>
      <c r="G431" s="79" t="str">
        <f t="shared" si="3"/>
        <v/>
      </c>
      <c r="H431" s="67"/>
      <c r="I431" s="67"/>
      <c r="J431" s="67"/>
      <c r="K431" s="89"/>
      <c r="L431" s="90"/>
      <c r="M431" s="90"/>
      <c r="N431" s="89"/>
      <c r="O431" s="73"/>
      <c r="P431" s="68"/>
      <c r="Q431" s="51"/>
      <c r="R431" s="51" t="str">
        <f t="shared" si="4"/>
        <v/>
      </c>
      <c r="S431" s="51" t="str">
        <f t="shared" si="5"/>
        <v/>
      </c>
      <c r="T431" s="51" t="str">
        <f t="shared" si="6"/>
        <v/>
      </c>
      <c r="U431" s="51"/>
      <c r="V431" s="51"/>
      <c r="W431" s="51"/>
      <c r="X431" s="51"/>
      <c r="Y431" s="51"/>
      <c r="Z431" s="51"/>
      <c r="AA431" s="51"/>
      <c r="AB431" s="51"/>
      <c r="AC431" s="51"/>
      <c r="AD431" s="51" t="s">
        <v>2342</v>
      </c>
      <c r="AE431" s="51" t="s">
        <v>2343</v>
      </c>
      <c r="AF431" s="51" t="str">
        <f t="shared" si="9"/>
        <v>A679078</v>
      </c>
      <c r="AG431" s="51" t="str">
        <f>VLOOKUP(AF431,AKT!$C$4:$E$324,3,FALSE)</f>
        <v>0942</v>
      </c>
    </row>
    <row r="432" spans="1:33" ht="15.75" customHeight="1">
      <c r="A432" s="84"/>
      <c r="B432" s="79" t="str">
        <f t="shared" si="0"/>
        <v/>
      </c>
      <c r="C432" s="84"/>
      <c r="D432" s="79" t="str">
        <f t="shared" si="1"/>
        <v/>
      </c>
      <c r="E432" s="84"/>
      <c r="F432" s="79" t="str">
        <f t="shared" si="2"/>
        <v/>
      </c>
      <c r="G432" s="79" t="str">
        <f t="shared" si="3"/>
        <v/>
      </c>
      <c r="H432" s="67"/>
      <c r="I432" s="67"/>
      <c r="J432" s="67"/>
      <c r="K432" s="89"/>
      <c r="L432" s="90"/>
      <c r="M432" s="90"/>
      <c r="N432" s="89"/>
      <c r="O432" s="73"/>
      <c r="P432" s="68"/>
      <c r="Q432" s="51"/>
      <c r="R432" s="51" t="str">
        <f t="shared" si="4"/>
        <v/>
      </c>
      <c r="S432" s="51" t="str">
        <f t="shared" si="5"/>
        <v/>
      </c>
      <c r="T432" s="51" t="str">
        <f t="shared" si="6"/>
        <v/>
      </c>
      <c r="U432" s="51"/>
      <c r="V432" s="51"/>
      <c r="W432" s="51"/>
      <c r="X432" s="51"/>
      <c r="Y432" s="51"/>
      <c r="Z432" s="51"/>
      <c r="AA432" s="51"/>
      <c r="AB432" s="51"/>
      <c r="AC432" s="51"/>
      <c r="AD432" s="51" t="s">
        <v>2344</v>
      </c>
      <c r="AE432" s="51" t="s">
        <v>2345</v>
      </c>
      <c r="AF432" s="51" t="str">
        <f t="shared" si="9"/>
        <v>A679078</v>
      </c>
      <c r="AG432" s="51" t="str">
        <f>VLOOKUP(AF432,AKT!$C$4:$E$324,3,FALSE)</f>
        <v>0942</v>
      </c>
    </row>
    <row r="433" spans="1:33" ht="15.75" customHeight="1">
      <c r="A433" s="84"/>
      <c r="B433" s="79" t="str">
        <f t="shared" si="0"/>
        <v/>
      </c>
      <c r="C433" s="84"/>
      <c r="D433" s="79" t="str">
        <f t="shared" si="1"/>
        <v/>
      </c>
      <c r="E433" s="84"/>
      <c r="F433" s="79" t="str">
        <f t="shared" si="2"/>
        <v/>
      </c>
      <c r="G433" s="79" t="str">
        <f t="shared" si="3"/>
        <v/>
      </c>
      <c r="H433" s="67"/>
      <c r="I433" s="67"/>
      <c r="J433" s="67"/>
      <c r="K433" s="89"/>
      <c r="L433" s="90"/>
      <c r="M433" s="90"/>
      <c r="N433" s="89"/>
      <c r="O433" s="73"/>
      <c r="P433" s="68"/>
      <c r="Q433" s="51"/>
      <c r="R433" s="51" t="str">
        <f t="shared" si="4"/>
        <v/>
      </c>
      <c r="S433" s="51" t="str">
        <f t="shared" si="5"/>
        <v/>
      </c>
      <c r="T433" s="51" t="str">
        <f t="shared" si="6"/>
        <v/>
      </c>
      <c r="U433" s="51"/>
      <c r="V433" s="51"/>
      <c r="W433" s="51"/>
      <c r="X433" s="51"/>
      <c r="Y433" s="51"/>
      <c r="Z433" s="51"/>
      <c r="AA433" s="51"/>
      <c r="AB433" s="51"/>
      <c r="AC433" s="51"/>
      <c r="AD433" s="51" t="s">
        <v>2346</v>
      </c>
      <c r="AE433" s="51" t="s">
        <v>2347</v>
      </c>
      <c r="AF433" s="51" t="str">
        <f t="shared" si="9"/>
        <v>A679078</v>
      </c>
      <c r="AG433" s="51" t="str">
        <f>VLOOKUP(AF433,AKT!$C$4:$E$324,3,FALSE)</f>
        <v>0942</v>
      </c>
    </row>
    <row r="434" spans="1:33" ht="15.75" customHeight="1">
      <c r="A434" s="84"/>
      <c r="B434" s="79" t="str">
        <f t="shared" si="0"/>
        <v/>
      </c>
      <c r="C434" s="84"/>
      <c r="D434" s="79" t="str">
        <f t="shared" si="1"/>
        <v/>
      </c>
      <c r="E434" s="84"/>
      <c r="F434" s="79" t="str">
        <f t="shared" si="2"/>
        <v/>
      </c>
      <c r="G434" s="79" t="str">
        <f t="shared" si="3"/>
        <v/>
      </c>
      <c r="H434" s="67"/>
      <c r="I434" s="67"/>
      <c r="J434" s="67"/>
      <c r="K434" s="89"/>
      <c r="L434" s="90"/>
      <c r="M434" s="90"/>
      <c r="N434" s="89"/>
      <c r="O434" s="73"/>
      <c r="P434" s="68"/>
      <c r="Q434" s="51"/>
      <c r="R434" s="51" t="str">
        <f t="shared" si="4"/>
        <v/>
      </c>
      <c r="S434" s="51" t="str">
        <f t="shared" si="5"/>
        <v/>
      </c>
      <c r="T434" s="51" t="str">
        <f t="shared" si="6"/>
        <v/>
      </c>
      <c r="U434" s="51"/>
      <c r="V434" s="51"/>
      <c r="W434" s="51"/>
      <c r="X434" s="51"/>
      <c r="Y434" s="51"/>
      <c r="Z434" s="51"/>
      <c r="AA434" s="51"/>
      <c r="AB434" s="51"/>
      <c r="AC434" s="51"/>
      <c r="AD434" s="51" t="s">
        <v>2348</v>
      </c>
      <c r="AE434" s="51" t="s">
        <v>2349</v>
      </c>
      <c r="AF434" s="51" t="str">
        <f t="shared" si="9"/>
        <v>A679078</v>
      </c>
      <c r="AG434" s="51" t="str">
        <f>VLOOKUP(AF434,AKT!$C$4:$E$324,3,FALSE)</f>
        <v>0942</v>
      </c>
    </row>
    <row r="435" spans="1:33" ht="15.75" customHeight="1">
      <c r="A435" s="84"/>
      <c r="B435" s="79" t="str">
        <f t="shared" si="0"/>
        <v/>
      </c>
      <c r="C435" s="84"/>
      <c r="D435" s="79" t="str">
        <f t="shared" si="1"/>
        <v/>
      </c>
      <c r="E435" s="84"/>
      <c r="F435" s="79" t="str">
        <f t="shared" si="2"/>
        <v/>
      </c>
      <c r="G435" s="79" t="str">
        <f t="shared" si="3"/>
        <v/>
      </c>
      <c r="H435" s="67"/>
      <c r="I435" s="67"/>
      <c r="J435" s="67"/>
      <c r="K435" s="89"/>
      <c r="L435" s="90"/>
      <c r="M435" s="90"/>
      <c r="N435" s="89"/>
      <c r="O435" s="73"/>
      <c r="P435" s="68"/>
      <c r="Q435" s="51"/>
      <c r="R435" s="51" t="str">
        <f t="shared" si="4"/>
        <v/>
      </c>
      <c r="S435" s="51" t="str">
        <f t="shared" si="5"/>
        <v/>
      </c>
      <c r="T435" s="51" t="str">
        <f t="shared" si="6"/>
        <v/>
      </c>
      <c r="U435" s="51"/>
      <c r="V435" s="51"/>
      <c r="W435" s="51"/>
      <c r="X435" s="51"/>
      <c r="Y435" s="51"/>
      <c r="Z435" s="51"/>
      <c r="AA435" s="51"/>
      <c r="AB435" s="51"/>
      <c r="AC435" s="51"/>
      <c r="AD435" s="51" t="s">
        <v>2350</v>
      </c>
      <c r="AE435" s="51" t="s">
        <v>2351</v>
      </c>
      <c r="AF435" s="51" t="str">
        <f t="shared" si="9"/>
        <v>A679078</v>
      </c>
      <c r="AG435" s="51" t="str">
        <f>VLOOKUP(AF435,AKT!$C$4:$E$324,3,FALSE)</f>
        <v>0942</v>
      </c>
    </row>
    <row r="436" spans="1:33" ht="15.75" customHeight="1">
      <c r="A436" s="84"/>
      <c r="B436" s="79" t="str">
        <f t="shared" si="0"/>
        <v/>
      </c>
      <c r="C436" s="84"/>
      <c r="D436" s="79" t="str">
        <f t="shared" si="1"/>
        <v/>
      </c>
      <c r="E436" s="84"/>
      <c r="F436" s="79" t="str">
        <f t="shared" si="2"/>
        <v/>
      </c>
      <c r="G436" s="79" t="str">
        <f t="shared" si="3"/>
        <v/>
      </c>
      <c r="H436" s="67"/>
      <c r="I436" s="67"/>
      <c r="J436" s="67"/>
      <c r="K436" s="89"/>
      <c r="L436" s="90"/>
      <c r="M436" s="90"/>
      <c r="N436" s="89"/>
      <c r="O436" s="73"/>
      <c r="P436" s="68"/>
      <c r="Q436" s="51"/>
      <c r="R436" s="51" t="str">
        <f t="shared" si="4"/>
        <v/>
      </c>
      <c r="S436" s="51" t="str">
        <f t="shared" si="5"/>
        <v/>
      </c>
      <c r="T436" s="51" t="str">
        <f t="shared" si="6"/>
        <v/>
      </c>
      <c r="U436" s="51"/>
      <c r="V436" s="51"/>
      <c r="W436" s="51"/>
      <c r="X436" s="51"/>
      <c r="Y436" s="51"/>
      <c r="Z436" s="51"/>
      <c r="AA436" s="51"/>
      <c r="AB436" s="51"/>
      <c r="AC436" s="51"/>
      <c r="AD436" s="51" t="s">
        <v>2352</v>
      </c>
      <c r="AE436" s="51" t="s">
        <v>2353</v>
      </c>
      <c r="AF436" s="51" t="str">
        <f t="shared" si="9"/>
        <v>A679078</v>
      </c>
      <c r="AG436" s="51" t="str">
        <f>VLOOKUP(AF436,AKT!$C$4:$E$324,3,FALSE)</f>
        <v>0942</v>
      </c>
    </row>
    <row r="437" spans="1:33" ht="15.75" customHeight="1">
      <c r="A437" s="84"/>
      <c r="B437" s="79" t="str">
        <f t="shared" si="0"/>
        <v/>
      </c>
      <c r="C437" s="84"/>
      <c r="D437" s="79" t="str">
        <f t="shared" si="1"/>
        <v/>
      </c>
      <c r="E437" s="84"/>
      <c r="F437" s="79" t="str">
        <f t="shared" si="2"/>
        <v/>
      </c>
      <c r="G437" s="79" t="str">
        <f t="shared" si="3"/>
        <v/>
      </c>
      <c r="H437" s="67"/>
      <c r="I437" s="67"/>
      <c r="J437" s="67"/>
      <c r="K437" s="89"/>
      <c r="L437" s="90"/>
      <c r="M437" s="90"/>
      <c r="N437" s="89"/>
      <c r="O437" s="73"/>
      <c r="P437" s="68"/>
      <c r="Q437" s="51"/>
      <c r="R437" s="51" t="str">
        <f t="shared" si="4"/>
        <v/>
      </c>
      <c r="S437" s="51" t="str">
        <f t="shared" si="5"/>
        <v/>
      </c>
      <c r="T437" s="51" t="str">
        <f t="shared" si="6"/>
        <v/>
      </c>
      <c r="U437" s="51"/>
      <c r="V437" s="51"/>
      <c r="W437" s="51"/>
      <c r="X437" s="51"/>
      <c r="Y437" s="51"/>
      <c r="Z437" s="51"/>
      <c r="AA437" s="51"/>
      <c r="AB437" s="51"/>
      <c r="AC437" s="51"/>
      <c r="AD437" s="51" t="s">
        <v>2354</v>
      </c>
      <c r="AE437" s="51" t="s">
        <v>2355</v>
      </c>
      <c r="AF437" s="51" t="str">
        <f t="shared" si="9"/>
        <v>A679078</v>
      </c>
      <c r="AG437" s="51" t="str">
        <f>VLOOKUP(AF437,AKT!$C$4:$E$324,3,FALSE)</f>
        <v>0942</v>
      </c>
    </row>
    <row r="438" spans="1:33" ht="15.75" customHeight="1">
      <c r="A438" s="84"/>
      <c r="B438" s="79" t="str">
        <f t="shared" si="0"/>
        <v/>
      </c>
      <c r="C438" s="84"/>
      <c r="D438" s="79" t="str">
        <f t="shared" si="1"/>
        <v/>
      </c>
      <c r="E438" s="84"/>
      <c r="F438" s="79" t="str">
        <f t="shared" si="2"/>
        <v/>
      </c>
      <c r="G438" s="79" t="str">
        <f t="shared" si="3"/>
        <v/>
      </c>
      <c r="H438" s="67"/>
      <c r="I438" s="67"/>
      <c r="J438" s="67"/>
      <c r="K438" s="89"/>
      <c r="L438" s="90"/>
      <c r="M438" s="90"/>
      <c r="N438" s="89"/>
      <c r="O438" s="73"/>
      <c r="P438" s="68"/>
      <c r="Q438" s="51"/>
      <c r="R438" s="51" t="str">
        <f t="shared" si="4"/>
        <v/>
      </c>
      <c r="S438" s="51" t="str">
        <f t="shared" si="5"/>
        <v/>
      </c>
      <c r="T438" s="51" t="str">
        <f t="shared" si="6"/>
        <v/>
      </c>
      <c r="U438" s="51"/>
      <c r="V438" s="51"/>
      <c r="W438" s="51"/>
      <c r="X438" s="51"/>
      <c r="Y438" s="51"/>
      <c r="Z438" s="51"/>
      <c r="AA438" s="51"/>
      <c r="AB438" s="51"/>
      <c r="AC438" s="51"/>
      <c r="AD438" s="51" t="s">
        <v>2356</v>
      </c>
      <c r="AE438" s="51" t="s">
        <v>2357</v>
      </c>
      <c r="AF438" s="51" t="str">
        <f t="shared" si="9"/>
        <v>A679078</v>
      </c>
      <c r="AG438" s="51" t="str">
        <f>VLOOKUP(AF438,AKT!$C$4:$E$324,3,FALSE)</f>
        <v>0942</v>
      </c>
    </row>
    <row r="439" spans="1:33" ht="15.75" customHeight="1">
      <c r="A439" s="84"/>
      <c r="B439" s="79" t="str">
        <f t="shared" si="0"/>
        <v/>
      </c>
      <c r="C439" s="84"/>
      <c r="D439" s="79" t="str">
        <f t="shared" si="1"/>
        <v/>
      </c>
      <c r="E439" s="84"/>
      <c r="F439" s="79" t="str">
        <f t="shared" si="2"/>
        <v/>
      </c>
      <c r="G439" s="79" t="str">
        <f t="shared" si="3"/>
        <v/>
      </c>
      <c r="H439" s="67"/>
      <c r="I439" s="67"/>
      <c r="J439" s="67"/>
      <c r="K439" s="89"/>
      <c r="L439" s="90"/>
      <c r="M439" s="90"/>
      <c r="N439" s="89"/>
      <c r="O439" s="73"/>
      <c r="P439" s="68"/>
      <c r="Q439" s="51"/>
      <c r="R439" s="51" t="str">
        <f t="shared" si="4"/>
        <v/>
      </c>
      <c r="S439" s="51" t="str">
        <f t="shared" si="5"/>
        <v/>
      </c>
      <c r="T439" s="51" t="str">
        <f t="shared" si="6"/>
        <v/>
      </c>
      <c r="U439" s="51"/>
      <c r="V439" s="51"/>
      <c r="W439" s="51"/>
      <c r="X439" s="51"/>
      <c r="Y439" s="51"/>
      <c r="Z439" s="51"/>
      <c r="AA439" s="51"/>
      <c r="AB439" s="51"/>
      <c r="AC439" s="51"/>
      <c r="AD439" s="51" t="s">
        <v>2358</v>
      </c>
      <c r="AE439" s="51" t="s">
        <v>2359</v>
      </c>
      <c r="AF439" s="51" t="str">
        <f t="shared" si="9"/>
        <v>A679078</v>
      </c>
      <c r="AG439" s="51" t="str">
        <f>VLOOKUP(AF439,AKT!$C$4:$E$324,3,FALSE)</f>
        <v>0942</v>
      </c>
    </row>
    <row r="440" spans="1:33" ht="15.75" customHeight="1">
      <c r="A440" s="84"/>
      <c r="B440" s="79" t="str">
        <f t="shared" si="0"/>
        <v/>
      </c>
      <c r="C440" s="84"/>
      <c r="D440" s="79" t="str">
        <f t="shared" si="1"/>
        <v/>
      </c>
      <c r="E440" s="84"/>
      <c r="F440" s="79" t="str">
        <f t="shared" si="2"/>
        <v/>
      </c>
      <c r="G440" s="79" t="str">
        <f t="shared" si="3"/>
        <v/>
      </c>
      <c r="H440" s="67"/>
      <c r="I440" s="67"/>
      <c r="J440" s="67"/>
      <c r="K440" s="89"/>
      <c r="L440" s="90"/>
      <c r="M440" s="90"/>
      <c r="N440" s="89"/>
      <c r="O440" s="73"/>
      <c r="P440" s="68"/>
      <c r="Q440" s="51"/>
      <c r="R440" s="51" t="str">
        <f t="shared" si="4"/>
        <v/>
      </c>
      <c r="S440" s="51" t="str">
        <f t="shared" si="5"/>
        <v/>
      </c>
      <c r="T440" s="51" t="str">
        <f t="shared" si="6"/>
        <v/>
      </c>
      <c r="U440" s="51"/>
      <c r="V440" s="51"/>
      <c r="W440" s="51"/>
      <c r="X440" s="51"/>
      <c r="Y440" s="51"/>
      <c r="Z440" s="51"/>
      <c r="AA440" s="51"/>
      <c r="AB440" s="51"/>
      <c r="AC440" s="51"/>
      <c r="AD440" s="51" t="s">
        <v>2360</v>
      </c>
      <c r="AE440" s="51" t="s">
        <v>2361</v>
      </c>
      <c r="AF440" s="51" t="str">
        <f t="shared" si="9"/>
        <v>A679078</v>
      </c>
      <c r="AG440" s="51" t="str">
        <f>VLOOKUP(AF440,AKT!$C$4:$E$324,3,FALSE)</f>
        <v>0942</v>
      </c>
    </row>
    <row r="441" spans="1:33" ht="15.75" customHeight="1">
      <c r="A441" s="84"/>
      <c r="B441" s="79" t="str">
        <f t="shared" si="0"/>
        <v/>
      </c>
      <c r="C441" s="84"/>
      <c r="D441" s="79" t="str">
        <f t="shared" si="1"/>
        <v/>
      </c>
      <c r="E441" s="84"/>
      <c r="F441" s="79" t="str">
        <f t="shared" si="2"/>
        <v/>
      </c>
      <c r="G441" s="79" t="str">
        <f t="shared" si="3"/>
        <v/>
      </c>
      <c r="H441" s="67"/>
      <c r="I441" s="67"/>
      <c r="J441" s="67"/>
      <c r="K441" s="89"/>
      <c r="L441" s="90"/>
      <c r="M441" s="90"/>
      <c r="N441" s="89"/>
      <c r="O441" s="73"/>
      <c r="P441" s="68"/>
      <c r="Q441" s="51"/>
      <c r="R441" s="51" t="str">
        <f t="shared" si="4"/>
        <v/>
      </c>
      <c r="S441" s="51" t="str">
        <f t="shared" si="5"/>
        <v/>
      </c>
      <c r="T441" s="51" t="str">
        <f t="shared" si="6"/>
        <v/>
      </c>
      <c r="U441" s="51"/>
      <c r="V441" s="51"/>
      <c r="W441" s="51"/>
      <c r="X441" s="51"/>
      <c r="Y441" s="51"/>
      <c r="Z441" s="51"/>
      <c r="AA441" s="51"/>
      <c r="AB441" s="51"/>
      <c r="AC441" s="51"/>
      <c r="AD441" s="51" t="s">
        <v>2362</v>
      </c>
      <c r="AE441" s="51" t="s">
        <v>2363</v>
      </c>
      <c r="AF441" s="51" t="str">
        <f t="shared" si="9"/>
        <v>A679078</v>
      </c>
      <c r="AG441" s="51" t="str">
        <f>VLOOKUP(AF441,AKT!$C$4:$E$324,3,FALSE)</f>
        <v>0942</v>
      </c>
    </row>
    <row r="442" spans="1:33" ht="15.75" customHeight="1">
      <c r="A442" s="84"/>
      <c r="B442" s="79" t="str">
        <f t="shared" si="0"/>
        <v/>
      </c>
      <c r="C442" s="84"/>
      <c r="D442" s="79" t="str">
        <f t="shared" si="1"/>
        <v/>
      </c>
      <c r="E442" s="84"/>
      <c r="F442" s="79" t="str">
        <f t="shared" si="2"/>
        <v/>
      </c>
      <c r="G442" s="79" t="str">
        <f t="shared" si="3"/>
        <v/>
      </c>
      <c r="H442" s="67"/>
      <c r="I442" s="67"/>
      <c r="J442" s="67"/>
      <c r="K442" s="89"/>
      <c r="L442" s="90"/>
      <c r="M442" s="90"/>
      <c r="N442" s="89"/>
      <c r="O442" s="73"/>
      <c r="P442" s="68"/>
      <c r="Q442" s="51"/>
      <c r="R442" s="51" t="str">
        <f t="shared" si="4"/>
        <v/>
      </c>
      <c r="S442" s="51" t="str">
        <f t="shared" si="5"/>
        <v/>
      </c>
      <c r="T442" s="51" t="str">
        <f t="shared" si="6"/>
        <v/>
      </c>
      <c r="U442" s="51"/>
      <c r="V442" s="51"/>
      <c r="W442" s="51"/>
      <c r="X442" s="51"/>
      <c r="Y442" s="51"/>
      <c r="Z442" s="51"/>
      <c r="AA442" s="51"/>
      <c r="AB442" s="51"/>
      <c r="AC442" s="51"/>
      <c r="AD442" s="51" t="s">
        <v>2364</v>
      </c>
      <c r="AE442" s="51" t="s">
        <v>2365</v>
      </c>
      <c r="AF442" s="51" t="str">
        <f t="shared" si="9"/>
        <v>A679078</v>
      </c>
      <c r="AG442" s="51" t="str">
        <f>VLOOKUP(AF442,AKT!$C$4:$E$324,3,FALSE)</f>
        <v>0942</v>
      </c>
    </row>
    <row r="443" spans="1:33" ht="15.75" customHeight="1">
      <c r="A443" s="84"/>
      <c r="B443" s="79" t="str">
        <f t="shared" si="0"/>
        <v/>
      </c>
      <c r="C443" s="84"/>
      <c r="D443" s="79" t="str">
        <f t="shared" si="1"/>
        <v/>
      </c>
      <c r="E443" s="84"/>
      <c r="F443" s="79" t="str">
        <f t="shared" si="2"/>
        <v/>
      </c>
      <c r="G443" s="79" t="str">
        <f t="shared" si="3"/>
        <v/>
      </c>
      <c r="H443" s="67"/>
      <c r="I443" s="67"/>
      <c r="J443" s="67"/>
      <c r="K443" s="89"/>
      <c r="L443" s="90"/>
      <c r="M443" s="90"/>
      <c r="N443" s="89"/>
      <c r="O443" s="73"/>
      <c r="P443" s="68"/>
      <c r="Q443" s="51"/>
      <c r="R443" s="51" t="str">
        <f t="shared" si="4"/>
        <v/>
      </c>
      <c r="S443" s="51" t="str">
        <f t="shared" si="5"/>
        <v/>
      </c>
      <c r="T443" s="51" t="str">
        <f t="shared" si="6"/>
        <v/>
      </c>
      <c r="U443" s="51"/>
      <c r="V443" s="51"/>
      <c r="W443" s="51"/>
      <c r="X443" s="51"/>
      <c r="Y443" s="51"/>
      <c r="Z443" s="51"/>
      <c r="AA443" s="51"/>
      <c r="AB443" s="51"/>
      <c r="AC443" s="51"/>
      <c r="AD443" s="51" t="s">
        <v>2366</v>
      </c>
      <c r="AE443" s="51" t="s">
        <v>2367</v>
      </c>
      <c r="AF443" s="51" t="str">
        <f t="shared" si="9"/>
        <v>A679078</v>
      </c>
      <c r="AG443" s="51" t="str">
        <f>VLOOKUP(AF443,AKT!$C$4:$E$324,3,FALSE)</f>
        <v>0942</v>
      </c>
    </row>
    <row r="444" spans="1:33" ht="15.75" customHeight="1">
      <c r="A444" s="84"/>
      <c r="B444" s="79" t="str">
        <f t="shared" si="0"/>
        <v/>
      </c>
      <c r="C444" s="84"/>
      <c r="D444" s="79" t="str">
        <f t="shared" si="1"/>
        <v/>
      </c>
      <c r="E444" s="84"/>
      <c r="F444" s="79" t="str">
        <f t="shared" si="2"/>
        <v/>
      </c>
      <c r="G444" s="79" t="str">
        <f t="shared" si="3"/>
        <v/>
      </c>
      <c r="H444" s="67"/>
      <c r="I444" s="67"/>
      <c r="J444" s="67"/>
      <c r="K444" s="89"/>
      <c r="L444" s="90"/>
      <c r="M444" s="90"/>
      <c r="N444" s="89"/>
      <c r="O444" s="73"/>
      <c r="P444" s="68"/>
      <c r="Q444" s="51"/>
      <c r="R444" s="51" t="str">
        <f t="shared" si="4"/>
        <v/>
      </c>
      <c r="S444" s="51" t="str">
        <f t="shared" si="5"/>
        <v/>
      </c>
      <c r="T444" s="51" t="str">
        <f t="shared" si="6"/>
        <v/>
      </c>
      <c r="U444" s="51"/>
      <c r="V444" s="51"/>
      <c r="W444" s="51"/>
      <c r="X444" s="51"/>
      <c r="Y444" s="51"/>
      <c r="Z444" s="51"/>
      <c r="AA444" s="51"/>
      <c r="AB444" s="51"/>
      <c r="AC444" s="51"/>
      <c r="AD444" s="51" t="s">
        <v>2368</v>
      </c>
      <c r="AE444" s="51" t="s">
        <v>2369</v>
      </c>
      <c r="AF444" s="51" t="str">
        <f t="shared" si="9"/>
        <v>A679078</v>
      </c>
      <c r="AG444" s="51" t="str">
        <f>VLOOKUP(AF444,AKT!$C$4:$E$324,3,FALSE)</f>
        <v>0942</v>
      </c>
    </row>
    <row r="445" spans="1:33" ht="15.75" customHeight="1">
      <c r="A445" s="84"/>
      <c r="B445" s="79" t="str">
        <f t="shared" si="0"/>
        <v/>
      </c>
      <c r="C445" s="84"/>
      <c r="D445" s="79" t="str">
        <f t="shared" si="1"/>
        <v/>
      </c>
      <c r="E445" s="84"/>
      <c r="F445" s="79" t="str">
        <f t="shared" si="2"/>
        <v/>
      </c>
      <c r="G445" s="79" t="str">
        <f t="shared" si="3"/>
        <v/>
      </c>
      <c r="H445" s="67"/>
      <c r="I445" s="67"/>
      <c r="J445" s="67"/>
      <c r="K445" s="89"/>
      <c r="L445" s="90"/>
      <c r="M445" s="90"/>
      <c r="N445" s="89"/>
      <c r="O445" s="73"/>
      <c r="P445" s="68"/>
      <c r="Q445" s="51"/>
      <c r="R445" s="51" t="str">
        <f t="shared" si="4"/>
        <v/>
      </c>
      <c r="S445" s="51" t="str">
        <f t="shared" si="5"/>
        <v/>
      </c>
      <c r="T445" s="51" t="str">
        <f t="shared" si="6"/>
        <v/>
      </c>
      <c r="U445" s="51"/>
      <c r="V445" s="51"/>
      <c r="W445" s="51"/>
      <c r="X445" s="51"/>
      <c r="Y445" s="51"/>
      <c r="Z445" s="51"/>
      <c r="AA445" s="51"/>
      <c r="AB445" s="51"/>
      <c r="AC445" s="51"/>
      <c r="AD445" s="51" t="s">
        <v>2370</v>
      </c>
      <c r="AE445" s="51" t="s">
        <v>2371</v>
      </c>
      <c r="AF445" s="51" t="str">
        <f t="shared" si="9"/>
        <v>A679078</v>
      </c>
      <c r="AG445" s="51" t="str">
        <f>VLOOKUP(AF445,AKT!$C$4:$E$324,3,FALSE)</f>
        <v>0942</v>
      </c>
    </row>
    <row r="446" spans="1:33" ht="15.75" customHeight="1">
      <c r="A446" s="84"/>
      <c r="B446" s="79" t="str">
        <f t="shared" si="0"/>
        <v/>
      </c>
      <c r="C446" s="84"/>
      <c r="D446" s="79" t="str">
        <f t="shared" si="1"/>
        <v/>
      </c>
      <c r="E446" s="84"/>
      <c r="F446" s="79" t="str">
        <f t="shared" si="2"/>
        <v/>
      </c>
      <c r="G446" s="79" t="str">
        <f t="shared" si="3"/>
        <v/>
      </c>
      <c r="H446" s="67"/>
      <c r="I446" s="67"/>
      <c r="J446" s="67"/>
      <c r="K446" s="89"/>
      <c r="L446" s="90"/>
      <c r="M446" s="90"/>
      <c r="N446" s="89"/>
      <c r="O446" s="73"/>
      <c r="P446" s="68"/>
      <c r="Q446" s="51"/>
      <c r="R446" s="51" t="str">
        <f t="shared" si="4"/>
        <v/>
      </c>
      <c r="S446" s="51" t="str">
        <f t="shared" si="5"/>
        <v/>
      </c>
      <c r="T446" s="51" t="str">
        <f t="shared" si="6"/>
        <v/>
      </c>
      <c r="U446" s="51"/>
      <c r="V446" s="51"/>
      <c r="W446" s="51"/>
      <c r="X446" s="51"/>
      <c r="Y446" s="51"/>
      <c r="Z446" s="51"/>
      <c r="AA446" s="51"/>
      <c r="AB446" s="51"/>
      <c r="AC446" s="51"/>
      <c r="AD446" s="51" t="s">
        <v>2372</v>
      </c>
      <c r="AE446" s="51" t="s">
        <v>2373</v>
      </c>
      <c r="AF446" s="51" t="str">
        <f t="shared" si="9"/>
        <v>A679078</v>
      </c>
      <c r="AG446" s="51" t="str">
        <f>VLOOKUP(AF446,AKT!$C$4:$E$324,3,FALSE)</f>
        <v>0942</v>
      </c>
    </row>
    <row r="447" spans="1:33" ht="15.75" customHeight="1">
      <c r="A447" s="84"/>
      <c r="B447" s="79" t="str">
        <f t="shared" si="0"/>
        <v/>
      </c>
      <c r="C447" s="84"/>
      <c r="D447" s="79" t="str">
        <f t="shared" si="1"/>
        <v/>
      </c>
      <c r="E447" s="84"/>
      <c r="F447" s="79" t="str">
        <f t="shared" si="2"/>
        <v/>
      </c>
      <c r="G447" s="79" t="str">
        <f t="shared" si="3"/>
        <v/>
      </c>
      <c r="H447" s="67"/>
      <c r="I447" s="67"/>
      <c r="J447" s="67"/>
      <c r="K447" s="89"/>
      <c r="L447" s="90"/>
      <c r="M447" s="90"/>
      <c r="N447" s="89"/>
      <c r="O447" s="73"/>
      <c r="P447" s="68"/>
      <c r="Q447" s="51"/>
      <c r="R447" s="51" t="str">
        <f t="shared" si="4"/>
        <v/>
      </c>
      <c r="S447" s="51" t="str">
        <f t="shared" si="5"/>
        <v/>
      </c>
      <c r="T447" s="51" t="str">
        <f t="shared" si="6"/>
        <v/>
      </c>
      <c r="U447" s="51"/>
      <c r="V447" s="51"/>
      <c r="W447" s="51"/>
      <c r="X447" s="51"/>
      <c r="Y447" s="51"/>
      <c r="Z447" s="51"/>
      <c r="AA447" s="51"/>
      <c r="AB447" s="51"/>
      <c r="AC447" s="51"/>
      <c r="AD447" s="51" t="s">
        <v>2374</v>
      </c>
      <c r="AE447" s="51" t="s">
        <v>2375</v>
      </c>
      <c r="AF447" s="51" t="str">
        <f t="shared" si="9"/>
        <v>A679078</v>
      </c>
      <c r="AG447" s="51" t="str">
        <f>VLOOKUP(AF447,AKT!$C$4:$E$324,3,FALSE)</f>
        <v>0942</v>
      </c>
    </row>
    <row r="448" spans="1:33" ht="15.75" customHeight="1">
      <c r="A448" s="84"/>
      <c r="B448" s="79" t="str">
        <f t="shared" si="0"/>
        <v/>
      </c>
      <c r="C448" s="84"/>
      <c r="D448" s="79" t="str">
        <f t="shared" si="1"/>
        <v/>
      </c>
      <c r="E448" s="84"/>
      <c r="F448" s="79" t="str">
        <f t="shared" si="2"/>
        <v/>
      </c>
      <c r="G448" s="79" t="str">
        <f t="shared" si="3"/>
        <v/>
      </c>
      <c r="H448" s="67"/>
      <c r="I448" s="67"/>
      <c r="J448" s="67"/>
      <c r="K448" s="89"/>
      <c r="L448" s="90"/>
      <c r="M448" s="90"/>
      <c r="N448" s="89"/>
      <c r="O448" s="73"/>
      <c r="P448" s="68"/>
      <c r="Q448" s="51"/>
      <c r="R448" s="51" t="str">
        <f t="shared" si="4"/>
        <v/>
      </c>
      <c r="S448" s="51" t="str">
        <f t="shared" si="5"/>
        <v/>
      </c>
      <c r="T448" s="51" t="str">
        <f t="shared" si="6"/>
        <v/>
      </c>
      <c r="U448" s="51"/>
      <c r="V448" s="51"/>
      <c r="W448" s="51"/>
      <c r="X448" s="51"/>
      <c r="Y448" s="51"/>
      <c r="Z448" s="51"/>
      <c r="AA448" s="51"/>
      <c r="AB448" s="51"/>
      <c r="AC448" s="51"/>
      <c r="AD448" s="51" t="s">
        <v>2376</v>
      </c>
      <c r="AE448" s="51" t="s">
        <v>2377</v>
      </c>
      <c r="AF448" s="51" t="str">
        <f t="shared" si="9"/>
        <v>A679078</v>
      </c>
      <c r="AG448" s="51" t="str">
        <f>VLOOKUP(AF448,AKT!$C$4:$E$324,3,FALSE)</f>
        <v>0942</v>
      </c>
    </row>
    <row r="449" spans="1:33" ht="15.75" customHeight="1">
      <c r="A449" s="84"/>
      <c r="B449" s="79" t="str">
        <f t="shared" si="0"/>
        <v/>
      </c>
      <c r="C449" s="84"/>
      <c r="D449" s="79" t="str">
        <f t="shared" si="1"/>
        <v/>
      </c>
      <c r="E449" s="84"/>
      <c r="F449" s="79" t="str">
        <f t="shared" si="2"/>
        <v/>
      </c>
      <c r="G449" s="79" t="str">
        <f t="shared" si="3"/>
        <v/>
      </c>
      <c r="H449" s="67"/>
      <c r="I449" s="67"/>
      <c r="J449" s="67"/>
      <c r="K449" s="89"/>
      <c r="L449" s="90"/>
      <c r="M449" s="90"/>
      <c r="N449" s="89"/>
      <c r="O449" s="73"/>
      <c r="P449" s="68"/>
      <c r="Q449" s="51"/>
      <c r="R449" s="51" t="str">
        <f t="shared" si="4"/>
        <v/>
      </c>
      <c r="S449" s="51" t="str">
        <f t="shared" si="5"/>
        <v/>
      </c>
      <c r="T449" s="51" t="str">
        <f t="shared" si="6"/>
        <v/>
      </c>
      <c r="U449" s="51"/>
      <c r="V449" s="51"/>
      <c r="W449" s="51"/>
      <c r="X449" s="51"/>
      <c r="Y449" s="51"/>
      <c r="Z449" s="51"/>
      <c r="AA449" s="51"/>
      <c r="AB449" s="51"/>
      <c r="AC449" s="51"/>
      <c r="AD449" s="51" t="s">
        <v>2378</v>
      </c>
      <c r="AE449" s="51" t="s">
        <v>2379</v>
      </c>
      <c r="AF449" s="51" t="str">
        <f t="shared" si="9"/>
        <v>A679078</v>
      </c>
      <c r="AG449" s="51" t="str">
        <f>VLOOKUP(AF449,AKT!$C$4:$E$324,3,FALSE)</f>
        <v>0942</v>
      </c>
    </row>
    <row r="450" spans="1:33" ht="15.75" customHeight="1">
      <c r="A450" s="84"/>
      <c r="B450" s="79" t="str">
        <f t="shared" si="0"/>
        <v/>
      </c>
      <c r="C450" s="84"/>
      <c r="D450" s="79" t="str">
        <f t="shared" si="1"/>
        <v/>
      </c>
      <c r="E450" s="84"/>
      <c r="F450" s="79" t="str">
        <f t="shared" si="2"/>
        <v/>
      </c>
      <c r="G450" s="79" t="str">
        <f t="shared" si="3"/>
        <v/>
      </c>
      <c r="H450" s="67"/>
      <c r="I450" s="67"/>
      <c r="J450" s="67"/>
      <c r="K450" s="89"/>
      <c r="L450" s="90"/>
      <c r="M450" s="90"/>
      <c r="N450" s="89"/>
      <c r="O450" s="73"/>
      <c r="P450" s="68"/>
      <c r="Q450" s="51"/>
      <c r="R450" s="51" t="str">
        <f t="shared" si="4"/>
        <v/>
      </c>
      <c r="S450" s="51" t="str">
        <f t="shared" si="5"/>
        <v/>
      </c>
      <c r="T450" s="51" t="str">
        <f t="shared" si="6"/>
        <v/>
      </c>
      <c r="U450" s="51"/>
      <c r="V450" s="51"/>
      <c r="W450" s="51"/>
      <c r="X450" s="51"/>
      <c r="Y450" s="51"/>
      <c r="Z450" s="51"/>
      <c r="AA450" s="51"/>
      <c r="AB450" s="51"/>
      <c r="AC450" s="51"/>
      <c r="AD450" s="51" t="s">
        <v>2380</v>
      </c>
      <c r="AE450" s="51" t="s">
        <v>2381</v>
      </c>
      <c r="AF450" s="51" t="str">
        <f t="shared" si="9"/>
        <v>A679078</v>
      </c>
      <c r="AG450" s="51" t="str">
        <f>VLOOKUP(AF450,AKT!$C$4:$E$324,3,FALSE)</f>
        <v>0942</v>
      </c>
    </row>
    <row r="451" spans="1:33" ht="15.75" customHeight="1">
      <c r="A451" s="84"/>
      <c r="B451" s="79" t="str">
        <f t="shared" si="0"/>
        <v/>
      </c>
      <c r="C451" s="84"/>
      <c r="D451" s="79" t="str">
        <f t="shared" si="1"/>
        <v/>
      </c>
      <c r="E451" s="84"/>
      <c r="F451" s="79" t="str">
        <f t="shared" si="2"/>
        <v/>
      </c>
      <c r="G451" s="79" t="str">
        <f t="shared" si="3"/>
        <v/>
      </c>
      <c r="H451" s="67"/>
      <c r="I451" s="67"/>
      <c r="J451" s="67"/>
      <c r="K451" s="89"/>
      <c r="L451" s="90"/>
      <c r="M451" s="90"/>
      <c r="N451" s="89"/>
      <c r="O451" s="73"/>
      <c r="P451" s="68"/>
      <c r="Q451" s="51"/>
      <c r="R451" s="51" t="str">
        <f t="shared" si="4"/>
        <v/>
      </c>
      <c r="S451" s="51" t="str">
        <f t="shared" si="5"/>
        <v/>
      </c>
      <c r="T451" s="51" t="str">
        <f t="shared" si="6"/>
        <v/>
      </c>
      <c r="U451" s="51"/>
      <c r="V451" s="51"/>
      <c r="W451" s="51"/>
      <c r="X451" s="51"/>
      <c r="Y451" s="51"/>
      <c r="Z451" s="51"/>
      <c r="AA451" s="51"/>
      <c r="AB451" s="51"/>
      <c r="AC451" s="51"/>
      <c r="AD451" s="51" t="s">
        <v>2382</v>
      </c>
      <c r="AE451" s="51" t="s">
        <v>2383</v>
      </c>
      <c r="AF451" s="51" t="str">
        <f t="shared" si="9"/>
        <v>A679078</v>
      </c>
      <c r="AG451" s="51" t="str">
        <f>VLOOKUP(AF451,AKT!$C$4:$E$324,3,FALSE)</f>
        <v>0942</v>
      </c>
    </row>
    <row r="452" spans="1:33" ht="15.75" customHeight="1">
      <c r="A452" s="84"/>
      <c r="B452" s="79" t="str">
        <f t="shared" si="0"/>
        <v/>
      </c>
      <c r="C452" s="84"/>
      <c r="D452" s="79" t="str">
        <f t="shared" si="1"/>
        <v/>
      </c>
      <c r="E452" s="84"/>
      <c r="F452" s="79" t="str">
        <f t="shared" si="2"/>
        <v/>
      </c>
      <c r="G452" s="79" t="str">
        <f t="shared" si="3"/>
        <v/>
      </c>
      <c r="H452" s="67"/>
      <c r="I452" s="67"/>
      <c r="J452" s="67"/>
      <c r="K452" s="89"/>
      <c r="L452" s="90"/>
      <c r="M452" s="90"/>
      <c r="N452" s="89"/>
      <c r="O452" s="73"/>
      <c r="P452" s="68"/>
      <c r="Q452" s="51"/>
      <c r="R452" s="51" t="str">
        <f t="shared" si="4"/>
        <v/>
      </c>
      <c r="S452" s="51" t="str">
        <f t="shared" si="5"/>
        <v/>
      </c>
      <c r="T452" s="51" t="str">
        <f t="shared" si="6"/>
        <v/>
      </c>
      <c r="U452" s="51"/>
      <c r="V452" s="51"/>
      <c r="W452" s="51"/>
      <c r="X452" s="51"/>
      <c r="Y452" s="51"/>
      <c r="Z452" s="51"/>
      <c r="AA452" s="51"/>
      <c r="AB452" s="51"/>
      <c r="AC452" s="51"/>
      <c r="AD452" s="51" t="s">
        <v>2384</v>
      </c>
      <c r="AE452" s="51" t="s">
        <v>2385</v>
      </c>
      <c r="AF452" s="51" t="str">
        <f t="shared" si="9"/>
        <v>A679078</v>
      </c>
      <c r="AG452" s="51" t="str">
        <f>VLOOKUP(AF452,AKT!$C$4:$E$324,3,FALSE)</f>
        <v>0942</v>
      </c>
    </row>
    <row r="453" spans="1:33" ht="15.75" customHeight="1">
      <c r="A453" s="84"/>
      <c r="B453" s="79" t="str">
        <f t="shared" si="0"/>
        <v/>
      </c>
      <c r="C453" s="84"/>
      <c r="D453" s="79" t="str">
        <f t="shared" si="1"/>
        <v/>
      </c>
      <c r="E453" s="84"/>
      <c r="F453" s="79" t="str">
        <f t="shared" si="2"/>
        <v/>
      </c>
      <c r="G453" s="79" t="str">
        <f t="shared" si="3"/>
        <v/>
      </c>
      <c r="H453" s="67"/>
      <c r="I453" s="67"/>
      <c r="J453" s="67"/>
      <c r="K453" s="89"/>
      <c r="L453" s="90"/>
      <c r="M453" s="90"/>
      <c r="N453" s="89"/>
      <c r="O453" s="73"/>
      <c r="P453" s="68"/>
      <c r="Q453" s="51"/>
      <c r="R453" s="51" t="str">
        <f t="shared" si="4"/>
        <v/>
      </c>
      <c r="S453" s="51" t="str">
        <f t="shared" si="5"/>
        <v/>
      </c>
      <c r="T453" s="51" t="str">
        <f t="shared" si="6"/>
        <v/>
      </c>
      <c r="U453" s="51"/>
      <c r="V453" s="51"/>
      <c r="W453" s="51"/>
      <c r="X453" s="51"/>
      <c r="Y453" s="51"/>
      <c r="Z453" s="51"/>
      <c r="AA453" s="51"/>
      <c r="AB453" s="51"/>
      <c r="AC453" s="51"/>
      <c r="AD453" s="51" t="s">
        <v>2386</v>
      </c>
      <c r="AE453" s="51" t="s">
        <v>2387</v>
      </c>
      <c r="AF453" s="51" t="str">
        <f t="shared" si="9"/>
        <v>A679078</v>
      </c>
      <c r="AG453" s="51" t="str">
        <f>VLOOKUP(AF453,AKT!$C$4:$E$324,3,FALSE)</f>
        <v>0942</v>
      </c>
    </row>
    <row r="454" spans="1:33" ht="15.75" customHeight="1">
      <c r="A454" s="84"/>
      <c r="B454" s="79" t="str">
        <f t="shared" si="0"/>
        <v/>
      </c>
      <c r="C454" s="84"/>
      <c r="D454" s="79" t="str">
        <f t="shared" si="1"/>
        <v/>
      </c>
      <c r="E454" s="84"/>
      <c r="F454" s="79" t="str">
        <f t="shared" si="2"/>
        <v/>
      </c>
      <c r="G454" s="79" t="str">
        <f t="shared" si="3"/>
        <v/>
      </c>
      <c r="H454" s="67"/>
      <c r="I454" s="67"/>
      <c r="J454" s="67"/>
      <c r="K454" s="89"/>
      <c r="L454" s="90"/>
      <c r="M454" s="90"/>
      <c r="N454" s="89"/>
      <c r="O454" s="73"/>
      <c r="P454" s="68"/>
      <c r="Q454" s="51"/>
      <c r="R454" s="51" t="str">
        <f t="shared" si="4"/>
        <v/>
      </c>
      <c r="S454" s="51" t="str">
        <f t="shared" si="5"/>
        <v/>
      </c>
      <c r="T454" s="51" t="str">
        <f t="shared" si="6"/>
        <v/>
      </c>
      <c r="U454" s="51"/>
      <c r="V454" s="51"/>
      <c r="W454" s="51"/>
      <c r="X454" s="51"/>
      <c r="Y454" s="51"/>
      <c r="Z454" s="51"/>
      <c r="AA454" s="51"/>
      <c r="AB454" s="51"/>
      <c r="AC454" s="51"/>
      <c r="AD454" s="51" t="s">
        <v>2388</v>
      </c>
      <c r="AE454" s="51" t="s">
        <v>2389</v>
      </c>
      <c r="AF454" s="51" t="str">
        <f t="shared" si="9"/>
        <v>A679078</v>
      </c>
      <c r="AG454" s="51" t="str">
        <f>VLOOKUP(AF454,AKT!$C$4:$E$324,3,FALSE)</f>
        <v>0942</v>
      </c>
    </row>
    <row r="455" spans="1:33" ht="15.75" customHeight="1">
      <c r="A455" s="84"/>
      <c r="B455" s="79" t="str">
        <f t="shared" si="0"/>
        <v/>
      </c>
      <c r="C455" s="84"/>
      <c r="D455" s="79" t="str">
        <f t="shared" si="1"/>
        <v/>
      </c>
      <c r="E455" s="84"/>
      <c r="F455" s="79" t="str">
        <f t="shared" si="2"/>
        <v/>
      </c>
      <c r="G455" s="79" t="str">
        <f t="shared" si="3"/>
        <v/>
      </c>
      <c r="H455" s="67"/>
      <c r="I455" s="67"/>
      <c r="J455" s="67"/>
      <c r="K455" s="89"/>
      <c r="L455" s="90"/>
      <c r="M455" s="90"/>
      <c r="N455" s="89"/>
      <c r="O455" s="73"/>
      <c r="P455" s="68"/>
      <c r="Q455" s="51"/>
      <c r="R455" s="51" t="str">
        <f t="shared" si="4"/>
        <v/>
      </c>
      <c r="S455" s="51" t="str">
        <f t="shared" si="5"/>
        <v/>
      </c>
      <c r="T455" s="51" t="str">
        <f t="shared" si="6"/>
        <v/>
      </c>
      <c r="U455" s="51"/>
      <c r="V455" s="51"/>
      <c r="W455" s="51"/>
      <c r="X455" s="51"/>
      <c r="Y455" s="51"/>
      <c r="Z455" s="51"/>
      <c r="AA455" s="51"/>
      <c r="AB455" s="51"/>
      <c r="AC455" s="51"/>
      <c r="AD455" s="51" t="s">
        <v>2390</v>
      </c>
      <c r="AE455" s="51" t="s">
        <v>2391</v>
      </c>
      <c r="AF455" s="51" t="str">
        <f t="shared" si="9"/>
        <v>A679078</v>
      </c>
      <c r="AG455" s="51" t="str">
        <f>VLOOKUP(AF455,AKT!$C$4:$E$324,3,FALSE)</f>
        <v>0942</v>
      </c>
    </row>
    <row r="456" spans="1:33" ht="15.75" customHeight="1">
      <c r="A456" s="84"/>
      <c r="B456" s="79" t="str">
        <f t="shared" si="0"/>
        <v/>
      </c>
      <c r="C456" s="84"/>
      <c r="D456" s="79" t="str">
        <f t="shared" si="1"/>
        <v/>
      </c>
      <c r="E456" s="84"/>
      <c r="F456" s="79" t="str">
        <f t="shared" si="2"/>
        <v/>
      </c>
      <c r="G456" s="79" t="str">
        <f t="shared" si="3"/>
        <v/>
      </c>
      <c r="H456" s="67"/>
      <c r="I456" s="67"/>
      <c r="J456" s="67"/>
      <c r="K456" s="89"/>
      <c r="L456" s="90"/>
      <c r="M456" s="90"/>
      <c r="N456" s="89"/>
      <c r="O456" s="73"/>
      <c r="P456" s="68"/>
      <c r="Q456" s="51"/>
      <c r="R456" s="51" t="str">
        <f t="shared" si="4"/>
        <v/>
      </c>
      <c r="S456" s="51" t="str">
        <f t="shared" si="5"/>
        <v/>
      </c>
      <c r="T456" s="51" t="str">
        <f t="shared" si="6"/>
        <v/>
      </c>
      <c r="U456" s="51"/>
      <c r="V456" s="51"/>
      <c r="W456" s="51"/>
      <c r="X456" s="51"/>
      <c r="Y456" s="51"/>
      <c r="Z456" s="51"/>
      <c r="AA456" s="51"/>
      <c r="AB456" s="51"/>
      <c r="AC456" s="51"/>
      <c r="AD456" s="51" t="s">
        <v>2392</v>
      </c>
      <c r="AE456" s="51" t="s">
        <v>2393</v>
      </c>
      <c r="AF456" s="51" t="str">
        <f t="shared" si="9"/>
        <v>A679078</v>
      </c>
      <c r="AG456" s="51" t="str">
        <f>VLOOKUP(AF456,AKT!$C$4:$E$324,3,FALSE)</f>
        <v>0942</v>
      </c>
    </row>
    <row r="457" spans="1:33" ht="15.75" customHeight="1">
      <c r="A457" s="84"/>
      <c r="B457" s="79" t="str">
        <f t="shared" si="0"/>
        <v/>
      </c>
      <c r="C457" s="84"/>
      <c r="D457" s="79" t="str">
        <f t="shared" si="1"/>
        <v/>
      </c>
      <c r="E457" s="84"/>
      <c r="F457" s="79" t="str">
        <f t="shared" si="2"/>
        <v/>
      </c>
      <c r="G457" s="79" t="str">
        <f t="shared" si="3"/>
        <v/>
      </c>
      <c r="H457" s="67"/>
      <c r="I457" s="67"/>
      <c r="J457" s="67"/>
      <c r="K457" s="89"/>
      <c r="L457" s="90"/>
      <c r="M457" s="90"/>
      <c r="N457" s="89"/>
      <c r="O457" s="73"/>
      <c r="P457" s="68"/>
      <c r="Q457" s="51"/>
      <c r="R457" s="51" t="str">
        <f t="shared" si="4"/>
        <v/>
      </c>
      <c r="S457" s="51" t="str">
        <f t="shared" si="5"/>
        <v/>
      </c>
      <c r="T457" s="51" t="str">
        <f t="shared" si="6"/>
        <v/>
      </c>
      <c r="U457" s="51"/>
      <c r="V457" s="51"/>
      <c r="W457" s="51"/>
      <c r="X457" s="51"/>
      <c r="Y457" s="51"/>
      <c r="Z457" s="51"/>
      <c r="AA457" s="51"/>
      <c r="AB457" s="51"/>
      <c r="AC457" s="51"/>
      <c r="AD457" s="51" t="s">
        <v>2394</v>
      </c>
      <c r="AE457" s="51" t="s">
        <v>2395</v>
      </c>
      <c r="AF457" s="51" t="str">
        <f t="shared" si="9"/>
        <v>A679078</v>
      </c>
      <c r="AG457" s="51" t="str">
        <f>VLOOKUP(AF457,AKT!$C$4:$E$324,3,FALSE)</f>
        <v>0942</v>
      </c>
    </row>
    <row r="458" spans="1:33" ht="15.75" customHeight="1">
      <c r="A458" s="84"/>
      <c r="B458" s="79" t="str">
        <f t="shared" si="0"/>
        <v/>
      </c>
      <c r="C458" s="84"/>
      <c r="D458" s="79" t="str">
        <f t="shared" si="1"/>
        <v/>
      </c>
      <c r="E458" s="84"/>
      <c r="F458" s="79" t="str">
        <f t="shared" si="2"/>
        <v/>
      </c>
      <c r="G458" s="79" t="str">
        <f t="shared" si="3"/>
        <v/>
      </c>
      <c r="H458" s="67"/>
      <c r="I458" s="67"/>
      <c r="J458" s="67"/>
      <c r="K458" s="89"/>
      <c r="L458" s="90"/>
      <c r="M458" s="90"/>
      <c r="N458" s="89"/>
      <c r="O458" s="73"/>
      <c r="P458" s="68"/>
      <c r="Q458" s="51"/>
      <c r="R458" s="51" t="str">
        <f t="shared" si="4"/>
        <v/>
      </c>
      <c r="S458" s="51" t="str">
        <f t="shared" si="5"/>
        <v/>
      </c>
      <c r="T458" s="51" t="str">
        <f t="shared" si="6"/>
        <v/>
      </c>
      <c r="U458" s="51"/>
      <c r="V458" s="51"/>
      <c r="W458" s="51"/>
      <c r="X458" s="51"/>
      <c r="Y458" s="51"/>
      <c r="Z458" s="51"/>
      <c r="AA458" s="51"/>
      <c r="AB458" s="51"/>
      <c r="AC458" s="51"/>
      <c r="AD458" s="51" t="s">
        <v>2396</v>
      </c>
      <c r="AE458" s="51" t="s">
        <v>2397</v>
      </c>
      <c r="AF458" s="51" t="str">
        <f t="shared" si="9"/>
        <v>A679078</v>
      </c>
      <c r="AG458" s="51" t="str">
        <f>VLOOKUP(AF458,AKT!$C$4:$E$324,3,FALSE)</f>
        <v>0942</v>
      </c>
    </row>
    <row r="459" spans="1:33" ht="15.75" customHeight="1">
      <c r="A459" s="84"/>
      <c r="B459" s="79" t="str">
        <f t="shared" si="0"/>
        <v/>
      </c>
      <c r="C459" s="84"/>
      <c r="D459" s="79" t="str">
        <f t="shared" si="1"/>
        <v/>
      </c>
      <c r="E459" s="84"/>
      <c r="F459" s="79" t="str">
        <f t="shared" si="2"/>
        <v/>
      </c>
      <c r="G459" s="79" t="str">
        <f t="shared" si="3"/>
        <v/>
      </c>
      <c r="H459" s="67"/>
      <c r="I459" s="67"/>
      <c r="J459" s="67"/>
      <c r="K459" s="89"/>
      <c r="L459" s="90"/>
      <c r="M459" s="90"/>
      <c r="N459" s="89"/>
      <c r="O459" s="73"/>
      <c r="P459" s="68"/>
      <c r="Q459" s="51"/>
      <c r="R459" s="51" t="str">
        <f t="shared" si="4"/>
        <v/>
      </c>
      <c r="S459" s="51" t="str">
        <f t="shared" si="5"/>
        <v/>
      </c>
      <c r="T459" s="51" t="str">
        <f t="shared" si="6"/>
        <v/>
      </c>
      <c r="U459" s="51"/>
      <c r="V459" s="51"/>
      <c r="W459" s="51"/>
      <c r="X459" s="51"/>
      <c r="Y459" s="51"/>
      <c r="Z459" s="51"/>
      <c r="AA459" s="51"/>
      <c r="AB459" s="51"/>
      <c r="AC459" s="51"/>
      <c r="AD459" s="51" t="s">
        <v>2398</v>
      </c>
      <c r="AE459" s="51" t="s">
        <v>2399</v>
      </c>
      <c r="AF459" s="51" t="str">
        <f t="shared" si="9"/>
        <v>A679078</v>
      </c>
      <c r="AG459" s="51" t="str">
        <f>VLOOKUP(AF459,AKT!$C$4:$E$324,3,FALSE)</f>
        <v>0942</v>
      </c>
    </row>
    <row r="460" spans="1:33" ht="15.75" customHeight="1">
      <c r="A460" s="84"/>
      <c r="B460" s="79" t="str">
        <f t="shared" si="0"/>
        <v/>
      </c>
      <c r="C460" s="84"/>
      <c r="D460" s="79" t="str">
        <f t="shared" si="1"/>
        <v/>
      </c>
      <c r="E460" s="84"/>
      <c r="F460" s="79" t="str">
        <f t="shared" si="2"/>
        <v/>
      </c>
      <c r="G460" s="79" t="str">
        <f t="shared" si="3"/>
        <v/>
      </c>
      <c r="H460" s="67"/>
      <c r="I460" s="67"/>
      <c r="J460" s="67"/>
      <c r="K460" s="89"/>
      <c r="L460" s="90"/>
      <c r="M460" s="90"/>
      <c r="N460" s="89"/>
      <c r="O460" s="73"/>
      <c r="P460" s="68"/>
      <c r="Q460" s="51"/>
      <c r="R460" s="51" t="str">
        <f t="shared" si="4"/>
        <v/>
      </c>
      <c r="S460" s="51" t="str">
        <f t="shared" si="5"/>
        <v/>
      </c>
      <c r="T460" s="51" t="str">
        <f t="shared" si="6"/>
        <v/>
      </c>
      <c r="U460" s="51"/>
      <c r="V460" s="51"/>
      <c r="W460" s="51"/>
      <c r="X460" s="51"/>
      <c r="Y460" s="51"/>
      <c r="Z460" s="51"/>
      <c r="AA460" s="51"/>
      <c r="AB460" s="51"/>
      <c r="AC460" s="51"/>
      <c r="AD460" s="51" t="s">
        <v>2400</v>
      </c>
      <c r="AE460" s="51" t="s">
        <v>2401</v>
      </c>
      <c r="AF460" s="51" t="str">
        <f t="shared" si="9"/>
        <v>A679078</v>
      </c>
      <c r="AG460" s="51" t="str">
        <f>VLOOKUP(AF460,AKT!$C$4:$E$324,3,FALSE)</f>
        <v>0942</v>
      </c>
    </row>
    <row r="461" spans="1:33" ht="15.75" customHeight="1">
      <c r="A461" s="84"/>
      <c r="B461" s="79" t="str">
        <f t="shared" si="0"/>
        <v/>
      </c>
      <c r="C461" s="84"/>
      <c r="D461" s="79" t="str">
        <f t="shared" si="1"/>
        <v/>
      </c>
      <c r="E461" s="84"/>
      <c r="F461" s="79" t="str">
        <f t="shared" si="2"/>
        <v/>
      </c>
      <c r="G461" s="79" t="str">
        <f t="shared" si="3"/>
        <v/>
      </c>
      <c r="H461" s="67"/>
      <c r="I461" s="67"/>
      <c r="J461" s="67"/>
      <c r="K461" s="89"/>
      <c r="L461" s="90"/>
      <c r="M461" s="90"/>
      <c r="N461" s="89"/>
      <c r="O461" s="73"/>
      <c r="P461" s="68"/>
      <c r="Q461" s="51"/>
      <c r="R461" s="51" t="str">
        <f t="shared" si="4"/>
        <v/>
      </c>
      <c r="S461" s="51" t="str">
        <f t="shared" si="5"/>
        <v/>
      </c>
      <c r="T461" s="51" t="str">
        <f t="shared" si="6"/>
        <v/>
      </c>
      <c r="U461" s="51"/>
      <c r="V461" s="51"/>
      <c r="W461" s="51"/>
      <c r="X461" s="51"/>
      <c r="Y461" s="51"/>
      <c r="Z461" s="51"/>
      <c r="AA461" s="51"/>
      <c r="AB461" s="51"/>
      <c r="AC461" s="51"/>
      <c r="AD461" s="51" t="s">
        <v>2402</v>
      </c>
      <c r="AE461" s="51" t="s">
        <v>2403</v>
      </c>
      <c r="AF461" s="51" t="str">
        <f t="shared" si="9"/>
        <v>A679078</v>
      </c>
      <c r="AG461" s="51" t="str">
        <f>VLOOKUP(AF461,AKT!$C$4:$E$324,3,FALSE)</f>
        <v>0942</v>
      </c>
    </row>
    <row r="462" spans="1:33" ht="15.75" customHeight="1">
      <c r="A462" s="84"/>
      <c r="B462" s="79" t="str">
        <f t="shared" si="0"/>
        <v/>
      </c>
      <c r="C462" s="84"/>
      <c r="D462" s="79" t="str">
        <f t="shared" si="1"/>
        <v/>
      </c>
      <c r="E462" s="84"/>
      <c r="F462" s="79" t="str">
        <f t="shared" si="2"/>
        <v/>
      </c>
      <c r="G462" s="79" t="str">
        <f t="shared" si="3"/>
        <v/>
      </c>
      <c r="H462" s="67"/>
      <c r="I462" s="67"/>
      <c r="J462" s="67"/>
      <c r="K462" s="89"/>
      <c r="L462" s="90"/>
      <c r="M462" s="90"/>
      <c r="N462" s="89"/>
      <c r="O462" s="73"/>
      <c r="P462" s="68"/>
      <c r="Q462" s="51"/>
      <c r="R462" s="51" t="str">
        <f t="shared" si="4"/>
        <v/>
      </c>
      <c r="S462" s="51" t="str">
        <f t="shared" si="5"/>
        <v/>
      </c>
      <c r="T462" s="51" t="str">
        <f t="shared" si="6"/>
        <v/>
      </c>
      <c r="U462" s="51"/>
      <c r="V462" s="51"/>
      <c r="W462" s="51"/>
      <c r="X462" s="51"/>
      <c r="Y462" s="51"/>
      <c r="Z462" s="51"/>
      <c r="AA462" s="51"/>
      <c r="AB462" s="51"/>
      <c r="AC462" s="51"/>
      <c r="AD462" s="51" t="s">
        <v>2404</v>
      </c>
      <c r="AE462" s="51" t="s">
        <v>2405</v>
      </c>
      <c r="AF462" s="51" t="str">
        <f t="shared" si="9"/>
        <v>A679078</v>
      </c>
      <c r="AG462" s="51" t="str">
        <f>VLOOKUP(AF462,AKT!$C$4:$E$324,3,FALSE)</f>
        <v>0942</v>
      </c>
    </row>
    <row r="463" spans="1:33" ht="15.75" customHeight="1">
      <c r="A463" s="84"/>
      <c r="B463" s="79" t="str">
        <f t="shared" si="0"/>
        <v/>
      </c>
      <c r="C463" s="84"/>
      <c r="D463" s="79" t="str">
        <f t="shared" si="1"/>
        <v/>
      </c>
      <c r="E463" s="84"/>
      <c r="F463" s="79" t="str">
        <f t="shared" si="2"/>
        <v/>
      </c>
      <c r="G463" s="79" t="str">
        <f t="shared" si="3"/>
        <v/>
      </c>
      <c r="H463" s="67"/>
      <c r="I463" s="67"/>
      <c r="J463" s="67"/>
      <c r="K463" s="89"/>
      <c r="L463" s="90"/>
      <c r="M463" s="90"/>
      <c r="N463" s="89"/>
      <c r="O463" s="73"/>
      <c r="P463" s="68"/>
      <c r="Q463" s="51"/>
      <c r="R463" s="51" t="str">
        <f t="shared" si="4"/>
        <v/>
      </c>
      <c r="S463" s="51" t="str">
        <f t="shared" si="5"/>
        <v/>
      </c>
      <c r="T463" s="51" t="str">
        <f t="shared" si="6"/>
        <v/>
      </c>
      <c r="U463" s="51"/>
      <c r="V463" s="51"/>
      <c r="W463" s="51"/>
      <c r="X463" s="51"/>
      <c r="Y463" s="51"/>
      <c r="Z463" s="51"/>
      <c r="AA463" s="51"/>
      <c r="AB463" s="51"/>
      <c r="AC463" s="51"/>
      <c r="AD463" s="51" t="s">
        <v>2406</v>
      </c>
      <c r="AE463" s="51" t="s">
        <v>2407</v>
      </c>
      <c r="AF463" s="51" t="str">
        <f t="shared" si="9"/>
        <v>A679078</v>
      </c>
      <c r="AG463" s="51" t="str">
        <f>VLOOKUP(AF463,AKT!$C$4:$E$324,3,FALSE)</f>
        <v>0942</v>
      </c>
    </row>
    <row r="464" spans="1:33" ht="15.75" customHeight="1">
      <c r="A464" s="84"/>
      <c r="B464" s="79" t="str">
        <f t="shared" si="0"/>
        <v/>
      </c>
      <c r="C464" s="84"/>
      <c r="D464" s="79" t="str">
        <f t="shared" si="1"/>
        <v/>
      </c>
      <c r="E464" s="84"/>
      <c r="F464" s="79" t="str">
        <f t="shared" si="2"/>
        <v/>
      </c>
      <c r="G464" s="79" t="str">
        <f t="shared" si="3"/>
        <v/>
      </c>
      <c r="H464" s="67"/>
      <c r="I464" s="67"/>
      <c r="J464" s="67"/>
      <c r="K464" s="89"/>
      <c r="L464" s="90"/>
      <c r="M464" s="90"/>
      <c r="N464" s="89"/>
      <c r="O464" s="73"/>
      <c r="P464" s="68"/>
      <c r="Q464" s="51"/>
      <c r="R464" s="51" t="str">
        <f t="shared" si="4"/>
        <v/>
      </c>
      <c r="S464" s="51" t="str">
        <f t="shared" si="5"/>
        <v/>
      </c>
      <c r="T464" s="51" t="str">
        <f t="shared" si="6"/>
        <v/>
      </c>
      <c r="U464" s="51"/>
      <c r="V464" s="51"/>
      <c r="W464" s="51"/>
      <c r="X464" s="51"/>
      <c r="Y464" s="51"/>
      <c r="Z464" s="51"/>
      <c r="AA464" s="51"/>
      <c r="AB464" s="51"/>
      <c r="AC464" s="51"/>
      <c r="AD464" s="51" t="s">
        <v>2408</v>
      </c>
      <c r="AE464" s="51" t="s">
        <v>2409</v>
      </c>
      <c r="AF464" s="51" t="str">
        <f t="shared" si="9"/>
        <v>A679078</v>
      </c>
      <c r="AG464" s="51" t="str">
        <f>VLOOKUP(AF464,AKT!$C$4:$E$324,3,FALSE)</f>
        <v>0942</v>
      </c>
    </row>
    <row r="465" spans="1:33" ht="15.75" customHeight="1">
      <c r="A465" s="84"/>
      <c r="B465" s="79" t="str">
        <f t="shared" si="0"/>
        <v/>
      </c>
      <c r="C465" s="84"/>
      <c r="D465" s="79" t="str">
        <f t="shared" si="1"/>
        <v/>
      </c>
      <c r="E465" s="84"/>
      <c r="F465" s="79" t="str">
        <f t="shared" si="2"/>
        <v/>
      </c>
      <c r="G465" s="79" t="str">
        <f t="shared" si="3"/>
        <v/>
      </c>
      <c r="H465" s="67"/>
      <c r="I465" s="67"/>
      <c r="J465" s="67"/>
      <c r="K465" s="89"/>
      <c r="L465" s="90"/>
      <c r="M465" s="90"/>
      <c r="N465" s="89"/>
      <c r="O465" s="73"/>
      <c r="P465" s="68"/>
      <c r="Q465" s="51"/>
      <c r="R465" s="51" t="str">
        <f t="shared" si="4"/>
        <v/>
      </c>
      <c r="S465" s="51" t="str">
        <f t="shared" si="5"/>
        <v/>
      </c>
      <c r="T465" s="51" t="str">
        <f t="shared" si="6"/>
        <v/>
      </c>
      <c r="U465" s="51"/>
      <c r="V465" s="51"/>
      <c r="W465" s="51"/>
      <c r="X465" s="51"/>
      <c r="Y465" s="51"/>
      <c r="Z465" s="51"/>
      <c r="AA465" s="51"/>
      <c r="AB465" s="51"/>
      <c r="AC465" s="51"/>
      <c r="AD465" s="51" t="s">
        <v>2410</v>
      </c>
      <c r="AE465" s="51" t="s">
        <v>2411</v>
      </c>
      <c r="AF465" s="51" t="str">
        <f t="shared" si="9"/>
        <v>A679078</v>
      </c>
      <c r="AG465" s="51" t="str">
        <f>VLOOKUP(AF465,AKT!$C$4:$E$324,3,FALSE)</f>
        <v>0942</v>
      </c>
    </row>
    <row r="466" spans="1:33" ht="15.75" customHeight="1">
      <c r="A466" s="84"/>
      <c r="B466" s="79" t="str">
        <f t="shared" si="0"/>
        <v/>
      </c>
      <c r="C466" s="84"/>
      <c r="D466" s="79" t="str">
        <f t="shared" si="1"/>
        <v/>
      </c>
      <c r="E466" s="84"/>
      <c r="F466" s="79" t="str">
        <f t="shared" si="2"/>
        <v/>
      </c>
      <c r="G466" s="79" t="str">
        <f t="shared" si="3"/>
        <v/>
      </c>
      <c r="H466" s="67"/>
      <c r="I466" s="67"/>
      <c r="J466" s="67"/>
      <c r="K466" s="89"/>
      <c r="L466" s="90"/>
      <c r="M466" s="90"/>
      <c r="N466" s="89"/>
      <c r="O466" s="73"/>
      <c r="P466" s="68"/>
      <c r="Q466" s="51"/>
      <c r="R466" s="51" t="str">
        <f t="shared" si="4"/>
        <v/>
      </c>
      <c r="S466" s="51" t="str">
        <f t="shared" si="5"/>
        <v/>
      </c>
      <c r="T466" s="51" t="str">
        <f t="shared" si="6"/>
        <v/>
      </c>
      <c r="U466" s="51"/>
      <c r="V466" s="51"/>
      <c r="W466" s="51"/>
      <c r="X466" s="51"/>
      <c r="Y466" s="51"/>
      <c r="Z466" s="51"/>
      <c r="AA466" s="51"/>
      <c r="AB466" s="51"/>
      <c r="AC466" s="51"/>
      <c r="AD466" s="51" t="s">
        <v>2412</v>
      </c>
      <c r="AE466" s="51" t="s">
        <v>2413</v>
      </c>
      <c r="AF466" s="51" t="str">
        <f t="shared" si="9"/>
        <v>A679078</v>
      </c>
      <c r="AG466" s="51" t="str">
        <f>VLOOKUP(AF466,AKT!$C$4:$E$324,3,FALSE)</f>
        <v>0942</v>
      </c>
    </row>
    <row r="467" spans="1:33" ht="15.75" customHeight="1">
      <c r="A467" s="84"/>
      <c r="B467" s="79" t="str">
        <f t="shared" si="0"/>
        <v/>
      </c>
      <c r="C467" s="84"/>
      <c r="D467" s="79" t="str">
        <f t="shared" si="1"/>
        <v/>
      </c>
      <c r="E467" s="84"/>
      <c r="F467" s="79" t="str">
        <f t="shared" si="2"/>
        <v/>
      </c>
      <c r="G467" s="79" t="str">
        <f t="shared" si="3"/>
        <v/>
      </c>
      <c r="H467" s="67"/>
      <c r="I467" s="67"/>
      <c r="J467" s="67"/>
      <c r="K467" s="89"/>
      <c r="L467" s="90"/>
      <c r="M467" s="90"/>
      <c r="N467" s="89"/>
      <c r="O467" s="89"/>
      <c r="P467" s="68"/>
      <c r="Q467" s="51"/>
      <c r="R467" s="51" t="str">
        <f t="shared" si="4"/>
        <v/>
      </c>
      <c r="S467" s="51" t="str">
        <f t="shared" si="5"/>
        <v/>
      </c>
      <c r="T467" s="51" t="str">
        <f t="shared" si="6"/>
        <v/>
      </c>
      <c r="U467" s="51"/>
      <c r="V467" s="51"/>
      <c r="W467" s="51"/>
      <c r="X467" s="51"/>
      <c r="Y467" s="51"/>
      <c r="Z467" s="51"/>
      <c r="AA467" s="51"/>
      <c r="AB467" s="51"/>
      <c r="AC467" s="51"/>
      <c r="AD467" s="51" t="s">
        <v>2414</v>
      </c>
      <c r="AE467" s="51" t="s">
        <v>2415</v>
      </c>
      <c r="AF467" s="51" t="str">
        <f t="shared" si="9"/>
        <v>A679078</v>
      </c>
      <c r="AG467" s="51" t="str">
        <f>VLOOKUP(AF467,AKT!$C$4:$E$324,3,FALSE)</f>
        <v>0942</v>
      </c>
    </row>
    <row r="468" spans="1:33" ht="15.75" customHeight="1">
      <c r="A468" s="84"/>
      <c r="B468" s="79" t="str">
        <f t="shared" si="0"/>
        <v/>
      </c>
      <c r="C468" s="84"/>
      <c r="D468" s="79" t="str">
        <f t="shared" si="1"/>
        <v/>
      </c>
      <c r="E468" s="84"/>
      <c r="F468" s="79" t="str">
        <f t="shared" si="2"/>
        <v/>
      </c>
      <c r="G468" s="79" t="str">
        <f t="shared" si="3"/>
        <v/>
      </c>
      <c r="H468" s="67"/>
      <c r="I468" s="67"/>
      <c r="J468" s="67"/>
      <c r="K468" s="89"/>
      <c r="L468" s="90"/>
      <c r="M468" s="90"/>
      <c r="N468" s="89"/>
      <c r="O468" s="89"/>
      <c r="P468" s="68"/>
      <c r="Q468" s="51"/>
      <c r="R468" s="51" t="str">
        <f t="shared" si="4"/>
        <v/>
      </c>
      <c r="S468" s="51" t="str">
        <f t="shared" si="5"/>
        <v/>
      </c>
      <c r="T468" s="51" t="str">
        <f t="shared" si="6"/>
        <v/>
      </c>
      <c r="U468" s="51"/>
      <c r="V468" s="51"/>
      <c r="W468" s="51"/>
      <c r="X468" s="51"/>
      <c r="Y468" s="51"/>
      <c r="Z468" s="51"/>
      <c r="AA468" s="51"/>
      <c r="AB468" s="51"/>
      <c r="AC468" s="51"/>
      <c r="AD468" s="51" t="s">
        <v>2416</v>
      </c>
      <c r="AE468" s="51" t="s">
        <v>2417</v>
      </c>
      <c r="AF468" s="51" t="str">
        <f t="shared" si="9"/>
        <v>A679078</v>
      </c>
      <c r="AG468" s="51" t="str">
        <f>VLOOKUP(AF468,AKT!$C$4:$E$324,3,FALSE)</f>
        <v>0942</v>
      </c>
    </row>
    <row r="469" spans="1:33" ht="15.75" customHeight="1">
      <c r="A469" s="84"/>
      <c r="B469" s="79" t="str">
        <f t="shared" si="0"/>
        <v/>
      </c>
      <c r="C469" s="84"/>
      <c r="D469" s="79" t="str">
        <f t="shared" si="1"/>
        <v/>
      </c>
      <c r="E469" s="84"/>
      <c r="F469" s="79" t="str">
        <f t="shared" si="2"/>
        <v/>
      </c>
      <c r="G469" s="79" t="str">
        <f t="shared" si="3"/>
        <v/>
      </c>
      <c r="H469" s="67"/>
      <c r="I469" s="67"/>
      <c r="J469" s="67"/>
      <c r="K469" s="89"/>
      <c r="L469" s="90"/>
      <c r="M469" s="90"/>
      <c r="N469" s="89"/>
      <c r="O469" s="89"/>
      <c r="P469" s="68"/>
      <c r="Q469" s="51"/>
      <c r="R469" s="51" t="str">
        <f t="shared" si="4"/>
        <v/>
      </c>
      <c r="S469" s="51" t="str">
        <f t="shared" si="5"/>
        <v/>
      </c>
      <c r="T469" s="51" t="str">
        <f t="shared" si="6"/>
        <v/>
      </c>
      <c r="U469" s="51"/>
      <c r="V469" s="51"/>
      <c r="W469" s="51"/>
      <c r="X469" s="51"/>
      <c r="Y469" s="51"/>
      <c r="Z469" s="51"/>
      <c r="AA469" s="51"/>
      <c r="AB469" s="51"/>
      <c r="AC469" s="51"/>
      <c r="AD469" s="51" t="s">
        <v>2418</v>
      </c>
      <c r="AE469" s="51" t="s">
        <v>2419</v>
      </c>
      <c r="AF469" s="51" t="str">
        <f t="shared" si="9"/>
        <v>A679078</v>
      </c>
      <c r="AG469" s="51" t="str">
        <f>VLOOKUP(AF469,AKT!$C$4:$E$324,3,FALSE)</f>
        <v>0942</v>
      </c>
    </row>
    <row r="470" spans="1:33" ht="15.75" customHeight="1">
      <c r="A470" s="84"/>
      <c r="B470" s="79" t="str">
        <f t="shared" si="0"/>
        <v/>
      </c>
      <c r="C470" s="84"/>
      <c r="D470" s="79" t="str">
        <f t="shared" si="1"/>
        <v/>
      </c>
      <c r="E470" s="84"/>
      <c r="F470" s="79" t="str">
        <f t="shared" si="2"/>
        <v/>
      </c>
      <c r="G470" s="79" t="str">
        <f t="shared" si="3"/>
        <v/>
      </c>
      <c r="H470" s="67"/>
      <c r="I470" s="67"/>
      <c r="J470" s="67"/>
      <c r="K470" s="89"/>
      <c r="L470" s="90"/>
      <c r="M470" s="90"/>
      <c r="N470" s="89"/>
      <c r="O470" s="89"/>
      <c r="P470" s="68"/>
      <c r="Q470" s="51"/>
      <c r="R470" s="51" t="str">
        <f t="shared" si="4"/>
        <v/>
      </c>
      <c r="S470" s="51" t="str">
        <f t="shared" si="5"/>
        <v/>
      </c>
      <c r="T470" s="51" t="str">
        <f t="shared" si="6"/>
        <v/>
      </c>
      <c r="U470" s="51"/>
      <c r="V470" s="51"/>
      <c r="W470" s="51"/>
      <c r="X470" s="51"/>
      <c r="Y470" s="51"/>
      <c r="Z470" s="51"/>
      <c r="AA470" s="51"/>
      <c r="AB470" s="51"/>
      <c r="AC470" s="51"/>
      <c r="AD470" s="51" t="s">
        <v>2420</v>
      </c>
      <c r="AE470" s="51" t="s">
        <v>2421</v>
      </c>
      <c r="AF470" s="51" t="str">
        <f t="shared" si="9"/>
        <v>A679078</v>
      </c>
      <c r="AG470" s="51" t="str">
        <f>VLOOKUP(AF470,AKT!$C$4:$E$324,3,FALSE)</f>
        <v>0942</v>
      </c>
    </row>
    <row r="471" spans="1:33" ht="15.75" customHeight="1">
      <c r="A471" s="84"/>
      <c r="B471" s="79" t="str">
        <f t="shared" si="0"/>
        <v/>
      </c>
      <c r="C471" s="84"/>
      <c r="D471" s="79" t="str">
        <f t="shared" si="1"/>
        <v/>
      </c>
      <c r="E471" s="84"/>
      <c r="F471" s="79" t="str">
        <f t="shared" si="2"/>
        <v/>
      </c>
      <c r="G471" s="79" t="str">
        <f t="shared" si="3"/>
        <v/>
      </c>
      <c r="H471" s="67"/>
      <c r="I471" s="67"/>
      <c r="J471" s="67"/>
      <c r="K471" s="89"/>
      <c r="L471" s="90"/>
      <c r="M471" s="90"/>
      <c r="N471" s="89"/>
      <c r="O471" s="89"/>
      <c r="P471" s="68"/>
      <c r="Q471" s="51"/>
      <c r="R471" s="51" t="str">
        <f t="shared" si="4"/>
        <v/>
      </c>
      <c r="S471" s="51" t="str">
        <f t="shared" si="5"/>
        <v/>
      </c>
      <c r="T471" s="51" t="str">
        <f t="shared" si="6"/>
        <v/>
      </c>
      <c r="U471" s="51"/>
      <c r="V471" s="51"/>
      <c r="W471" s="51"/>
      <c r="X471" s="51"/>
      <c r="Y471" s="51"/>
      <c r="Z471" s="51"/>
      <c r="AA471" s="51"/>
      <c r="AB471" s="51"/>
      <c r="AC471" s="51"/>
      <c r="AD471" s="51" t="s">
        <v>2422</v>
      </c>
      <c r="AE471" s="51" t="s">
        <v>2423</v>
      </c>
      <c r="AF471" s="51" t="str">
        <f t="shared" si="9"/>
        <v>A679078</v>
      </c>
      <c r="AG471" s="51" t="str">
        <f>VLOOKUP(AF471,AKT!$C$4:$E$324,3,FALSE)</f>
        <v>0942</v>
      </c>
    </row>
    <row r="472" spans="1:33" ht="15.75" customHeight="1">
      <c r="A472" s="84"/>
      <c r="B472" s="79" t="str">
        <f t="shared" si="0"/>
        <v/>
      </c>
      <c r="C472" s="84"/>
      <c r="D472" s="79" t="str">
        <f t="shared" si="1"/>
        <v/>
      </c>
      <c r="E472" s="84"/>
      <c r="F472" s="79" t="str">
        <f t="shared" si="2"/>
        <v/>
      </c>
      <c r="G472" s="79" t="str">
        <f t="shared" si="3"/>
        <v/>
      </c>
      <c r="H472" s="67"/>
      <c r="I472" s="67"/>
      <c r="J472" s="67"/>
      <c r="K472" s="89"/>
      <c r="L472" s="90"/>
      <c r="M472" s="90"/>
      <c r="N472" s="89"/>
      <c r="O472" s="89"/>
      <c r="P472" s="68"/>
      <c r="Q472" s="51"/>
      <c r="R472" s="51" t="str">
        <f t="shared" si="4"/>
        <v/>
      </c>
      <c r="S472" s="51" t="str">
        <f t="shared" si="5"/>
        <v/>
      </c>
      <c r="T472" s="51" t="str">
        <f t="shared" si="6"/>
        <v/>
      </c>
      <c r="U472" s="51"/>
      <c r="V472" s="51"/>
      <c r="W472" s="51"/>
      <c r="X472" s="51"/>
      <c r="Y472" s="51"/>
      <c r="Z472" s="51"/>
      <c r="AA472" s="51"/>
      <c r="AB472" s="51"/>
      <c r="AC472" s="51"/>
      <c r="AD472" s="51" t="s">
        <v>2424</v>
      </c>
      <c r="AE472" s="51" t="s">
        <v>2425</v>
      </c>
      <c r="AF472" s="51" t="str">
        <f t="shared" si="9"/>
        <v>A679078</v>
      </c>
      <c r="AG472" s="51" t="str">
        <f>VLOOKUP(AF472,AKT!$C$4:$E$324,3,FALSE)</f>
        <v>0942</v>
      </c>
    </row>
    <row r="473" spans="1:33" ht="15.75" customHeight="1">
      <c r="A473" s="84"/>
      <c r="B473" s="79" t="str">
        <f t="shared" si="0"/>
        <v/>
      </c>
      <c r="C473" s="84"/>
      <c r="D473" s="79" t="str">
        <f t="shared" si="1"/>
        <v/>
      </c>
      <c r="E473" s="84"/>
      <c r="F473" s="79" t="str">
        <f t="shared" si="2"/>
        <v/>
      </c>
      <c r="G473" s="79" t="str">
        <f t="shared" si="3"/>
        <v/>
      </c>
      <c r="H473" s="67"/>
      <c r="I473" s="67"/>
      <c r="J473" s="67"/>
      <c r="K473" s="89"/>
      <c r="L473" s="90"/>
      <c r="M473" s="90"/>
      <c r="N473" s="89"/>
      <c r="O473" s="89"/>
      <c r="P473" s="68"/>
      <c r="Q473" s="51"/>
      <c r="R473" s="51" t="str">
        <f t="shared" si="4"/>
        <v/>
      </c>
      <c r="S473" s="51" t="str">
        <f t="shared" si="5"/>
        <v/>
      </c>
      <c r="T473" s="51" t="str">
        <f t="shared" si="6"/>
        <v/>
      </c>
      <c r="U473" s="51"/>
      <c r="V473" s="51"/>
      <c r="W473" s="51"/>
      <c r="X473" s="51"/>
      <c r="Y473" s="51"/>
      <c r="Z473" s="51"/>
      <c r="AA473" s="51"/>
      <c r="AB473" s="51"/>
      <c r="AC473" s="51"/>
      <c r="AD473" s="51" t="s">
        <v>2426</v>
      </c>
      <c r="AE473" s="51" t="s">
        <v>2427</v>
      </c>
      <c r="AF473" s="51" t="str">
        <f t="shared" si="9"/>
        <v>A679078</v>
      </c>
      <c r="AG473" s="51" t="str">
        <f>VLOOKUP(AF473,AKT!$C$4:$E$324,3,FALSE)</f>
        <v>0942</v>
      </c>
    </row>
    <row r="474" spans="1:33" ht="15.75" customHeight="1">
      <c r="A474" s="84"/>
      <c r="B474" s="79" t="str">
        <f t="shared" si="0"/>
        <v/>
      </c>
      <c r="C474" s="84"/>
      <c r="D474" s="79" t="str">
        <f t="shared" si="1"/>
        <v/>
      </c>
      <c r="E474" s="84"/>
      <c r="F474" s="79" t="str">
        <f t="shared" si="2"/>
        <v/>
      </c>
      <c r="G474" s="79" t="str">
        <f t="shared" si="3"/>
        <v/>
      </c>
      <c r="H474" s="67"/>
      <c r="I474" s="67"/>
      <c r="J474" s="67"/>
      <c r="K474" s="89"/>
      <c r="L474" s="90"/>
      <c r="M474" s="90"/>
      <c r="N474" s="89"/>
      <c r="O474" s="89"/>
      <c r="P474" s="68"/>
      <c r="Q474" s="51"/>
      <c r="R474" s="51" t="str">
        <f t="shared" si="4"/>
        <v/>
      </c>
      <c r="S474" s="51" t="str">
        <f t="shared" si="5"/>
        <v/>
      </c>
      <c r="T474" s="51" t="str">
        <f t="shared" si="6"/>
        <v/>
      </c>
      <c r="U474" s="51"/>
      <c r="V474" s="51"/>
      <c r="W474" s="51"/>
      <c r="X474" s="51"/>
      <c r="Y474" s="51"/>
      <c r="Z474" s="51"/>
      <c r="AA474" s="51"/>
      <c r="AB474" s="51"/>
      <c r="AC474" s="51"/>
      <c r="AD474" s="51" t="s">
        <v>2428</v>
      </c>
      <c r="AE474" s="51" t="s">
        <v>2429</v>
      </c>
      <c r="AF474" s="51" t="str">
        <f t="shared" si="9"/>
        <v>A679078</v>
      </c>
      <c r="AG474" s="51" t="str">
        <f>VLOOKUP(AF474,AKT!$C$4:$E$324,3,FALSE)</f>
        <v>0942</v>
      </c>
    </row>
    <row r="475" spans="1:33" ht="15.75" customHeight="1">
      <c r="A475" s="84"/>
      <c r="B475" s="79" t="str">
        <f t="shared" si="0"/>
        <v/>
      </c>
      <c r="C475" s="84"/>
      <c r="D475" s="79" t="str">
        <f t="shared" si="1"/>
        <v/>
      </c>
      <c r="E475" s="84"/>
      <c r="F475" s="79" t="str">
        <f t="shared" si="2"/>
        <v/>
      </c>
      <c r="G475" s="79" t="str">
        <f t="shared" si="3"/>
        <v/>
      </c>
      <c r="H475" s="67"/>
      <c r="I475" s="67"/>
      <c r="J475" s="67"/>
      <c r="K475" s="89"/>
      <c r="L475" s="90"/>
      <c r="M475" s="90"/>
      <c r="N475" s="89"/>
      <c r="O475" s="89"/>
      <c r="P475" s="68"/>
      <c r="Q475" s="51"/>
      <c r="R475" s="51" t="str">
        <f t="shared" si="4"/>
        <v/>
      </c>
      <c r="S475" s="51" t="str">
        <f t="shared" si="5"/>
        <v/>
      </c>
      <c r="T475" s="51" t="str">
        <f t="shared" si="6"/>
        <v/>
      </c>
      <c r="U475" s="51"/>
      <c r="V475" s="51"/>
      <c r="W475" s="51"/>
      <c r="X475" s="51"/>
      <c r="Y475" s="51"/>
      <c r="Z475" s="51"/>
      <c r="AA475" s="51"/>
      <c r="AB475" s="51"/>
      <c r="AC475" s="51"/>
      <c r="AD475" s="51" t="s">
        <v>2430</v>
      </c>
      <c r="AE475" s="51" t="s">
        <v>2431</v>
      </c>
      <c r="AF475" s="51" t="str">
        <f t="shared" si="9"/>
        <v>A679078</v>
      </c>
      <c r="AG475" s="51" t="str">
        <f>VLOOKUP(AF475,AKT!$C$4:$E$324,3,FALSE)</f>
        <v>0942</v>
      </c>
    </row>
    <row r="476" spans="1:33" ht="15.75" customHeight="1">
      <c r="A476" s="84"/>
      <c r="B476" s="79" t="str">
        <f t="shared" si="0"/>
        <v/>
      </c>
      <c r="C476" s="84"/>
      <c r="D476" s="79" t="str">
        <f t="shared" si="1"/>
        <v/>
      </c>
      <c r="E476" s="84"/>
      <c r="F476" s="79" t="str">
        <f t="shared" si="2"/>
        <v/>
      </c>
      <c r="G476" s="79" t="str">
        <f t="shared" si="3"/>
        <v/>
      </c>
      <c r="H476" s="67"/>
      <c r="I476" s="67"/>
      <c r="J476" s="67"/>
      <c r="K476" s="89"/>
      <c r="L476" s="90"/>
      <c r="M476" s="90"/>
      <c r="N476" s="89"/>
      <c r="O476" s="89"/>
      <c r="P476" s="68"/>
      <c r="Q476" s="51"/>
      <c r="R476" s="51" t="str">
        <f t="shared" si="4"/>
        <v/>
      </c>
      <c r="S476" s="51" t="str">
        <f t="shared" si="5"/>
        <v/>
      </c>
      <c r="T476" s="51" t="str">
        <f t="shared" si="6"/>
        <v/>
      </c>
      <c r="U476" s="51"/>
      <c r="V476" s="51"/>
      <c r="W476" s="51"/>
      <c r="X476" s="51"/>
      <c r="Y476" s="51"/>
      <c r="Z476" s="51"/>
      <c r="AA476" s="51"/>
      <c r="AB476" s="51"/>
      <c r="AC476" s="51"/>
      <c r="AD476" s="51" t="s">
        <v>2432</v>
      </c>
      <c r="AE476" s="51" t="s">
        <v>2433</v>
      </c>
      <c r="AF476" s="51" t="str">
        <f t="shared" si="9"/>
        <v>A679078</v>
      </c>
      <c r="AG476" s="51" t="str">
        <f>VLOOKUP(AF476,AKT!$C$4:$E$324,3,FALSE)</f>
        <v>0942</v>
      </c>
    </row>
    <row r="477" spans="1:33" ht="15.75" customHeight="1">
      <c r="A477" s="84"/>
      <c r="B477" s="79" t="str">
        <f t="shared" si="0"/>
        <v/>
      </c>
      <c r="C477" s="84"/>
      <c r="D477" s="79" t="str">
        <f t="shared" si="1"/>
        <v/>
      </c>
      <c r="E477" s="84"/>
      <c r="F477" s="79" t="str">
        <f t="shared" si="2"/>
        <v/>
      </c>
      <c r="G477" s="79" t="str">
        <f t="shared" si="3"/>
        <v/>
      </c>
      <c r="H477" s="67"/>
      <c r="I477" s="67"/>
      <c r="J477" s="67"/>
      <c r="K477" s="89"/>
      <c r="L477" s="90"/>
      <c r="M477" s="90"/>
      <c r="N477" s="89"/>
      <c r="O477" s="89"/>
      <c r="P477" s="68"/>
      <c r="Q477" s="51"/>
      <c r="R477" s="51" t="str">
        <f t="shared" si="4"/>
        <v/>
      </c>
      <c r="S477" s="51" t="str">
        <f t="shared" si="5"/>
        <v/>
      </c>
      <c r="T477" s="51" t="str">
        <f t="shared" si="6"/>
        <v/>
      </c>
      <c r="U477" s="51"/>
      <c r="V477" s="51"/>
      <c r="W477" s="51"/>
      <c r="X477" s="51"/>
      <c r="Y477" s="51"/>
      <c r="Z477" s="51"/>
      <c r="AA477" s="51"/>
      <c r="AB477" s="51"/>
      <c r="AC477" s="51"/>
      <c r="AD477" s="51" t="s">
        <v>2434</v>
      </c>
      <c r="AE477" s="51" t="s">
        <v>2435</v>
      </c>
      <c r="AF477" s="51" t="str">
        <f t="shared" si="9"/>
        <v>A679078</v>
      </c>
      <c r="AG477" s="51" t="str">
        <f>VLOOKUP(AF477,AKT!$C$4:$E$324,3,FALSE)</f>
        <v>0942</v>
      </c>
    </row>
    <row r="478" spans="1:33" ht="15.75" customHeight="1">
      <c r="A478" s="84"/>
      <c r="B478" s="79" t="str">
        <f t="shared" si="0"/>
        <v/>
      </c>
      <c r="C478" s="84"/>
      <c r="D478" s="79" t="str">
        <f t="shared" si="1"/>
        <v/>
      </c>
      <c r="E478" s="84"/>
      <c r="F478" s="79" t="str">
        <f t="shared" si="2"/>
        <v/>
      </c>
      <c r="G478" s="79" t="str">
        <f t="shared" si="3"/>
        <v/>
      </c>
      <c r="H478" s="67"/>
      <c r="I478" s="67"/>
      <c r="J478" s="67"/>
      <c r="K478" s="89"/>
      <c r="L478" s="90"/>
      <c r="M478" s="90"/>
      <c r="N478" s="89"/>
      <c r="O478" s="89"/>
      <c r="P478" s="68"/>
      <c r="Q478" s="51"/>
      <c r="R478" s="51" t="str">
        <f t="shared" si="4"/>
        <v/>
      </c>
      <c r="S478" s="51" t="str">
        <f t="shared" si="5"/>
        <v/>
      </c>
      <c r="T478" s="51" t="str">
        <f t="shared" si="6"/>
        <v/>
      </c>
      <c r="U478" s="51"/>
      <c r="V478" s="51"/>
      <c r="W478" s="51"/>
      <c r="X478" s="51"/>
      <c r="Y478" s="51"/>
      <c r="Z478" s="51"/>
      <c r="AA478" s="51"/>
      <c r="AB478" s="51"/>
      <c r="AC478" s="51"/>
      <c r="AD478" s="51" t="s">
        <v>2436</v>
      </c>
      <c r="AE478" s="51" t="s">
        <v>2437</v>
      </c>
      <c r="AF478" s="51" t="str">
        <f t="shared" si="9"/>
        <v>A679078</v>
      </c>
      <c r="AG478" s="51" t="str">
        <f>VLOOKUP(AF478,AKT!$C$4:$E$324,3,FALSE)</f>
        <v>0942</v>
      </c>
    </row>
    <row r="479" spans="1:33" ht="15.75" customHeight="1">
      <c r="A479" s="84"/>
      <c r="B479" s="79" t="str">
        <f t="shared" si="0"/>
        <v/>
      </c>
      <c r="C479" s="84"/>
      <c r="D479" s="79" t="str">
        <f t="shared" si="1"/>
        <v/>
      </c>
      <c r="E479" s="84"/>
      <c r="F479" s="79" t="str">
        <f t="shared" si="2"/>
        <v/>
      </c>
      <c r="G479" s="79" t="str">
        <f t="shared" si="3"/>
        <v/>
      </c>
      <c r="H479" s="67"/>
      <c r="I479" s="67"/>
      <c r="J479" s="67"/>
      <c r="K479" s="89"/>
      <c r="L479" s="90"/>
      <c r="M479" s="90"/>
      <c r="N479" s="89"/>
      <c r="O479" s="89"/>
      <c r="P479" s="68"/>
      <c r="Q479" s="51"/>
      <c r="R479" s="51" t="str">
        <f t="shared" si="4"/>
        <v/>
      </c>
      <c r="S479" s="51" t="str">
        <f t="shared" si="5"/>
        <v/>
      </c>
      <c r="T479" s="51" t="str">
        <f t="shared" si="6"/>
        <v/>
      </c>
      <c r="U479" s="51"/>
      <c r="V479" s="51"/>
      <c r="W479" s="51"/>
      <c r="X479" s="51"/>
      <c r="Y479" s="51"/>
      <c r="Z479" s="51"/>
      <c r="AA479" s="51"/>
      <c r="AB479" s="51"/>
      <c r="AC479" s="51"/>
      <c r="AD479" s="51" t="s">
        <v>2438</v>
      </c>
      <c r="AE479" s="51" t="s">
        <v>2439</v>
      </c>
      <c r="AF479" s="51" t="str">
        <f t="shared" si="9"/>
        <v>A679078</v>
      </c>
      <c r="AG479" s="51" t="str">
        <f>VLOOKUP(AF479,AKT!$C$4:$E$324,3,FALSE)</f>
        <v>0942</v>
      </c>
    </row>
    <row r="480" spans="1:33" ht="15.75" customHeight="1">
      <c r="A480" s="84"/>
      <c r="B480" s="79" t="str">
        <f t="shared" si="0"/>
        <v/>
      </c>
      <c r="C480" s="84"/>
      <c r="D480" s="79" t="str">
        <f t="shared" si="1"/>
        <v/>
      </c>
      <c r="E480" s="84"/>
      <c r="F480" s="79" t="str">
        <f t="shared" si="2"/>
        <v/>
      </c>
      <c r="G480" s="79" t="str">
        <f t="shared" si="3"/>
        <v/>
      </c>
      <c r="H480" s="67"/>
      <c r="I480" s="67"/>
      <c r="J480" s="67"/>
      <c r="K480" s="89"/>
      <c r="L480" s="90"/>
      <c r="M480" s="90"/>
      <c r="N480" s="89"/>
      <c r="O480" s="89"/>
      <c r="P480" s="68"/>
      <c r="Q480" s="51"/>
      <c r="R480" s="51" t="str">
        <f t="shared" si="4"/>
        <v/>
      </c>
      <c r="S480" s="51" t="str">
        <f t="shared" si="5"/>
        <v/>
      </c>
      <c r="T480" s="51" t="str">
        <f t="shared" si="6"/>
        <v/>
      </c>
      <c r="U480" s="51"/>
      <c r="V480" s="51"/>
      <c r="W480" s="51"/>
      <c r="X480" s="51"/>
      <c r="Y480" s="51"/>
      <c r="Z480" s="51"/>
      <c r="AA480" s="51"/>
      <c r="AB480" s="51"/>
      <c r="AC480" s="51"/>
      <c r="AD480" s="51" t="s">
        <v>2440</v>
      </c>
      <c r="AE480" s="51" t="s">
        <v>2441</v>
      </c>
      <c r="AF480" s="51" t="str">
        <f t="shared" si="9"/>
        <v>A679078</v>
      </c>
      <c r="AG480" s="51" t="str">
        <f>VLOOKUP(AF480,AKT!$C$4:$E$324,3,FALSE)</f>
        <v>0942</v>
      </c>
    </row>
    <row r="481" spans="1:33" ht="15.75" customHeight="1">
      <c r="A481" s="84"/>
      <c r="B481" s="79" t="str">
        <f t="shared" si="0"/>
        <v/>
      </c>
      <c r="C481" s="84"/>
      <c r="D481" s="79" t="str">
        <f t="shared" si="1"/>
        <v/>
      </c>
      <c r="E481" s="84"/>
      <c r="F481" s="79" t="str">
        <f t="shared" si="2"/>
        <v/>
      </c>
      <c r="G481" s="79" t="str">
        <f t="shared" si="3"/>
        <v/>
      </c>
      <c r="H481" s="67"/>
      <c r="I481" s="67"/>
      <c r="J481" s="67"/>
      <c r="K481" s="89"/>
      <c r="L481" s="90"/>
      <c r="M481" s="90"/>
      <c r="N481" s="89"/>
      <c r="O481" s="89"/>
      <c r="P481" s="68"/>
      <c r="Q481" s="51"/>
      <c r="R481" s="51" t="str">
        <f t="shared" si="4"/>
        <v/>
      </c>
      <c r="S481" s="51" t="str">
        <f t="shared" si="5"/>
        <v/>
      </c>
      <c r="T481" s="51" t="str">
        <f t="shared" si="6"/>
        <v/>
      </c>
      <c r="U481" s="51"/>
      <c r="V481" s="51"/>
      <c r="W481" s="51"/>
      <c r="X481" s="51"/>
      <c r="Y481" s="51"/>
      <c r="Z481" s="51"/>
      <c r="AA481" s="51"/>
      <c r="AB481" s="51"/>
      <c r="AC481" s="51"/>
      <c r="AD481" s="51" t="s">
        <v>2442</v>
      </c>
      <c r="AE481" s="51" t="s">
        <v>2443</v>
      </c>
      <c r="AF481" s="51" t="str">
        <f t="shared" si="9"/>
        <v>A679078</v>
      </c>
      <c r="AG481" s="51" t="str">
        <f>VLOOKUP(AF481,AKT!$C$4:$E$324,3,FALSE)</f>
        <v>0942</v>
      </c>
    </row>
    <row r="482" spans="1:33" ht="15.75" customHeight="1">
      <c r="A482" s="84"/>
      <c r="B482" s="79" t="str">
        <f t="shared" si="0"/>
        <v/>
      </c>
      <c r="C482" s="84"/>
      <c r="D482" s="79" t="str">
        <f t="shared" si="1"/>
        <v/>
      </c>
      <c r="E482" s="84"/>
      <c r="F482" s="79" t="str">
        <f t="shared" si="2"/>
        <v/>
      </c>
      <c r="G482" s="79" t="str">
        <f t="shared" si="3"/>
        <v/>
      </c>
      <c r="H482" s="67"/>
      <c r="I482" s="67"/>
      <c r="J482" s="67"/>
      <c r="K482" s="89"/>
      <c r="L482" s="90"/>
      <c r="M482" s="90"/>
      <c r="N482" s="89"/>
      <c r="O482" s="89"/>
      <c r="P482" s="68"/>
      <c r="Q482" s="51"/>
      <c r="R482" s="51" t="str">
        <f t="shared" si="4"/>
        <v/>
      </c>
      <c r="S482" s="51" t="str">
        <f t="shared" si="5"/>
        <v/>
      </c>
      <c r="T482" s="51" t="str">
        <f t="shared" si="6"/>
        <v/>
      </c>
      <c r="U482" s="51"/>
      <c r="V482" s="51"/>
      <c r="W482" s="51"/>
      <c r="X482" s="51"/>
      <c r="Y482" s="51"/>
      <c r="Z482" s="51"/>
      <c r="AA482" s="51"/>
      <c r="AB482" s="51"/>
      <c r="AC482" s="51"/>
      <c r="AD482" s="51" t="s">
        <v>2444</v>
      </c>
      <c r="AE482" s="51" t="s">
        <v>2445</v>
      </c>
      <c r="AF482" s="51" t="str">
        <f t="shared" si="9"/>
        <v>A679078</v>
      </c>
      <c r="AG482" s="51" t="str">
        <f>VLOOKUP(AF482,AKT!$C$4:$E$324,3,FALSE)</f>
        <v>0942</v>
      </c>
    </row>
    <row r="483" spans="1:33" ht="15.75" customHeight="1">
      <c r="A483" s="84"/>
      <c r="B483" s="79" t="str">
        <f t="shared" si="0"/>
        <v/>
      </c>
      <c r="C483" s="84"/>
      <c r="D483" s="79" t="str">
        <f t="shared" si="1"/>
        <v/>
      </c>
      <c r="E483" s="84"/>
      <c r="F483" s="79" t="str">
        <f t="shared" si="2"/>
        <v/>
      </c>
      <c r="G483" s="79" t="str">
        <f t="shared" si="3"/>
        <v/>
      </c>
      <c r="H483" s="67"/>
      <c r="I483" s="67"/>
      <c r="J483" s="67"/>
      <c r="K483" s="89"/>
      <c r="L483" s="90"/>
      <c r="M483" s="90"/>
      <c r="N483" s="89"/>
      <c r="O483" s="89"/>
      <c r="P483" s="68"/>
      <c r="Q483" s="51"/>
      <c r="R483" s="51" t="str">
        <f t="shared" si="4"/>
        <v/>
      </c>
      <c r="S483" s="51" t="str">
        <f t="shared" si="5"/>
        <v/>
      </c>
      <c r="T483" s="51" t="str">
        <f t="shared" si="6"/>
        <v/>
      </c>
      <c r="U483" s="51"/>
      <c r="V483" s="51"/>
      <c r="W483" s="51"/>
      <c r="X483" s="51"/>
      <c r="Y483" s="51"/>
      <c r="Z483" s="51"/>
      <c r="AA483" s="51"/>
      <c r="AB483" s="51"/>
      <c r="AC483" s="51"/>
      <c r="AD483" s="51" t="s">
        <v>2446</v>
      </c>
      <c r="AE483" s="51" t="s">
        <v>2447</v>
      </c>
      <c r="AF483" s="51" t="str">
        <f t="shared" si="9"/>
        <v>A679078</v>
      </c>
      <c r="AG483" s="51" t="str">
        <f>VLOOKUP(AF483,AKT!$C$4:$E$324,3,FALSE)</f>
        <v>0942</v>
      </c>
    </row>
    <row r="484" spans="1:33" ht="15.75" customHeight="1">
      <c r="A484" s="84"/>
      <c r="B484" s="79" t="str">
        <f t="shared" si="0"/>
        <v/>
      </c>
      <c r="C484" s="84"/>
      <c r="D484" s="79" t="str">
        <f t="shared" si="1"/>
        <v/>
      </c>
      <c r="E484" s="84"/>
      <c r="F484" s="79" t="str">
        <f t="shared" si="2"/>
        <v/>
      </c>
      <c r="G484" s="79" t="str">
        <f t="shared" si="3"/>
        <v/>
      </c>
      <c r="H484" s="67"/>
      <c r="I484" s="67"/>
      <c r="J484" s="67"/>
      <c r="K484" s="89"/>
      <c r="L484" s="90"/>
      <c r="M484" s="90"/>
      <c r="N484" s="89"/>
      <c r="O484" s="89"/>
      <c r="P484" s="68"/>
      <c r="Q484" s="51"/>
      <c r="R484" s="51" t="str">
        <f t="shared" si="4"/>
        <v/>
      </c>
      <c r="S484" s="51" t="str">
        <f t="shared" si="5"/>
        <v/>
      </c>
      <c r="T484" s="51" t="str">
        <f t="shared" si="6"/>
        <v/>
      </c>
      <c r="U484" s="51"/>
      <c r="V484" s="51"/>
      <c r="W484" s="51"/>
      <c r="X484" s="51"/>
      <c r="Y484" s="51"/>
      <c r="Z484" s="51"/>
      <c r="AA484" s="51"/>
      <c r="AB484" s="51"/>
      <c r="AC484" s="51"/>
      <c r="AD484" s="51" t="s">
        <v>2448</v>
      </c>
      <c r="AE484" s="51" t="s">
        <v>2449</v>
      </c>
      <c r="AF484" s="51" t="str">
        <f t="shared" si="9"/>
        <v>A679078</v>
      </c>
      <c r="AG484" s="51" t="str">
        <f>VLOOKUP(AF484,AKT!$C$4:$E$324,3,FALSE)</f>
        <v>0942</v>
      </c>
    </row>
    <row r="485" spans="1:33" ht="15.75" customHeight="1">
      <c r="A485" s="84"/>
      <c r="B485" s="79" t="str">
        <f t="shared" si="0"/>
        <v/>
      </c>
      <c r="C485" s="84"/>
      <c r="D485" s="79" t="str">
        <f t="shared" si="1"/>
        <v/>
      </c>
      <c r="E485" s="84"/>
      <c r="F485" s="79" t="str">
        <f t="shared" si="2"/>
        <v/>
      </c>
      <c r="G485" s="79" t="str">
        <f t="shared" si="3"/>
        <v/>
      </c>
      <c r="H485" s="67"/>
      <c r="I485" s="67"/>
      <c r="J485" s="67"/>
      <c r="K485" s="89"/>
      <c r="L485" s="90"/>
      <c r="M485" s="90"/>
      <c r="N485" s="89"/>
      <c r="O485" s="89"/>
      <c r="P485" s="68"/>
      <c r="Q485" s="51"/>
      <c r="R485" s="51" t="str">
        <f t="shared" si="4"/>
        <v/>
      </c>
      <c r="S485" s="51" t="str">
        <f t="shared" si="5"/>
        <v/>
      </c>
      <c r="T485" s="51" t="str">
        <f t="shared" si="6"/>
        <v/>
      </c>
      <c r="U485" s="51"/>
      <c r="V485" s="51"/>
      <c r="W485" s="51"/>
      <c r="X485" s="51"/>
      <c r="Y485" s="51"/>
      <c r="Z485" s="51"/>
      <c r="AA485" s="51"/>
      <c r="AB485" s="51"/>
      <c r="AC485" s="51"/>
      <c r="AD485" s="51" t="s">
        <v>2450</v>
      </c>
      <c r="AE485" s="51" t="s">
        <v>2451</v>
      </c>
      <c r="AF485" s="51" t="str">
        <f t="shared" si="9"/>
        <v>A679078</v>
      </c>
      <c r="AG485" s="51" t="str">
        <f>VLOOKUP(AF485,AKT!$C$4:$E$324,3,FALSE)</f>
        <v>0942</v>
      </c>
    </row>
    <row r="486" spans="1:33" ht="15.75" customHeight="1">
      <c r="A486" s="84"/>
      <c r="B486" s="79" t="str">
        <f t="shared" si="0"/>
        <v/>
      </c>
      <c r="C486" s="84"/>
      <c r="D486" s="79" t="str">
        <f t="shared" si="1"/>
        <v/>
      </c>
      <c r="E486" s="84"/>
      <c r="F486" s="79" t="str">
        <f t="shared" si="2"/>
        <v/>
      </c>
      <c r="G486" s="79" t="str">
        <f t="shared" si="3"/>
        <v/>
      </c>
      <c r="H486" s="67"/>
      <c r="I486" s="67"/>
      <c r="J486" s="67"/>
      <c r="K486" s="89"/>
      <c r="L486" s="90"/>
      <c r="M486" s="90"/>
      <c r="N486" s="89"/>
      <c r="O486" s="89"/>
      <c r="P486" s="68"/>
      <c r="Q486" s="51"/>
      <c r="R486" s="51" t="str">
        <f t="shared" si="4"/>
        <v/>
      </c>
      <c r="S486" s="51" t="str">
        <f t="shared" si="5"/>
        <v/>
      </c>
      <c r="T486" s="51" t="str">
        <f t="shared" si="6"/>
        <v/>
      </c>
      <c r="U486" s="51"/>
      <c r="V486" s="51"/>
      <c r="W486" s="51"/>
      <c r="X486" s="51"/>
      <c r="Y486" s="51"/>
      <c r="Z486" s="51"/>
      <c r="AA486" s="51"/>
      <c r="AB486" s="51"/>
      <c r="AC486" s="51"/>
      <c r="AD486" s="51" t="s">
        <v>2452</v>
      </c>
      <c r="AE486" s="51" t="s">
        <v>2453</v>
      </c>
      <c r="AF486" s="51" t="str">
        <f t="shared" si="9"/>
        <v>A679078</v>
      </c>
      <c r="AG486" s="51" t="str">
        <f>VLOOKUP(AF486,AKT!$C$4:$E$324,3,FALSE)</f>
        <v>0942</v>
      </c>
    </row>
    <row r="487" spans="1:33" ht="15.75" customHeight="1">
      <c r="A487" s="84"/>
      <c r="B487" s="79" t="str">
        <f t="shared" si="0"/>
        <v/>
      </c>
      <c r="C487" s="84"/>
      <c r="D487" s="79" t="str">
        <f t="shared" si="1"/>
        <v/>
      </c>
      <c r="E487" s="84"/>
      <c r="F487" s="79" t="str">
        <f t="shared" si="2"/>
        <v/>
      </c>
      <c r="G487" s="79" t="str">
        <f t="shared" si="3"/>
        <v/>
      </c>
      <c r="H487" s="67"/>
      <c r="I487" s="67"/>
      <c r="J487" s="67"/>
      <c r="K487" s="89"/>
      <c r="L487" s="90"/>
      <c r="M487" s="90"/>
      <c r="N487" s="89"/>
      <c r="O487" s="89"/>
      <c r="P487" s="68"/>
      <c r="Q487" s="51"/>
      <c r="R487" s="51" t="str">
        <f t="shared" si="4"/>
        <v/>
      </c>
      <c r="S487" s="51" t="str">
        <f t="shared" si="5"/>
        <v/>
      </c>
      <c r="T487" s="51" t="str">
        <f t="shared" si="6"/>
        <v/>
      </c>
      <c r="U487" s="51"/>
      <c r="V487" s="51"/>
      <c r="W487" s="51"/>
      <c r="X487" s="51"/>
      <c r="Y487" s="51"/>
      <c r="Z487" s="51"/>
      <c r="AA487" s="51"/>
      <c r="AB487" s="51"/>
      <c r="AC487" s="51"/>
      <c r="AD487" s="51" t="s">
        <v>2454</v>
      </c>
      <c r="AE487" s="51" t="s">
        <v>2455</v>
      </c>
      <c r="AF487" s="51" t="str">
        <f t="shared" si="9"/>
        <v>A679078</v>
      </c>
      <c r="AG487" s="51" t="str">
        <f>VLOOKUP(AF487,AKT!$C$4:$E$324,3,FALSE)</f>
        <v>0942</v>
      </c>
    </row>
    <row r="488" spans="1:33" ht="15.75" customHeight="1">
      <c r="A488" s="84"/>
      <c r="B488" s="79" t="str">
        <f t="shared" si="0"/>
        <v/>
      </c>
      <c r="C488" s="84"/>
      <c r="D488" s="79" t="str">
        <f t="shared" si="1"/>
        <v/>
      </c>
      <c r="E488" s="84"/>
      <c r="F488" s="79" t="str">
        <f t="shared" si="2"/>
        <v/>
      </c>
      <c r="G488" s="79" t="str">
        <f t="shared" si="3"/>
        <v/>
      </c>
      <c r="H488" s="67"/>
      <c r="I488" s="67"/>
      <c r="J488" s="67"/>
      <c r="K488" s="89"/>
      <c r="L488" s="90"/>
      <c r="M488" s="90"/>
      <c r="N488" s="89"/>
      <c r="O488" s="89"/>
      <c r="P488" s="68"/>
      <c r="Q488" s="51"/>
      <c r="R488" s="51" t="str">
        <f t="shared" si="4"/>
        <v/>
      </c>
      <c r="S488" s="51" t="str">
        <f t="shared" si="5"/>
        <v/>
      </c>
      <c r="T488" s="51" t="str">
        <f t="shared" si="6"/>
        <v/>
      </c>
      <c r="U488" s="51"/>
      <c r="V488" s="51"/>
      <c r="W488" s="51"/>
      <c r="X488" s="51"/>
      <c r="Y488" s="51"/>
      <c r="Z488" s="51"/>
      <c r="AA488" s="51"/>
      <c r="AB488" s="51"/>
      <c r="AC488" s="51"/>
      <c r="AD488" s="51" t="s">
        <v>2456</v>
      </c>
      <c r="AE488" s="51" t="s">
        <v>2457</v>
      </c>
      <c r="AF488" s="51" t="str">
        <f t="shared" si="9"/>
        <v>A679078</v>
      </c>
      <c r="AG488" s="51" t="str">
        <f>VLOOKUP(AF488,AKT!$C$4:$E$324,3,FALSE)</f>
        <v>0942</v>
      </c>
    </row>
    <row r="489" spans="1:33" ht="15.75" customHeight="1">
      <c r="A489" s="84"/>
      <c r="B489" s="79" t="str">
        <f t="shared" si="0"/>
        <v/>
      </c>
      <c r="C489" s="84"/>
      <c r="D489" s="79" t="str">
        <f t="shared" si="1"/>
        <v/>
      </c>
      <c r="E489" s="84"/>
      <c r="F489" s="79" t="str">
        <f t="shared" si="2"/>
        <v/>
      </c>
      <c r="G489" s="79" t="str">
        <f t="shared" si="3"/>
        <v/>
      </c>
      <c r="H489" s="67"/>
      <c r="I489" s="67"/>
      <c r="J489" s="67"/>
      <c r="K489" s="89"/>
      <c r="L489" s="90"/>
      <c r="M489" s="90"/>
      <c r="N489" s="89"/>
      <c r="O489" s="89"/>
      <c r="P489" s="68"/>
      <c r="Q489" s="51"/>
      <c r="R489" s="51" t="str">
        <f t="shared" si="4"/>
        <v/>
      </c>
      <c r="S489" s="51" t="str">
        <f t="shared" si="5"/>
        <v/>
      </c>
      <c r="T489" s="51" t="str">
        <f t="shared" si="6"/>
        <v/>
      </c>
      <c r="U489" s="51"/>
      <c r="V489" s="51"/>
      <c r="W489" s="51"/>
      <c r="X489" s="51"/>
      <c r="Y489" s="51"/>
      <c r="Z489" s="51"/>
      <c r="AA489" s="51"/>
      <c r="AB489" s="51"/>
      <c r="AC489" s="51"/>
      <c r="AD489" s="51" t="s">
        <v>2458</v>
      </c>
      <c r="AE489" s="51" t="s">
        <v>2459</v>
      </c>
      <c r="AF489" s="51" t="str">
        <f t="shared" si="9"/>
        <v>A679078</v>
      </c>
      <c r="AG489" s="51" t="str">
        <f>VLOOKUP(AF489,AKT!$C$4:$E$324,3,FALSE)</f>
        <v>0942</v>
      </c>
    </row>
    <row r="490" spans="1:33" ht="15.75" customHeight="1">
      <c r="A490" s="84"/>
      <c r="B490" s="79" t="str">
        <f t="shared" si="0"/>
        <v/>
      </c>
      <c r="C490" s="84"/>
      <c r="D490" s="79" t="str">
        <f t="shared" si="1"/>
        <v/>
      </c>
      <c r="E490" s="84"/>
      <c r="F490" s="79" t="str">
        <f t="shared" si="2"/>
        <v/>
      </c>
      <c r="G490" s="79" t="str">
        <f t="shared" si="3"/>
        <v/>
      </c>
      <c r="H490" s="67"/>
      <c r="I490" s="67"/>
      <c r="J490" s="67"/>
      <c r="K490" s="89"/>
      <c r="L490" s="90"/>
      <c r="M490" s="90"/>
      <c r="N490" s="89"/>
      <c r="O490" s="89"/>
      <c r="P490" s="68"/>
      <c r="Q490" s="51"/>
      <c r="R490" s="51" t="str">
        <f t="shared" si="4"/>
        <v/>
      </c>
      <c r="S490" s="51" t="str">
        <f t="shared" si="5"/>
        <v/>
      </c>
      <c r="T490" s="51" t="str">
        <f t="shared" si="6"/>
        <v/>
      </c>
      <c r="U490" s="51"/>
      <c r="V490" s="51"/>
      <c r="W490" s="51"/>
      <c r="X490" s="51"/>
      <c r="Y490" s="51"/>
      <c r="Z490" s="51"/>
      <c r="AA490" s="51"/>
      <c r="AB490" s="51"/>
      <c r="AC490" s="51"/>
      <c r="AD490" s="51" t="s">
        <v>2460</v>
      </c>
      <c r="AE490" s="51" t="s">
        <v>2461</v>
      </c>
      <c r="AF490" s="51" t="str">
        <f t="shared" si="9"/>
        <v>A679078</v>
      </c>
      <c r="AG490" s="51" t="str">
        <f>VLOOKUP(AF490,AKT!$C$4:$E$324,3,FALSE)</f>
        <v>0942</v>
      </c>
    </row>
    <row r="491" spans="1:33" ht="15.75" customHeight="1">
      <c r="A491" s="84"/>
      <c r="B491" s="79" t="str">
        <f t="shared" si="0"/>
        <v/>
      </c>
      <c r="C491" s="84"/>
      <c r="D491" s="79" t="str">
        <f t="shared" si="1"/>
        <v/>
      </c>
      <c r="E491" s="84"/>
      <c r="F491" s="79" t="str">
        <f t="shared" si="2"/>
        <v/>
      </c>
      <c r="G491" s="79" t="str">
        <f t="shared" si="3"/>
        <v/>
      </c>
      <c r="H491" s="67"/>
      <c r="I491" s="67"/>
      <c r="J491" s="67"/>
      <c r="K491" s="89"/>
      <c r="L491" s="90"/>
      <c r="M491" s="90"/>
      <c r="N491" s="89"/>
      <c r="O491" s="89"/>
      <c r="P491" s="68"/>
      <c r="Q491" s="51"/>
      <c r="R491" s="51" t="str">
        <f t="shared" si="4"/>
        <v/>
      </c>
      <c r="S491" s="51" t="str">
        <f t="shared" si="5"/>
        <v/>
      </c>
      <c r="T491" s="51" t="str">
        <f t="shared" si="6"/>
        <v/>
      </c>
      <c r="U491" s="51"/>
      <c r="V491" s="51"/>
      <c r="W491" s="51"/>
      <c r="X491" s="51"/>
      <c r="Y491" s="51"/>
      <c r="Z491" s="51"/>
      <c r="AA491" s="51"/>
      <c r="AB491" s="51"/>
      <c r="AC491" s="51"/>
      <c r="AD491" s="51" t="s">
        <v>2462</v>
      </c>
      <c r="AE491" s="51" t="s">
        <v>2463</v>
      </c>
      <c r="AF491" s="51" t="str">
        <f t="shared" si="9"/>
        <v>A679078</v>
      </c>
      <c r="AG491" s="51" t="str">
        <f>VLOOKUP(AF491,AKT!$C$4:$E$324,3,FALSE)</f>
        <v>0942</v>
      </c>
    </row>
    <row r="492" spans="1:33" ht="15.75" customHeight="1">
      <c r="A492" s="84"/>
      <c r="B492" s="79" t="str">
        <f t="shared" si="0"/>
        <v/>
      </c>
      <c r="C492" s="84"/>
      <c r="D492" s="79" t="str">
        <f t="shared" si="1"/>
        <v/>
      </c>
      <c r="E492" s="84"/>
      <c r="F492" s="79" t="str">
        <f t="shared" si="2"/>
        <v/>
      </c>
      <c r="G492" s="79" t="str">
        <f t="shared" si="3"/>
        <v/>
      </c>
      <c r="H492" s="67"/>
      <c r="I492" s="67"/>
      <c r="J492" s="67"/>
      <c r="K492" s="89"/>
      <c r="L492" s="90"/>
      <c r="M492" s="90"/>
      <c r="N492" s="89"/>
      <c r="O492" s="89"/>
      <c r="P492" s="68"/>
      <c r="Q492" s="51"/>
      <c r="R492" s="51" t="str">
        <f t="shared" si="4"/>
        <v/>
      </c>
      <c r="S492" s="51" t="str">
        <f t="shared" si="5"/>
        <v/>
      </c>
      <c r="T492" s="51" t="str">
        <f t="shared" si="6"/>
        <v/>
      </c>
      <c r="U492" s="51"/>
      <c r="V492" s="51"/>
      <c r="W492" s="51"/>
      <c r="X492" s="51"/>
      <c r="Y492" s="51"/>
      <c r="Z492" s="51"/>
      <c r="AA492" s="51"/>
      <c r="AB492" s="51"/>
      <c r="AC492" s="51"/>
      <c r="AD492" s="51" t="s">
        <v>2464</v>
      </c>
      <c r="AE492" s="51" t="s">
        <v>2465</v>
      </c>
      <c r="AF492" s="51" t="str">
        <f t="shared" si="9"/>
        <v>A679078</v>
      </c>
      <c r="AG492" s="51" t="str">
        <f>VLOOKUP(AF492,AKT!$C$4:$E$324,3,FALSE)</f>
        <v>0942</v>
      </c>
    </row>
    <row r="493" spans="1:33" ht="15.75" customHeight="1">
      <c r="A493" s="84"/>
      <c r="B493" s="79" t="str">
        <f t="shared" si="0"/>
        <v/>
      </c>
      <c r="C493" s="84"/>
      <c r="D493" s="79" t="str">
        <f t="shared" si="1"/>
        <v/>
      </c>
      <c r="E493" s="84"/>
      <c r="F493" s="79" t="str">
        <f t="shared" si="2"/>
        <v/>
      </c>
      <c r="G493" s="79" t="str">
        <f t="shared" si="3"/>
        <v/>
      </c>
      <c r="H493" s="67"/>
      <c r="I493" s="67"/>
      <c r="J493" s="67"/>
      <c r="K493" s="89"/>
      <c r="L493" s="90"/>
      <c r="M493" s="90"/>
      <c r="N493" s="89"/>
      <c r="O493" s="89"/>
      <c r="P493" s="68"/>
      <c r="Q493" s="51"/>
      <c r="R493" s="51" t="str">
        <f t="shared" si="4"/>
        <v/>
      </c>
      <c r="S493" s="51" t="str">
        <f t="shared" si="5"/>
        <v/>
      </c>
      <c r="T493" s="51" t="str">
        <f t="shared" si="6"/>
        <v/>
      </c>
      <c r="U493" s="51"/>
      <c r="V493" s="51"/>
      <c r="W493" s="51"/>
      <c r="X493" s="51"/>
      <c r="Y493" s="51"/>
      <c r="Z493" s="51"/>
      <c r="AA493" s="51"/>
      <c r="AB493" s="51"/>
      <c r="AC493" s="51"/>
      <c r="AD493" s="51" t="s">
        <v>2466</v>
      </c>
      <c r="AE493" s="51" t="s">
        <v>2467</v>
      </c>
      <c r="AF493" s="51" t="str">
        <f t="shared" si="9"/>
        <v>A679078</v>
      </c>
      <c r="AG493" s="51" t="str">
        <f>VLOOKUP(AF493,AKT!$C$4:$E$324,3,FALSE)</f>
        <v>0942</v>
      </c>
    </row>
    <row r="494" spans="1:33" ht="15.75" customHeight="1">
      <c r="A494" s="84"/>
      <c r="B494" s="79" t="str">
        <f t="shared" si="0"/>
        <v/>
      </c>
      <c r="C494" s="84"/>
      <c r="D494" s="79" t="str">
        <f t="shared" si="1"/>
        <v/>
      </c>
      <c r="E494" s="84"/>
      <c r="F494" s="79" t="str">
        <f t="shared" si="2"/>
        <v/>
      </c>
      <c r="G494" s="79" t="str">
        <f t="shared" si="3"/>
        <v/>
      </c>
      <c r="H494" s="67"/>
      <c r="I494" s="67"/>
      <c r="J494" s="67"/>
      <c r="K494" s="89"/>
      <c r="L494" s="90"/>
      <c r="M494" s="90"/>
      <c r="N494" s="89"/>
      <c r="O494" s="89"/>
      <c r="P494" s="68"/>
      <c r="Q494" s="51"/>
      <c r="R494" s="51" t="str">
        <f t="shared" si="4"/>
        <v/>
      </c>
      <c r="S494" s="51" t="str">
        <f t="shared" si="5"/>
        <v/>
      </c>
      <c r="T494" s="51" t="str">
        <f t="shared" si="6"/>
        <v/>
      </c>
      <c r="U494" s="51"/>
      <c r="V494" s="51"/>
      <c r="W494" s="51"/>
      <c r="X494" s="51"/>
      <c r="Y494" s="51"/>
      <c r="Z494" s="51"/>
      <c r="AA494" s="51"/>
      <c r="AB494" s="51"/>
      <c r="AC494" s="51"/>
      <c r="AD494" s="51" t="s">
        <v>2468</v>
      </c>
      <c r="AE494" s="51" t="s">
        <v>2469</v>
      </c>
      <c r="AF494" s="51" t="str">
        <f t="shared" si="9"/>
        <v>A679078</v>
      </c>
      <c r="AG494" s="51" t="str">
        <f>VLOOKUP(AF494,AKT!$C$4:$E$324,3,FALSE)</f>
        <v>0942</v>
      </c>
    </row>
    <row r="495" spans="1:33" ht="15.75" customHeight="1">
      <c r="A495" s="84"/>
      <c r="B495" s="79" t="str">
        <f t="shared" si="0"/>
        <v/>
      </c>
      <c r="C495" s="84"/>
      <c r="D495" s="79" t="str">
        <f t="shared" si="1"/>
        <v/>
      </c>
      <c r="E495" s="84"/>
      <c r="F495" s="79" t="str">
        <f t="shared" si="2"/>
        <v/>
      </c>
      <c r="G495" s="79" t="str">
        <f t="shared" si="3"/>
        <v/>
      </c>
      <c r="H495" s="67"/>
      <c r="I495" s="67"/>
      <c r="J495" s="67"/>
      <c r="K495" s="89"/>
      <c r="L495" s="90"/>
      <c r="M495" s="90"/>
      <c r="N495" s="89"/>
      <c r="O495" s="89"/>
      <c r="P495" s="68"/>
      <c r="Q495" s="51"/>
      <c r="R495" s="51" t="str">
        <f t="shared" si="4"/>
        <v/>
      </c>
      <c r="S495" s="51" t="str">
        <f t="shared" si="5"/>
        <v/>
      </c>
      <c r="T495" s="51" t="str">
        <f t="shared" si="6"/>
        <v/>
      </c>
      <c r="U495" s="51"/>
      <c r="V495" s="51"/>
      <c r="W495" s="51"/>
      <c r="X495" s="51"/>
      <c r="Y495" s="51"/>
      <c r="Z495" s="51"/>
      <c r="AA495" s="51"/>
      <c r="AB495" s="51"/>
      <c r="AC495" s="51"/>
      <c r="AD495" s="51" t="s">
        <v>2470</v>
      </c>
      <c r="AE495" s="51" t="s">
        <v>2471</v>
      </c>
      <c r="AF495" s="51" t="str">
        <f t="shared" si="9"/>
        <v>A679078</v>
      </c>
      <c r="AG495" s="51" t="str">
        <f>VLOOKUP(AF495,AKT!$C$4:$E$324,3,FALSE)</f>
        <v>0942</v>
      </c>
    </row>
    <row r="496" spans="1:33" ht="15.75" customHeight="1">
      <c r="A496" s="84"/>
      <c r="B496" s="79" t="str">
        <f t="shared" si="0"/>
        <v/>
      </c>
      <c r="C496" s="84"/>
      <c r="D496" s="79" t="str">
        <f t="shared" si="1"/>
        <v/>
      </c>
      <c r="E496" s="84"/>
      <c r="F496" s="79" t="str">
        <f t="shared" si="2"/>
        <v/>
      </c>
      <c r="G496" s="79" t="str">
        <f t="shared" si="3"/>
        <v/>
      </c>
      <c r="H496" s="67"/>
      <c r="I496" s="67"/>
      <c r="J496" s="67"/>
      <c r="K496" s="89"/>
      <c r="L496" s="90"/>
      <c r="M496" s="90"/>
      <c r="N496" s="89"/>
      <c r="O496" s="89"/>
      <c r="P496" s="68"/>
      <c r="Q496" s="51"/>
      <c r="R496" s="51" t="str">
        <f t="shared" si="4"/>
        <v/>
      </c>
      <c r="S496" s="51" t="str">
        <f t="shared" si="5"/>
        <v/>
      </c>
      <c r="T496" s="51" t="str">
        <f t="shared" si="6"/>
        <v/>
      </c>
      <c r="U496" s="51"/>
      <c r="V496" s="51"/>
      <c r="W496" s="51"/>
      <c r="X496" s="51"/>
      <c r="Y496" s="51"/>
      <c r="Z496" s="51"/>
      <c r="AA496" s="51"/>
      <c r="AB496" s="51"/>
      <c r="AC496" s="51"/>
      <c r="AD496" s="51" t="s">
        <v>2472</v>
      </c>
      <c r="AE496" s="51" t="s">
        <v>2473</v>
      </c>
      <c r="AF496" s="51" t="str">
        <f t="shared" si="9"/>
        <v>A679078</v>
      </c>
      <c r="AG496" s="51" t="str">
        <f>VLOOKUP(AF496,AKT!$C$4:$E$324,3,FALSE)</f>
        <v>0942</v>
      </c>
    </row>
    <row r="497" spans="1:33" ht="15.75" customHeight="1">
      <c r="A497" s="84"/>
      <c r="B497" s="79" t="str">
        <f t="shared" si="0"/>
        <v/>
      </c>
      <c r="C497" s="84"/>
      <c r="D497" s="79" t="str">
        <f t="shared" si="1"/>
        <v/>
      </c>
      <c r="E497" s="84"/>
      <c r="F497" s="79" t="str">
        <f t="shared" si="2"/>
        <v/>
      </c>
      <c r="G497" s="79" t="str">
        <f t="shared" si="3"/>
        <v/>
      </c>
      <c r="H497" s="67"/>
      <c r="I497" s="67"/>
      <c r="J497" s="67"/>
      <c r="K497" s="89"/>
      <c r="L497" s="90"/>
      <c r="M497" s="90"/>
      <c r="N497" s="89"/>
      <c r="O497" s="89"/>
      <c r="P497" s="68"/>
      <c r="Q497" s="51"/>
      <c r="R497" s="51" t="str">
        <f t="shared" si="4"/>
        <v/>
      </c>
      <c r="S497" s="51" t="str">
        <f t="shared" si="5"/>
        <v/>
      </c>
      <c r="T497" s="51" t="str">
        <f t="shared" si="6"/>
        <v/>
      </c>
      <c r="U497" s="51"/>
      <c r="V497" s="51"/>
      <c r="W497" s="51"/>
      <c r="X497" s="51"/>
      <c r="Y497" s="51"/>
      <c r="Z497" s="51"/>
      <c r="AA497" s="51"/>
      <c r="AB497" s="51"/>
      <c r="AC497" s="51"/>
      <c r="AD497" s="51" t="s">
        <v>2474</v>
      </c>
      <c r="AE497" s="51" t="s">
        <v>2475</v>
      </c>
      <c r="AF497" s="51" t="str">
        <f t="shared" si="9"/>
        <v>A679078</v>
      </c>
      <c r="AG497" s="51" t="str">
        <f>VLOOKUP(AF497,AKT!$C$4:$E$324,3,FALSE)</f>
        <v>0942</v>
      </c>
    </row>
    <row r="498" spans="1:33" ht="15.75" customHeight="1">
      <c r="A498" s="84"/>
      <c r="B498" s="79" t="str">
        <f t="shared" si="0"/>
        <v/>
      </c>
      <c r="C498" s="84"/>
      <c r="D498" s="79" t="str">
        <f t="shared" si="1"/>
        <v/>
      </c>
      <c r="E498" s="84"/>
      <c r="F498" s="79" t="str">
        <f t="shared" si="2"/>
        <v/>
      </c>
      <c r="G498" s="79" t="str">
        <f t="shared" si="3"/>
        <v/>
      </c>
      <c r="H498" s="67"/>
      <c r="I498" s="67"/>
      <c r="J498" s="67"/>
      <c r="K498" s="89"/>
      <c r="L498" s="90"/>
      <c r="M498" s="90"/>
      <c r="N498" s="89"/>
      <c r="O498" s="89"/>
      <c r="P498" s="68"/>
      <c r="Q498" s="51"/>
      <c r="R498" s="51" t="str">
        <f t="shared" si="4"/>
        <v/>
      </c>
      <c r="S498" s="51" t="str">
        <f t="shared" si="5"/>
        <v/>
      </c>
      <c r="T498" s="51" t="str">
        <f t="shared" si="6"/>
        <v/>
      </c>
      <c r="U498" s="51"/>
      <c r="V498" s="51"/>
      <c r="W498" s="51"/>
      <c r="X498" s="51"/>
      <c r="Y498" s="51"/>
      <c r="Z498" s="51"/>
      <c r="AA498" s="51"/>
      <c r="AB498" s="51"/>
      <c r="AC498" s="51"/>
      <c r="AD498" s="51" t="s">
        <v>2476</v>
      </c>
      <c r="AE498" s="51" t="s">
        <v>2477</v>
      </c>
      <c r="AF498" s="51" t="str">
        <f t="shared" si="9"/>
        <v>A679078</v>
      </c>
      <c r="AG498" s="51" t="str">
        <f>VLOOKUP(AF498,AKT!$C$4:$E$324,3,FALSE)</f>
        <v>0942</v>
      </c>
    </row>
    <row r="499" spans="1:33" ht="15.75" customHeight="1">
      <c r="A499" s="84"/>
      <c r="B499" s="79" t="str">
        <f t="shared" si="0"/>
        <v/>
      </c>
      <c r="C499" s="84"/>
      <c r="D499" s="79" t="str">
        <f t="shared" si="1"/>
        <v/>
      </c>
      <c r="E499" s="84"/>
      <c r="F499" s="79" t="str">
        <f t="shared" si="2"/>
        <v/>
      </c>
      <c r="G499" s="79" t="str">
        <f t="shared" si="3"/>
        <v/>
      </c>
      <c r="H499" s="67"/>
      <c r="I499" s="67"/>
      <c r="J499" s="67"/>
      <c r="K499" s="89"/>
      <c r="L499" s="90"/>
      <c r="M499" s="90"/>
      <c r="N499" s="89"/>
      <c r="O499" s="89"/>
      <c r="P499" s="68"/>
      <c r="Q499" s="51"/>
      <c r="R499" s="51" t="str">
        <f t="shared" si="4"/>
        <v/>
      </c>
      <c r="S499" s="51" t="str">
        <f t="shared" si="5"/>
        <v/>
      </c>
      <c r="T499" s="51" t="str">
        <f t="shared" si="6"/>
        <v/>
      </c>
      <c r="U499" s="51"/>
      <c r="V499" s="51"/>
      <c r="W499" s="51"/>
      <c r="X499" s="51"/>
      <c r="Y499" s="51"/>
      <c r="Z499" s="51"/>
      <c r="AA499" s="51"/>
      <c r="AB499" s="51"/>
      <c r="AC499" s="51"/>
      <c r="AD499" s="51" t="s">
        <v>2478</v>
      </c>
      <c r="AE499" s="51" t="s">
        <v>2479</v>
      </c>
      <c r="AF499" s="51" t="str">
        <f t="shared" si="9"/>
        <v>A679078</v>
      </c>
      <c r="AG499" s="51" t="str">
        <f>VLOOKUP(AF499,AKT!$C$4:$E$324,3,FALSE)</f>
        <v>0942</v>
      </c>
    </row>
    <row r="500" spans="1:33" ht="15.75" customHeight="1">
      <c r="A500" s="84"/>
      <c r="B500" s="79" t="str">
        <f t="shared" si="0"/>
        <v/>
      </c>
      <c r="C500" s="84"/>
      <c r="D500" s="79" t="str">
        <f t="shared" si="1"/>
        <v/>
      </c>
      <c r="E500" s="84"/>
      <c r="F500" s="79" t="str">
        <f t="shared" si="2"/>
        <v/>
      </c>
      <c r="G500" s="79" t="str">
        <f t="shared" si="3"/>
        <v/>
      </c>
      <c r="H500" s="67"/>
      <c r="I500" s="67"/>
      <c r="J500" s="67"/>
      <c r="K500" s="89"/>
      <c r="L500" s="90"/>
      <c r="M500" s="90"/>
      <c r="N500" s="89"/>
      <c r="O500" s="89"/>
      <c r="P500" s="68"/>
      <c r="Q500" s="51"/>
      <c r="R500" s="51" t="str">
        <f t="shared" si="4"/>
        <v/>
      </c>
      <c r="S500" s="51" t="str">
        <f t="shared" si="5"/>
        <v/>
      </c>
      <c r="T500" s="51" t="str">
        <f t="shared" si="6"/>
        <v/>
      </c>
      <c r="U500" s="51"/>
      <c r="V500" s="51"/>
      <c r="W500" s="51"/>
      <c r="X500" s="51"/>
      <c r="Y500" s="51"/>
      <c r="Z500" s="51"/>
      <c r="AA500" s="51"/>
      <c r="AB500" s="51"/>
      <c r="AC500" s="51"/>
      <c r="AD500" s="51" t="s">
        <v>2480</v>
      </c>
      <c r="AE500" s="51" t="s">
        <v>2481</v>
      </c>
      <c r="AF500" s="51" t="str">
        <f t="shared" si="9"/>
        <v>A679078</v>
      </c>
      <c r="AG500" s="51" t="str">
        <f>VLOOKUP(AF500,AKT!$C$4:$E$324,3,FALSE)</f>
        <v>0942</v>
      </c>
    </row>
    <row r="501" spans="1:33" ht="15.75" customHeight="1">
      <c r="A501" s="84"/>
      <c r="B501" s="79" t="str">
        <f t="shared" si="0"/>
        <v/>
      </c>
      <c r="C501" s="84"/>
      <c r="D501" s="79" t="str">
        <f t="shared" si="1"/>
        <v/>
      </c>
      <c r="E501" s="84"/>
      <c r="F501" s="79" t="str">
        <f t="shared" si="2"/>
        <v/>
      </c>
      <c r="G501" s="79" t="str">
        <f t="shared" si="3"/>
        <v/>
      </c>
      <c r="H501" s="67"/>
      <c r="I501" s="67"/>
      <c r="J501" s="67"/>
      <c r="K501" s="89"/>
      <c r="L501" s="90"/>
      <c r="M501" s="90"/>
      <c r="N501" s="89"/>
      <c r="O501" s="89"/>
      <c r="P501" s="68"/>
      <c r="Q501" s="51"/>
      <c r="R501" s="51" t="str">
        <f t="shared" si="4"/>
        <v/>
      </c>
      <c r="S501" s="51" t="str">
        <f t="shared" si="5"/>
        <v/>
      </c>
      <c r="T501" s="51" t="str">
        <f t="shared" si="6"/>
        <v/>
      </c>
      <c r="U501" s="51"/>
      <c r="V501" s="51"/>
      <c r="W501" s="51"/>
      <c r="X501" s="51"/>
      <c r="Y501" s="51"/>
      <c r="Z501" s="51"/>
      <c r="AA501" s="51"/>
      <c r="AB501" s="51"/>
      <c r="AC501" s="51"/>
      <c r="AD501" s="51" t="s">
        <v>2482</v>
      </c>
      <c r="AE501" s="51" t="s">
        <v>2483</v>
      </c>
      <c r="AF501" s="51" t="str">
        <f t="shared" si="9"/>
        <v>A679078</v>
      </c>
      <c r="AG501" s="51" t="str">
        <f>VLOOKUP(AF501,AKT!$C$4:$E$324,3,FALSE)</f>
        <v>0942</v>
      </c>
    </row>
    <row r="502" spans="1:33" ht="15.75" customHeight="1">
      <c r="A502" s="51"/>
      <c r="B502" s="51"/>
      <c r="C502" s="51"/>
      <c r="D502" s="51"/>
      <c r="E502" s="51"/>
      <c r="F502" s="51"/>
      <c r="G502" s="51"/>
      <c r="H502" s="55"/>
      <c r="I502" s="55"/>
      <c r="J502" s="55"/>
      <c r="K502" s="55"/>
      <c r="L502" s="55"/>
      <c r="M502" s="55"/>
      <c r="N502" s="55"/>
      <c r="O502" s="55"/>
      <c r="P502" s="55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51"/>
      <c r="AC502" s="51"/>
      <c r="AD502" s="51" t="s">
        <v>2484</v>
      </c>
      <c r="AE502" s="51" t="s">
        <v>2485</v>
      </c>
      <c r="AF502" s="51" t="str">
        <f t="shared" si="9"/>
        <v>A679078</v>
      </c>
      <c r="AG502" s="51" t="str">
        <f>VLOOKUP(AF502,AKT!$C$4:$E$324,3,FALSE)</f>
        <v>0942</v>
      </c>
    </row>
    <row r="503" spans="1:33" ht="15.75" hidden="1" customHeight="1">
      <c r="A503" s="51"/>
      <c r="B503" s="51"/>
      <c r="C503" s="51"/>
      <c r="D503" s="51"/>
      <c r="E503" s="51"/>
      <c r="F503" s="51"/>
      <c r="G503" s="51"/>
      <c r="H503" s="55"/>
      <c r="I503" s="55"/>
      <c r="J503" s="55"/>
      <c r="K503" s="55"/>
      <c r="L503" s="55"/>
      <c r="M503" s="55"/>
      <c r="N503" s="55"/>
      <c r="O503" s="55"/>
      <c r="P503" s="55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51"/>
      <c r="AC503" s="51"/>
      <c r="AD503" s="51" t="s">
        <v>2486</v>
      </c>
      <c r="AE503" s="51" t="s">
        <v>2487</v>
      </c>
      <c r="AF503" s="51" t="str">
        <f t="shared" si="9"/>
        <v>A679078</v>
      </c>
      <c r="AG503" s="51" t="str">
        <f>VLOOKUP(AF503,AKT!$C$4:$E$324,3,FALSE)</f>
        <v>0942</v>
      </c>
    </row>
    <row r="504" spans="1:33" ht="15.75" hidden="1" customHeight="1">
      <c r="A504" s="51"/>
      <c r="B504" s="51"/>
      <c r="C504" s="51"/>
      <c r="D504" s="51"/>
      <c r="E504" s="51"/>
      <c r="F504" s="51"/>
      <c r="G504" s="51"/>
      <c r="H504" s="55"/>
      <c r="I504" s="55"/>
      <c r="J504" s="55"/>
      <c r="K504" s="55"/>
      <c r="L504" s="55"/>
      <c r="M504" s="55"/>
      <c r="N504" s="55"/>
      <c r="O504" s="55"/>
      <c r="P504" s="55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51"/>
      <c r="AC504" s="51"/>
      <c r="AD504" s="51" t="s">
        <v>2488</v>
      </c>
      <c r="AE504" s="51" t="s">
        <v>2489</v>
      </c>
      <c r="AF504" s="51" t="str">
        <f t="shared" si="9"/>
        <v>A679078</v>
      </c>
      <c r="AG504" s="51" t="str">
        <f>VLOOKUP(AF504,AKT!$C$4:$E$324,3,FALSE)</f>
        <v>0942</v>
      </c>
    </row>
    <row r="505" spans="1:33" ht="15.75" hidden="1" customHeight="1">
      <c r="A505" s="51"/>
      <c r="B505" s="51"/>
      <c r="C505" s="51"/>
      <c r="D505" s="51"/>
      <c r="E505" s="51"/>
      <c r="F505" s="51"/>
      <c r="G505" s="51"/>
      <c r="H505" s="55"/>
      <c r="I505" s="55"/>
      <c r="J505" s="55"/>
      <c r="K505" s="55"/>
      <c r="L505" s="55"/>
      <c r="M505" s="55"/>
      <c r="N505" s="55"/>
      <c r="O505" s="55"/>
      <c r="P505" s="55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51"/>
      <c r="AC505" s="51"/>
      <c r="AD505" s="51" t="s">
        <v>2490</v>
      </c>
      <c r="AE505" s="51" t="s">
        <v>2491</v>
      </c>
      <c r="AF505" s="51" t="str">
        <f t="shared" si="9"/>
        <v>A679078</v>
      </c>
      <c r="AG505" s="51" t="str">
        <f>VLOOKUP(AF505,AKT!$C$4:$E$324,3,FALSE)</f>
        <v>0942</v>
      </c>
    </row>
    <row r="506" spans="1:33" ht="15.75" hidden="1" customHeight="1">
      <c r="A506" s="51"/>
      <c r="B506" s="51"/>
      <c r="C506" s="51"/>
      <c r="D506" s="51"/>
      <c r="E506" s="51"/>
      <c r="F506" s="51"/>
      <c r="G506" s="51"/>
      <c r="H506" s="55"/>
      <c r="I506" s="55"/>
      <c r="J506" s="55"/>
      <c r="K506" s="55"/>
      <c r="L506" s="55"/>
      <c r="M506" s="55"/>
      <c r="N506" s="55"/>
      <c r="O506" s="55"/>
      <c r="P506" s="55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51"/>
      <c r="AC506" s="51"/>
      <c r="AD506" s="51" t="s">
        <v>2492</v>
      </c>
      <c r="AE506" s="51" t="s">
        <v>2493</v>
      </c>
      <c r="AF506" s="51" t="str">
        <f t="shared" si="9"/>
        <v>A679078</v>
      </c>
      <c r="AG506" s="51" t="str">
        <f>VLOOKUP(AF506,AKT!$C$4:$E$324,3,FALSE)</f>
        <v>0942</v>
      </c>
    </row>
    <row r="507" spans="1:33" ht="15.75" hidden="1" customHeight="1">
      <c r="A507" s="51"/>
      <c r="B507" s="51"/>
      <c r="C507" s="51"/>
      <c r="D507" s="51"/>
      <c r="E507" s="51"/>
      <c r="F507" s="51"/>
      <c r="G507" s="51"/>
      <c r="H507" s="55"/>
      <c r="I507" s="55"/>
      <c r="J507" s="55"/>
      <c r="K507" s="55"/>
      <c r="L507" s="55"/>
      <c r="M507" s="55"/>
      <c r="N507" s="55"/>
      <c r="O507" s="55"/>
      <c r="P507" s="55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  <c r="AC507" s="51"/>
      <c r="AD507" s="51" t="s">
        <v>2494</v>
      </c>
      <c r="AE507" s="51" t="s">
        <v>2495</v>
      </c>
      <c r="AF507" s="51" t="str">
        <f t="shared" si="9"/>
        <v>A679078</v>
      </c>
      <c r="AG507" s="51" t="str">
        <f>VLOOKUP(AF507,AKT!$C$4:$E$324,3,FALSE)</f>
        <v>0942</v>
      </c>
    </row>
    <row r="508" spans="1:33" ht="15.75" hidden="1" customHeight="1">
      <c r="A508" s="51"/>
      <c r="B508" s="51"/>
      <c r="C508" s="51"/>
      <c r="D508" s="51"/>
      <c r="E508" s="51"/>
      <c r="F508" s="51"/>
      <c r="G508" s="51"/>
      <c r="H508" s="55"/>
      <c r="I508" s="55"/>
      <c r="J508" s="55"/>
      <c r="K508" s="55"/>
      <c r="L508" s="55"/>
      <c r="M508" s="55"/>
      <c r="N508" s="55"/>
      <c r="O508" s="55"/>
      <c r="P508" s="55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51"/>
      <c r="AC508" s="51"/>
      <c r="AD508" s="51" t="s">
        <v>2496</v>
      </c>
      <c r="AE508" s="51" t="s">
        <v>2497</v>
      </c>
      <c r="AF508" s="51" t="str">
        <f t="shared" si="9"/>
        <v>A679078</v>
      </c>
      <c r="AG508" s="51" t="str">
        <f>VLOOKUP(AF508,AKT!$C$4:$E$324,3,FALSE)</f>
        <v>0942</v>
      </c>
    </row>
    <row r="509" spans="1:33" ht="15.75" hidden="1" customHeight="1">
      <c r="A509" s="51"/>
      <c r="B509" s="51"/>
      <c r="C509" s="51"/>
      <c r="D509" s="51"/>
      <c r="E509" s="51"/>
      <c r="F509" s="51"/>
      <c r="G509" s="51"/>
      <c r="H509" s="55"/>
      <c r="I509" s="55"/>
      <c r="J509" s="55"/>
      <c r="K509" s="55"/>
      <c r="L509" s="55"/>
      <c r="M509" s="55"/>
      <c r="N509" s="55"/>
      <c r="O509" s="55"/>
      <c r="P509" s="55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51"/>
      <c r="AC509" s="51"/>
      <c r="AD509" s="51" t="s">
        <v>2498</v>
      </c>
      <c r="AE509" s="51" t="s">
        <v>2499</v>
      </c>
      <c r="AF509" s="51" t="str">
        <f t="shared" si="9"/>
        <v>A679078</v>
      </c>
      <c r="AG509" s="51" t="str">
        <f>VLOOKUP(AF509,AKT!$C$4:$E$324,3,FALSE)</f>
        <v>0942</v>
      </c>
    </row>
    <row r="510" spans="1:33" ht="15.75" hidden="1" customHeight="1">
      <c r="A510" s="51"/>
      <c r="B510" s="51"/>
      <c r="C510" s="51"/>
      <c r="D510" s="51"/>
      <c r="E510" s="51"/>
      <c r="F510" s="51"/>
      <c r="G510" s="51"/>
      <c r="H510" s="55"/>
      <c r="I510" s="55"/>
      <c r="J510" s="55"/>
      <c r="K510" s="55"/>
      <c r="L510" s="55"/>
      <c r="M510" s="55"/>
      <c r="N510" s="55"/>
      <c r="O510" s="55"/>
      <c r="P510" s="55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51"/>
      <c r="AC510" s="51"/>
      <c r="AD510" s="51" t="s">
        <v>2500</v>
      </c>
      <c r="AE510" s="51" t="s">
        <v>2501</v>
      </c>
      <c r="AF510" s="51" t="str">
        <f t="shared" si="9"/>
        <v>A679078</v>
      </c>
      <c r="AG510" s="51" t="str">
        <f>VLOOKUP(AF510,AKT!$C$4:$E$324,3,FALSE)</f>
        <v>0942</v>
      </c>
    </row>
    <row r="511" spans="1:33" ht="15.75" hidden="1" customHeight="1">
      <c r="A511" s="51"/>
      <c r="B511" s="51"/>
      <c r="C511" s="51"/>
      <c r="D511" s="51"/>
      <c r="E511" s="51"/>
      <c r="F511" s="51"/>
      <c r="G511" s="51"/>
      <c r="H511" s="55"/>
      <c r="I511" s="55"/>
      <c r="J511" s="55"/>
      <c r="K511" s="55"/>
      <c r="L511" s="55"/>
      <c r="M511" s="55"/>
      <c r="N511" s="55"/>
      <c r="O511" s="55"/>
      <c r="P511" s="55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51"/>
      <c r="AC511" s="51"/>
      <c r="AD511" s="51" t="s">
        <v>2502</v>
      </c>
      <c r="AE511" s="51" t="s">
        <v>2503</v>
      </c>
      <c r="AF511" s="51" t="str">
        <f t="shared" si="9"/>
        <v>A679078</v>
      </c>
      <c r="AG511" s="51" t="str">
        <f>VLOOKUP(AF511,AKT!$C$4:$E$324,3,FALSE)</f>
        <v>0942</v>
      </c>
    </row>
    <row r="512" spans="1:33" ht="15.75" hidden="1" customHeight="1">
      <c r="A512" s="51"/>
      <c r="B512" s="51"/>
      <c r="C512" s="51"/>
      <c r="D512" s="51"/>
      <c r="E512" s="51"/>
      <c r="F512" s="51"/>
      <c r="G512" s="51"/>
      <c r="H512" s="55"/>
      <c r="I512" s="55"/>
      <c r="J512" s="55"/>
      <c r="K512" s="55"/>
      <c r="L512" s="55"/>
      <c r="M512" s="55"/>
      <c r="N512" s="55"/>
      <c r="O512" s="55"/>
      <c r="P512" s="55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51"/>
      <c r="AC512" s="51"/>
      <c r="AD512" s="51" t="s">
        <v>2504</v>
      </c>
      <c r="AE512" s="51" t="s">
        <v>2505</v>
      </c>
      <c r="AF512" s="51" t="str">
        <f t="shared" si="9"/>
        <v>A679078</v>
      </c>
      <c r="AG512" s="51" t="str">
        <f>VLOOKUP(AF512,AKT!$C$4:$E$324,3,FALSE)</f>
        <v>0942</v>
      </c>
    </row>
    <row r="513" spans="1:33" ht="15.75" hidden="1" customHeight="1">
      <c r="A513" s="51"/>
      <c r="B513" s="51"/>
      <c r="C513" s="51"/>
      <c r="D513" s="51"/>
      <c r="E513" s="51"/>
      <c r="F513" s="51"/>
      <c r="G513" s="51"/>
      <c r="H513" s="55"/>
      <c r="I513" s="55"/>
      <c r="J513" s="55"/>
      <c r="K513" s="55"/>
      <c r="L513" s="55"/>
      <c r="M513" s="55"/>
      <c r="N513" s="55"/>
      <c r="O513" s="55"/>
      <c r="P513" s="55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  <c r="AC513" s="51"/>
      <c r="AD513" s="51" t="s">
        <v>2506</v>
      </c>
      <c r="AE513" s="51" t="s">
        <v>2507</v>
      </c>
      <c r="AF513" s="51" t="str">
        <f t="shared" si="9"/>
        <v>A679078</v>
      </c>
      <c r="AG513" s="51" t="str">
        <f>VLOOKUP(AF513,AKT!$C$4:$E$324,3,FALSE)</f>
        <v>0942</v>
      </c>
    </row>
    <row r="514" spans="1:33" ht="15.75" hidden="1" customHeight="1">
      <c r="A514" s="51"/>
      <c r="B514" s="51"/>
      <c r="C514" s="51"/>
      <c r="D514" s="51"/>
      <c r="E514" s="51"/>
      <c r="F514" s="51"/>
      <c r="G514" s="51"/>
      <c r="H514" s="55"/>
      <c r="I514" s="55"/>
      <c r="J514" s="55"/>
      <c r="K514" s="55"/>
      <c r="L514" s="55"/>
      <c r="M514" s="55"/>
      <c r="N514" s="55"/>
      <c r="O514" s="55"/>
      <c r="P514" s="55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51"/>
      <c r="AC514" s="51"/>
      <c r="AD514" s="51" t="s">
        <v>2508</v>
      </c>
      <c r="AE514" s="51" t="s">
        <v>2509</v>
      </c>
      <c r="AF514" s="51" t="str">
        <f t="shared" si="9"/>
        <v>A679078</v>
      </c>
      <c r="AG514" s="51" t="str">
        <f>VLOOKUP(AF514,AKT!$C$4:$E$324,3,FALSE)</f>
        <v>0942</v>
      </c>
    </row>
    <row r="515" spans="1:33" ht="15.75" hidden="1" customHeight="1">
      <c r="A515" s="51"/>
      <c r="B515" s="51"/>
      <c r="C515" s="51"/>
      <c r="D515" s="51"/>
      <c r="E515" s="51"/>
      <c r="F515" s="51"/>
      <c r="G515" s="51"/>
      <c r="H515" s="55"/>
      <c r="I515" s="55"/>
      <c r="J515" s="55"/>
      <c r="K515" s="55"/>
      <c r="L515" s="55"/>
      <c r="M515" s="55"/>
      <c r="N515" s="55"/>
      <c r="O515" s="55"/>
      <c r="P515" s="55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51"/>
      <c r="AC515" s="51"/>
      <c r="AD515" s="51" t="s">
        <v>2510</v>
      </c>
      <c r="AE515" s="51" t="s">
        <v>2511</v>
      </c>
      <c r="AF515" s="51" t="str">
        <f t="shared" si="9"/>
        <v>A679078</v>
      </c>
      <c r="AG515" s="51" t="str">
        <f>VLOOKUP(AF515,AKT!$C$4:$E$324,3,FALSE)</f>
        <v>0942</v>
      </c>
    </row>
    <row r="516" spans="1:33" ht="15.75" hidden="1" customHeight="1">
      <c r="A516" s="51"/>
      <c r="B516" s="51"/>
      <c r="C516" s="51"/>
      <c r="D516" s="51"/>
      <c r="E516" s="51"/>
      <c r="F516" s="51"/>
      <c r="G516" s="51"/>
      <c r="H516" s="55"/>
      <c r="I516" s="55"/>
      <c r="J516" s="55"/>
      <c r="K516" s="55"/>
      <c r="L516" s="55"/>
      <c r="M516" s="55"/>
      <c r="N516" s="55"/>
      <c r="O516" s="55"/>
      <c r="P516" s="55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  <c r="AC516" s="51"/>
      <c r="AD516" s="51" t="s">
        <v>2512</v>
      </c>
      <c r="AE516" s="51" t="s">
        <v>2513</v>
      </c>
      <c r="AF516" s="51" t="str">
        <f t="shared" si="9"/>
        <v>A679078</v>
      </c>
      <c r="AG516" s="51" t="str">
        <f>VLOOKUP(AF516,AKT!$C$4:$E$324,3,FALSE)</f>
        <v>0942</v>
      </c>
    </row>
    <row r="517" spans="1:33" ht="15.75" hidden="1" customHeight="1">
      <c r="A517" s="51"/>
      <c r="B517" s="51"/>
      <c r="C517" s="51"/>
      <c r="D517" s="51"/>
      <c r="E517" s="51"/>
      <c r="F517" s="51"/>
      <c r="G517" s="51"/>
      <c r="H517" s="55"/>
      <c r="I517" s="55"/>
      <c r="J517" s="55"/>
      <c r="K517" s="55"/>
      <c r="L517" s="55"/>
      <c r="M517" s="55"/>
      <c r="N517" s="55"/>
      <c r="O517" s="55"/>
      <c r="P517" s="55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  <c r="AC517" s="51"/>
      <c r="AD517" s="51" t="s">
        <v>2514</v>
      </c>
      <c r="AE517" s="51" t="s">
        <v>2515</v>
      </c>
      <c r="AF517" s="51" t="str">
        <f t="shared" si="9"/>
        <v>A679078</v>
      </c>
      <c r="AG517" s="51" t="str">
        <f>VLOOKUP(AF517,AKT!$C$4:$E$324,3,FALSE)</f>
        <v>0942</v>
      </c>
    </row>
    <row r="518" spans="1:33" ht="15.75" hidden="1" customHeight="1">
      <c r="A518" s="51"/>
      <c r="B518" s="51"/>
      <c r="C518" s="51"/>
      <c r="D518" s="51"/>
      <c r="E518" s="51"/>
      <c r="F518" s="51"/>
      <c r="G518" s="51"/>
      <c r="H518" s="55"/>
      <c r="I518" s="55"/>
      <c r="J518" s="55"/>
      <c r="K518" s="55"/>
      <c r="L518" s="55"/>
      <c r="M518" s="55"/>
      <c r="N518" s="55"/>
      <c r="O518" s="55"/>
      <c r="P518" s="55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51"/>
      <c r="AC518" s="51"/>
      <c r="AD518" s="51" t="s">
        <v>2516</v>
      </c>
      <c r="AE518" s="51" t="s">
        <v>2517</v>
      </c>
      <c r="AF518" s="51" t="str">
        <f t="shared" si="9"/>
        <v>A679078</v>
      </c>
      <c r="AG518" s="51" t="str">
        <f>VLOOKUP(AF518,AKT!$C$4:$E$324,3,FALSE)</f>
        <v>0942</v>
      </c>
    </row>
    <row r="519" spans="1:33" ht="15.75" hidden="1" customHeight="1">
      <c r="A519" s="51"/>
      <c r="B519" s="51"/>
      <c r="C519" s="51"/>
      <c r="D519" s="51"/>
      <c r="E519" s="51"/>
      <c r="F519" s="51"/>
      <c r="G519" s="51"/>
      <c r="H519" s="55"/>
      <c r="I519" s="55"/>
      <c r="J519" s="55"/>
      <c r="K519" s="55"/>
      <c r="L519" s="55"/>
      <c r="M519" s="55"/>
      <c r="N519" s="55"/>
      <c r="O519" s="55"/>
      <c r="P519" s="55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51"/>
      <c r="AC519" s="51"/>
      <c r="AD519" s="51" t="s">
        <v>2518</v>
      </c>
      <c r="AE519" s="51" t="s">
        <v>2519</v>
      </c>
      <c r="AF519" s="51" t="str">
        <f t="shared" si="9"/>
        <v>A679078</v>
      </c>
      <c r="AG519" s="51" t="str">
        <f>VLOOKUP(AF519,AKT!$C$4:$E$324,3,FALSE)</f>
        <v>0942</v>
      </c>
    </row>
    <row r="520" spans="1:33" ht="15.75" hidden="1" customHeight="1">
      <c r="A520" s="51"/>
      <c r="B520" s="51"/>
      <c r="C520" s="51"/>
      <c r="D520" s="51"/>
      <c r="E520" s="51"/>
      <c r="F520" s="51"/>
      <c r="G520" s="51"/>
      <c r="H520" s="55"/>
      <c r="I520" s="55"/>
      <c r="J520" s="55"/>
      <c r="K520" s="55"/>
      <c r="L520" s="55"/>
      <c r="M520" s="55"/>
      <c r="N520" s="55"/>
      <c r="O520" s="55"/>
      <c r="P520" s="55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51"/>
      <c r="AC520" s="51"/>
      <c r="AD520" s="51" t="s">
        <v>2520</v>
      </c>
      <c r="AE520" s="51" t="s">
        <v>2521</v>
      </c>
      <c r="AF520" s="51" t="str">
        <f t="shared" si="9"/>
        <v>A679078</v>
      </c>
      <c r="AG520" s="51" t="str">
        <f>VLOOKUP(AF520,AKT!$C$4:$E$324,3,FALSE)</f>
        <v>0942</v>
      </c>
    </row>
    <row r="521" spans="1:33" ht="15.75" hidden="1" customHeight="1">
      <c r="A521" s="51"/>
      <c r="B521" s="51"/>
      <c r="C521" s="51"/>
      <c r="D521" s="51"/>
      <c r="E521" s="51"/>
      <c r="F521" s="51"/>
      <c r="G521" s="51"/>
      <c r="H521" s="55"/>
      <c r="I521" s="55"/>
      <c r="J521" s="55"/>
      <c r="K521" s="55"/>
      <c r="L521" s="55"/>
      <c r="M521" s="55"/>
      <c r="N521" s="55"/>
      <c r="O521" s="55"/>
      <c r="P521" s="55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51"/>
      <c r="AC521" s="51"/>
      <c r="AD521" s="51" t="s">
        <v>2522</v>
      </c>
      <c r="AE521" s="51" t="s">
        <v>2523</v>
      </c>
      <c r="AF521" s="51" t="str">
        <f t="shared" si="9"/>
        <v>A679078</v>
      </c>
      <c r="AG521" s="51" t="str">
        <f>VLOOKUP(AF521,AKT!$C$4:$E$324,3,FALSE)</f>
        <v>0942</v>
      </c>
    </row>
    <row r="522" spans="1:33" ht="15.75" hidden="1" customHeight="1">
      <c r="A522" s="51"/>
      <c r="B522" s="51"/>
      <c r="C522" s="51"/>
      <c r="D522" s="51"/>
      <c r="E522" s="51"/>
      <c r="F522" s="51"/>
      <c r="G522" s="51"/>
      <c r="H522" s="55"/>
      <c r="I522" s="55"/>
      <c r="J522" s="55"/>
      <c r="K522" s="55"/>
      <c r="L522" s="55"/>
      <c r="M522" s="55"/>
      <c r="N522" s="55"/>
      <c r="O522" s="55"/>
      <c r="P522" s="55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  <c r="AC522" s="51"/>
      <c r="AD522" s="51" t="s">
        <v>2524</v>
      </c>
      <c r="AE522" s="51" t="s">
        <v>2525</v>
      </c>
      <c r="AF522" s="51" t="str">
        <f t="shared" si="9"/>
        <v>A679078</v>
      </c>
      <c r="AG522" s="51" t="str">
        <f>VLOOKUP(AF522,AKT!$C$4:$E$324,3,FALSE)</f>
        <v>0942</v>
      </c>
    </row>
    <row r="523" spans="1:33" ht="15.75" hidden="1" customHeight="1">
      <c r="A523" s="51"/>
      <c r="B523" s="51"/>
      <c r="C523" s="51"/>
      <c r="D523" s="51"/>
      <c r="E523" s="51"/>
      <c r="F523" s="51"/>
      <c r="G523" s="51"/>
      <c r="H523" s="55"/>
      <c r="I523" s="55"/>
      <c r="J523" s="55"/>
      <c r="K523" s="55"/>
      <c r="L523" s="55"/>
      <c r="M523" s="55"/>
      <c r="N523" s="55"/>
      <c r="O523" s="55"/>
      <c r="P523" s="55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51"/>
      <c r="AC523" s="51"/>
      <c r="AD523" s="51" t="s">
        <v>2526</v>
      </c>
      <c r="AE523" s="51" t="s">
        <v>2527</v>
      </c>
      <c r="AF523" s="51" t="str">
        <f t="shared" si="9"/>
        <v>A679078</v>
      </c>
      <c r="AG523" s="51" t="str">
        <f>VLOOKUP(AF523,AKT!$C$4:$E$324,3,FALSE)</f>
        <v>0942</v>
      </c>
    </row>
    <row r="524" spans="1:33" ht="15.75" hidden="1" customHeight="1">
      <c r="A524" s="51"/>
      <c r="B524" s="51"/>
      <c r="C524" s="51"/>
      <c r="D524" s="51"/>
      <c r="E524" s="51"/>
      <c r="F524" s="51"/>
      <c r="G524" s="51"/>
      <c r="H524" s="55"/>
      <c r="I524" s="55"/>
      <c r="J524" s="55"/>
      <c r="K524" s="55"/>
      <c r="L524" s="55"/>
      <c r="M524" s="55"/>
      <c r="N524" s="55"/>
      <c r="O524" s="55"/>
      <c r="P524" s="55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51"/>
      <c r="AC524" s="51"/>
      <c r="AD524" s="51" t="s">
        <v>2528</v>
      </c>
      <c r="AE524" s="51" t="s">
        <v>2529</v>
      </c>
      <c r="AF524" s="51" t="str">
        <f t="shared" si="9"/>
        <v>A679078</v>
      </c>
      <c r="AG524" s="51" t="str">
        <f>VLOOKUP(AF524,AKT!$C$4:$E$324,3,FALSE)</f>
        <v>0942</v>
      </c>
    </row>
    <row r="525" spans="1:33" ht="15.75" hidden="1" customHeight="1">
      <c r="A525" s="51"/>
      <c r="B525" s="51"/>
      <c r="C525" s="51"/>
      <c r="D525" s="51"/>
      <c r="E525" s="51"/>
      <c r="F525" s="51"/>
      <c r="G525" s="51"/>
      <c r="H525" s="55"/>
      <c r="I525" s="55"/>
      <c r="J525" s="55"/>
      <c r="K525" s="55"/>
      <c r="L525" s="55"/>
      <c r="M525" s="55"/>
      <c r="N525" s="55"/>
      <c r="O525" s="55"/>
      <c r="P525" s="55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51"/>
      <c r="AC525" s="51"/>
      <c r="AD525" s="51" t="s">
        <v>2530</v>
      </c>
      <c r="AE525" s="51" t="s">
        <v>2531</v>
      </c>
      <c r="AF525" s="51" t="str">
        <f t="shared" si="9"/>
        <v>A679078</v>
      </c>
      <c r="AG525" s="51" t="str">
        <f>VLOOKUP(AF525,AKT!$C$4:$E$324,3,FALSE)</f>
        <v>0942</v>
      </c>
    </row>
    <row r="526" spans="1:33" ht="15.75" hidden="1" customHeight="1">
      <c r="A526" s="51"/>
      <c r="B526" s="51"/>
      <c r="C526" s="51"/>
      <c r="D526" s="51"/>
      <c r="E526" s="51"/>
      <c r="F526" s="51"/>
      <c r="G526" s="51"/>
      <c r="H526" s="55"/>
      <c r="I526" s="55"/>
      <c r="J526" s="55"/>
      <c r="K526" s="55"/>
      <c r="L526" s="55"/>
      <c r="M526" s="55"/>
      <c r="N526" s="55"/>
      <c r="O526" s="55"/>
      <c r="P526" s="55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51"/>
      <c r="AC526" s="51"/>
      <c r="AD526" s="51" t="s">
        <v>2532</v>
      </c>
      <c r="AE526" s="51" t="s">
        <v>2533</v>
      </c>
      <c r="AF526" s="51" t="str">
        <f t="shared" si="9"/>
        <v>A679078</v>
      </c>
      <c r="AG526" s="51" t="str">
        <f>VLOOKUP(AF526,AKT!$C$4:$E$324,3,FALSE)</f>
        <v>0942</v>
      </c>
    </row>
    <row r="527" spans="1:33" ht="15.75" hidden="1" customHeight="1">
      <c r="A527" s="51"/>
      <c r="B527" s="51"/>
      <c r="C527" s="51"/>
      <c r="D527" s="51"/>
      <c r="E527" s="51"/>
      <c r="F527" s="51"/>
      <c r="G527" s="51"/>
      <c r="H527" s="55"/>
      <c r="I527" s="55"/>
      <c r="J527" s="55"/>
      <c r="K527" s="55"/>
      <c r="L527" s="55"/>
      <c r="M527" s="55"/>
      <c r="N527" s="55"/>
      <c r="O527" s="55"/>
      <c r="P527" s="55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  <c r="AC527" s="51"/>
      <c r="AD527" s="51" t="s">
        <v>2534</v>
      </c>
      <c r="AE527" s="51" t="s">
        <v>2535</v>
      </c>
      <c r="AF527" s="51" t="str">
        <f t="shared" si="9"/>
        <v>A679078</v>
      </c>
      <c r="AG527" s="51" t="str">
        <f>VLOOKUP(AF527,AKT!$C$4:$E$324,3,FALSE)</f>
        <v>0942</v>
      </c>
    </row>
    <row r="528" spans="1:33" ht="15.75" hidden="1" customHeight="1">
      <c r="A528" s="51"/>
      <c r="B528" s="51"/>
      <c r="C528" s="51"/>
      <c r="D528" s="51"/>
      <c r="E528" s="51"/>
      <c r="F528" s="51"/>
      <c r="G528" s="51"/>
      <c r="H528" s="55"/>
      <c r="I528" s="55"/>
      <c r="J528" s="55"/>
      <c r="K528" s="55"/>
      <c r="L528" s="55"/>
      <c r="M528" s="55"/>
      <c r="N528" s="55"/>
      <c r="O528" s="55"/>
      <c r="P528" s="55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  <c r="AC528" s="51"/>
      <c r="AD528" s="51" t="s">
        <v>2536</v>
      </c>
      <c r="AE528" s="51" t="s">
        <v>2537</v>
      </c>
      <c r="AF528" s="51" t="str">
        <f t="shared" si="9"/>
        <v>A679078</v>
      </c>
      <c r="AG528" s="51" t="str">
        <f>VLOOKUP(AF528,AKT!$C$4:$E$324,3,FALSE)</f>
        <v>0942</v>
      </c>
    </row>
    <row r="529" spans="1:33" ht="15.75" hidden="1" customHeight="1">
      <c r="A529" s="51"/>
      <c r="B529" s="51"/>
      <c r="C529" s="51"/>
      <c r="D529" s="51"/>
      <c r="E529" s="51"/>
      <c r="F529" s="51"/>
      <c r="G529" s="51"/>
      <c r="H529" s="55"/>
      <c r="I529" s="55"/>
      <c r="J529" s="55"/>
      <c r="K529" s="55"/>
      <c r="L529" s="55"/>
      <c r="M529" s="55"/>
      <c r="N529" s="55"/>
      <c r="O529" s="55"/>
      <c r="P529" s="55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  <c r="AC529" s="51"/>
      <c r="AD529" s="51" t="s">
        <v>2538</v>
      </c>
      <c r="AE529" s="51" t="s">
        <v>2539</v>
      </c>
      <c r="AF529" s="51" t="str">
        <f t="shared" si="9"/>
        <v>A679078</v>
      </c>
      <c r="AG529" s="51" t="str">
        <f>VLOOKUP(AF529,AKT!$C$4:$E$324,3,FALSE)</f>
        <v>0942</v>
      </c>
    </row>
    <row r="530" spans="1:33" ht="15.75" hidden="1" customHeight="1">
      <c r="A530" s="51"/>
      <c r="B530" s="51"/>
      <c r="C530" s="51"/>
      <c r="D530" s="51"/>
      <c r="E530" s="51"/>
      <c r="F530" s="51"/>
      <c r="G530" s="51"/>
      <c r="H530" s="55"/>
      <c r="I530" s="55"/>
      <c r="J530" s="55"/>
      <c r="K530" s="55"/>
      <c r="L530" s="55"/>
      <c r="M530" s="55"/>
      <c r="N530" s="55"/>
      <c r="O530" s="55"/>
      <c r="P530" s="55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  <c r="AC530" s="51"/>
      <c r="AD530" s="51" t="s">
        <v>2540</v>
      </c>
      <c r="AE530" s="51" t="s">
        <v>2541</v>
      </c>
      <c r="AF530" s="51" t="str">
        <f t="shared" si="9"/>
        <v>A679078</v>
      </c>
      <c r="AG530" s="51" t="str">
        <f>VLOOKUP(AF530,AKT!$C$4:$E$324,3,FALSE)</f>
        <v>0942</v>
      </c>
    </row>
    <row r="531" spans="1:33" ht="15.75" hidden="1" customHeight="1">
      <c r="A531" s="51"/>
      <c r="B531" s="51"/>
      <c r="C531" s="51"/>
      <c r="D531" s="51"/>
      <c r="E531" s="51"/>
      <c r="F531" s="51"/>
      <c r="G531" s="51"/>
      <c r="H531" s="55"/>
      <c r="I531" s="55"/>
      <c r="J531" s="55"/>
      <c r="K531" s="55"/>
      <c r="L531" s="55"/>
      <c r="M531" s="55"/>
      <c r="N531" s="55"/>
      <c r="O531" s="55"/>
      <c r="P531" s="55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  <c r="AC531" s="51"/>
      <c r="AD531" s="51" t="s">
        <v>2542</v>
      </c>
      <c r="AE531" s="51" t="s">
        <v>2543</v>
      </c>
      <c r="AF531" s="51" t="str">
        <f t="shared" si="9"/>
        <v>A679078</v>
      </c>
      <c r="AG531" s="51" t="str">
        <f>VLOOKUP(AF531,AKT!$C$4:$E$324,3,FALSE)</f>
        <v>0942</v>
      </c>
    </row>
    <row r="532" spans="1:33" ht="15.75" hidden="1" customHeight="1">
      <c r="A532" s="51"/>
      <c r="B532" s="51"/>
      <c r="C532" s="51"/>
      <c r="D532" s="51"/>
      <c r="E532" s="51"/>
      <c r="F532" s="51"/>
      <c r="G532" s="51"/>
      <c r="H532" s="55"/>
      <c r="I532" s="55"/>
      <c r="J532" s="55"/>
      <c r="K532" s="55"/>
      <c r="L532" s="55"/>
      <c r="M532" s="55"/>
      <c r="N532" s="55"/>
      <c r="O532" s="55"/>
      <c r="P532" s="55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  <c r="AC532" s="51"/>
      <c r="AD532" s="51" t="s">
        <v>2544</v>
      </c>
      <c r="AE532" s="51" t="s">
        <v>2545</v>
      </c>
      <c r="AF532" s="51" t="str">
        <f t="shared" si="9"/>
        <v>A679078</v>
      </c>
      <c r="AG532" s="51" t="str">
        <f>VLOOKUP(AF532,AKT!$C$4:$E$324,3,FALSE)</f>
        <v>0942</v>
      </c>
    </row>
    <row r="533" spans="1:33" ht="15.75" hidden="1" customHeight="1">
      <c r="A533" s="51"/>
      <c r="B533" s="51"/>
      <c r="C533" s="51"/>
      <c r="D533" s="51"/>
      <c r="E533" s="51"/>
      <c r="F533" s="51"/>
      <c r="G533" s="51"/>
      <c r="H533" s="55"/>
      <c r="I533" s="55"/>
      <c r="J533" s="55"/>
      <c r="K533" s="55"/>
      <c r="L533" s="55"/>
      <c r="M533" s="55"/>
      <c r="N533" s="55"/>
      <c r="O533" s="55"/>
      <c r="P533" s="55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  <c r="AC533" s="51"/>
      <c r="AD533" s="51" t="s">
        <v>2546</v>
      </c>
      <c r="AE533" s="51" t="s">
        <v>2547</v>
      </c>
      <c r="AF533" s="51" t="str">
        <f t="shared" si="9"/>
        <v>A679078</v>
      </c>
      <c r="AG533" s="51" t="str">
        <f>VLOOKUP(AF533,AKT!$C$4:$E$324,3,FALSE)</f>
        <v>0942</v>
      </c>
    </row>
    <row r="534" spans="1:33" ht="15.75" hidden="1" customHeight="1">
      <c r="A534" s="51"/>
      <c r="B534" s="51"/>
      <c r="C534" s="51"/>
      <c r="D534" s="51"/>
      <c r="E534" s="51"/>
      <c r="F534" s="51"/>
      <c r="G534" s="51"/>
      <c r="H534" s="55"/>
      <c r="I534" s="55"/>
      <c r="J534" s="55"/>
      <c r="K534" s="55"/>
      <c r="L534" s="55"/>
      <c r="M534" s="55"/>
      <c r="N534" s="55"/>
      <c r="O534" s="55"/>
      <c r="P534" s="55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  <c r="AC534" s="51"/>
      <c r="AD534" s="51" t="s">
        <v>2548</v>
      </c>
      <c r="AE534" s="51" t="s">
        <v>2549</v>
      </c>
      <c r="AF534" s="51" t="str">
        <f t="shared" si="9"/>
        <v>A679078</v>
      </c>
      <c r="AG534" s="51" t="str">
        <f>VLOOKUP(AF534,AKT!$C$4:$E$324,3,FALSE)</f>
        <v>0942</v>
      </c>
    </row>
    <row r="535" spans="1:33" ht="15.75" hidden="1" customHeight="1">
      <c r="A535" s="51"/>
      <c r="B535" s="51"/>
      <c r="C535" s="51"/>
      <c r="D535" s="51"/>
      <c r="E535" s="51"/>
      <c r="F535" s="51"/>
      <c r="G535" s="51"/>
      <c r="H535" s="55"/>
      <c r="I535" s="55"/>
      <c r="J535" s="55"/>
      <c r="K535" s="55"/>
      <c r="L535" s="55"/>
      <c r="M535" s="55"/>
      <c r="N535" s="55"/>
      <c r="O535" s="55"/>
      <c r="P535" s="55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  <c r="AC535" s="51"/>
      <c r="AD535" s="51" t="s">
        <v>2550</v>
      </c>
      <c r="AE535" s="51" t="s">
        <v>2551</v>
      </c>
      <c r="AF535" s="51" t="str">
        <f t="shared" si="9"/>
        <v>A679078</v>
      </c>
      <c r="AG535" s="51" t="str">
        <f>VLOOKUP(AF535,AKT!$C$4:$E$324,3,FALSE)</f>
        <v>0942</v>
      </c>
    </row>
    <row r="536" spans="1:33" ht="15.75" hidden="1" customHeight="1">
      <c r="A536" s="51"/>
      <c r="B536" s="51"/>
      <c r="C536" s="51"/>
      <c r="D536" s="51"/>
      <c r="E536" s="51"/>
      <c r="F536" s="51"/>
      <c r="G536" s="51"/>
      <c r="H536" s="55"/>
      <c r="I536" s="55"/>
      <c r="J536" s="55"/>
      <c r="K536" s="55"/>
      <c r="L536" s="55"/>
      <c r="M536" s="55"/>
      <c r="N536" s="55"/>
      <c r="O536" s="55"/>
      <c r="P536" s="55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  <c r="AC536" s="51"/>
      <c r="AD536" s="51" t="s">
        <v>2552</v>
      </c>
      <c r="AE536" s="51" t="s">
        <v>2553</v>
      </c>
      <c r="AF536" s="51" t="str">
        <f t="shared" si="9"/>
        <v>A679078</v>
      </c>
      <c r="AG536" s="51" t="str">
        <f>VLOOKUP(AF536,AKT!$C$4:$E$324,3,FALSE)</f>
        <v>0942</v>
      </c>
    </row>
    <row r="537" spans="1:33" ht="15.75" hidden="1" customHeight="1">
      <c r="A537" s="51"/>
      <c r="B537" s="51"/>
      <c r="C537" s="51"/>
      <c r="D537" s="51"/>
      <c r="E537" s="51"/>
      <c r="F537" s="51"/>
      <c r="G537" s="51"/>
      <c r="H537" s="55"/>
      <c r="I537" s="55"/>
      <c r="J537" s="55"/>
      <c r="K537" s="55"/>
      <c r="L537" s="55"/>
      <c r="M537" s="55"/>
      <c r="N537" s="55"/>
      <c r="O537" s="55"/>
      <c r="P537" s="55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  <c r="AC537" s="51"/>
      <c r="AD537" s="51" t="s">
        <v>2554</v>
      </c>
      <c r="AE537" s="51" t="s">
        <v>2555</v>
      </c>
      <c r="AF537" s="51" t="str">
        <f t="shared" si="9"/>
        <v>A679078</v>
      </c>
      <c r="AG537" s="51" t="str">
        <f>VLOOKUP(AF537,AKT!$C$4:$E$324,3,FALSE)</f>
        <v>0942</v>
      </c>
    </row>
    <row r="538" spans="1:33" ht="15.75" hidden="1" customHeight="1">
      <c r="A538" s="51"/>
      <c r="B538" s="51"/>
      <c r="C538" s="51"/>
      <c r="D538" s="51"/>
      <c r="E538" s="51"/>
      <c r="F538" s="51"/>
      <c r="G538" s="51"/>
      <c r="H538" s="55"/>
      <c r="I538" s="55"/>
      <c r="J538" s="55"/>
      <c r="K538" s="55"/>
      <c r="L538" s="55"/>
      <c r="M538" s="55"/>
      <c r="N538" s="55"/>
      <c r="O538" s="55"/>
      <c r="P538" s="55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  <c r="AC538" s="51"/>
      <c r="AD538" s="51" t="s">
        <v>2556</v>
      </c>
      <c r="AE538" s="51" t="s">
        <v>2557</v>
      </c>
      <c r="AF538" s="51" t="str">
        <f t="shared" si="9"/>
        <v>A679078</v>
      </c>
      <c r="AG538" s="51" t="str">
        <f>VLOOKUP(AF538,AKT!$C$4:$E$324,3,FALSE)</f>
        <v>0942</v>
      </c>
    </row>
    <row r="539" spans="1:33" ht="15.75" hidden="1" customHeight="1">
      <c r="A539" s="51"/>
      <c r="B539" s="51"/>
      <c r="C539" s="51"/>
      <c r="D539" s="51"/>
      <c r="E539" s="51"/>
      <c r="F539" s="51"/>
      <c r="G539" s="51"/>
      <c r="H539" s="55"/>
      <c r="I539" s="55"/>
      <c r="J539" s="55"/>
      <c r="K539" s="55"/>
      <c r="L539" s="55"/>
      <c r="M539" s="55"/>
      <c r="N539" s="55"/>
      <c r="O539" s="55"/>
      <c r="P539" s="55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  <c r="AC539" s="51"/>
      <c r="AD539" s="51" t="s">
        <v>2558</v>
      </c>
      <c r="AE539" s="51" t="s">
        <v>2559</v>
      </c>
      <c r="AF539" s="51" t="str">
        <f t="shared" si="9"/>
        <v>A679078</v>
      </c>
      <c r="AG539" s="51" t="str">
        <f>VLOOKUP(AF539,AKT!$C$4:$E$324,3,FALSE)</f>
        <v>0942</v>
      </c>
    </row>
    <row r="540" spans="1:33" ht="15.75" hidden="1" customHeight="1">
      <c r="A540" s="51"/>
      <c r="B540" s="51"/>
      <c r="C540" s="51"/>
      <c r="D540" s="51"/>
      <c r="E540" s="51"/>
      <c r="F540" s="51"/>
      <c r="G540" s="51"/>
      <c r="H540" s="55"/>
      <c r="I540" s="55"/>
      <c r="J540" s="55"/>
      <c r="K540" s="55"/>
      <c r="L540" s="55"/>
      <c r="M540" s="55"/>
      <c r="N540" s="55"/>
      <c r="O540" s="55"/>
      <c r="P540" s="55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  <c r="AC540" s="51"/>
      <c r="AD540" s="51" t="s">
        <v>2560</v>
      </c>
      <c r="AE540" s="51" t="s">
        <v>2561</v>
      </c>
      <c r="AF540" s="51" t="str">
        <f t="shared" si="9"/>
        <v>A679078</v>
      </c>
      <c r="AG540" s="51" t="str">
        <f>VLOOKUP(AF540,AKT!$C$4:$E$324,3,FALSE)</f>
        <v>0942</v>
      </c>
    </row>
    <row r="541" spans="1:33" ht="15.75" hidden="1" customHeight="1">
      <c r="A541" s="51"/>
      <c r="B541" s="51"/>
      <c r="C541" s="51"/>
      <c r="D541" s="51"/>
      <c r="E541" s="51"/>
      <c r="F541" s="51"/>
      <c r="G541" s="51"/>
      <c r="H541" s="55"/>
      <c r="I541" s="55"/>
      <c r="J541" s="55"/>
      <c r="K541" s="55"/>
      <c r="L541" s="55"/>
      <c r="M541" s="55"/>
      <c r="N541" s="55"/>
      <c r="O541" s="55"/>
      <c r="P541" s="55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  <c r="AC541" s="51"/>
      <c r="AD541" s="51" t="s">
        <v>2562</v>
      </c>
      <c r="AE541" s="51" t="s">
        <v>2563</v>
      </c>
      <c r="AF541" s="51" t="str">
        <f t="shared" si="9"/>
        <v>A679078</v>
      </c>
      <c r="AG541" s="51" t="str">
        <f>VLOOKUP(AF541,AKT!$C$4:$E$324,3,FALSE)</f>
        <v>0942</v>
      </c>
    </row>
    <row r="542" spans="1:33" ht="15.75" hidden="1" customHeight="1">
      <c r="A542" s="51"/>
      <c r="B542" s="51"/>
      <c r="C542" s="51"/>
      <c r="D542" s="51"/>
      <c r="E542" s="51"/>
      <c r="F542" s="51"/>
      <c r="G542" s="51"/>
      <c r="H542" s="55"/>
      <c r="I542" s="55"/>
      <c r="J542" s="55"/>
      <c r="K542" s="55"/>
      <c r="L542" s="55"/>
      <c r="M542" s="55"/>
      <c r="N542" s="55"/>
      <c r="O542" s="55"/>
      <c r="P542" s="55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  <c r="AC542" s="51"/>
      <c r="AD542" s="51" t="s">
        <v>2564</v>
      </c>
      <c r="AE542" s="51" t="s">
        <v>2565</v>
      </c>
      <c r="AF542" s="51" t="str">
        <f t="shared" si="9"/>
        <v>A679078</v>
      </c>
      <c r="AG542" s="51" t="str">
        <f>VLOOKUP(AF542,AKT!$C$4:$E$324,3,FALSE)</f>
        <v>0942</v>
      </c>
    </row>
    <row r="543" spans="1:33" ht="15.75" hidden="1" customHeight="1">
      <c r="A543" s="51"/>
      <c r="B543" s="51"/>
      <c r="C543" s="51"/>
      <c r="D543" s="51"/>
      <c r="E543" s="51"/>
      <c r="F543" s="51"/>
      <c r="G543" s="51"/>
      <c r="H543" s="55"/>
      <c r="I543" s="55"/>
      <c r="J543" s="55"/>
      <c r="K543" s="55"/>
      <c r="L543" s="55"/>
      <c r="M543" s="55"/>
      <c r="N543" s="55"/>
      <c r="O543" s="55"/>
      <c r="P543" s="55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  <c r="AC543" s="51"/>
      <c r="AD543" s="51" t="s">
        <v>2566</v>
      </c>
      <c r="AE543" s="51" t="s">
        <v>2567</v>
      </c>
      <c r="AF543" s="51" t="str">
        <f t="shared" si="9"/>
        <v>A679078</v>
      </c>
      <c r="AG543" s="51" t="str">
        <f>VLOOKUP(AF543,AKT!$C$4:$E$324,3,FALSE)</f>
        <v>0942</v>
      </c>
    </row>
    <row r="544" spans="1:33" ht="15.75" hidden="1" customHeight="1">
      <c r="A544" s="51"/>
      <c r="B544" s="51"/>
      <c r="C544" s="51"/>
      <c r="D544" s="51"/>
      <c r="E544" s="51"/>
      <c r="F544" s="51"/>
      <c r="G544" s="51"/>
      <c r="H544" s="55"/>
      <c r="I544" s="55"/>
      <c r="J544" s="55"/>
      <c r="K544" s="55"/>
      <c r="L544" s="55"/>
      <c r="M544" s="55"/>
      <c r="N544" s="55"/>
      <c r="O544" s="55"/>
      <c r="P544" s="55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  <c r="AC544" s="51"/>
      <c r="AD544" s="51" t="s">
        <v>2568</v>
      </c>
      <c r="AE544" s="51" t="s">
        <v>2569</v>
      </c>
      <c r="AF544" s="51" t="str">
        <f t="shared" si="9"/>
        <v>A679078</v>
      </c>
      <c r="AG544" s="51" t="str">
        <f>VLOOKUP(AF544,AKT!$C$4:$E$324,3,FALSE)</f>
        <v>0942</v>
      </c>
    </row>
    <row r="545" spans="1:33" ht="15.75" hidden="1" customHeight="1">
      <c r="A545" s="51"/>
      <c r="B545" s="51"/>
      <c r="C545" s="51"/>
      <c r="D545" s="51"/>
      <c r="E545" s="51"/>
      <c r="F545" s="51"/>
      <c r="G545" s="51"/>
      <c r="H545" s="55"/>
      <c r="I545" s="55"/>
      <c r="J545" s="55"/>
      <c r="K545" s="55"/>
      <c r="L545" s="55"/>
      <c r="M545" s="55"/>
      <c r="N545" s="55"/>
      <c r="O545" s="55"/>
      <c r="P545" s="55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 t="s">
        <v>2570</v>
      </c>
      <c r="AE545" s="51" t="s">
        <v>2571</v>
      </c>
      <c r="AF545" s="51" t="str">
        <f t="shared" si="9"/>
        <v>A679078</v>
      </c>
      <c r="AG545" s="51" t="str">
        <f>VLOOKUP(AF545,AKT!$C$4:$E$324,3,FALSE)</f>
        <v>0942</v>
      </c>
    </row>
    <row r="546" spans="1:33" ht="15.75" hidden="1" customHeight="1">
      <c r="A546" s="51"/>
      <c r="B546" s="51"/>
      <c r="C546" s="51"/>
      <c r="D546" s="51"/>
      <c r="E546" s="51"/>
      <c r="F546" s="51"/>
      <c r="G546" s="51"/>
      <c r="H546" s="55"/>
      <c r="I546" s="55"/>
      <c r="J546" s="55"/>
      <c r="K546" s="55"/>
      <c r="L546" s="55"/>
      <c r="M546" s="55"/>
      <c r="N546" s="55"/>
      <c r="O546" s="55"/>
      <c r="P546" s="55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  <c r="AC546" s="51"/>
      <c r="AD546" s="51" t="s">
        <v>2572</v>
      </c>
      <c r="AE546" s="51" t="s">
        <v>2573</v>
      </c>
      <c r="AF546" s="51" t="str">
        <f t="shared" si="9"/>
        <v>A679078</v>
      </c>
      <c r="AG546" s="51" t="str">
        <f>VLOOKUP(AF546,AKT!$C$4:$E$324,3,FALSE)</f>
        <v>0942</v>
      </c>
    </row>
    <row r="547" spans="1:33" ht="15.75" hidden="1" customHeight="1">
      <c r="A547" s="51"/>
      <c r="B547" s="51"/>
      <c r="C547" s="51"/>
      <c r="D547" s="51"/>
      <c r="E547" s="51"/>
      <c r="F547" s="51"/>
      <c r="G547" s="51"/>
      <c r="H547" s="55"/>
      <c r="I547" s="55"/>
      <c r="J547" s="55"/>
      <c r="K547" s="55"/>
      <c r="L547" s="55"/>
      <c r="M547" s="55"/>
      <c r="N547" s="55"/>
      <c r="O547" s="55"/>
      <c r="P547" s="55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51"/>
      <c r="AC547" s="51"/>
      <c r="AD547" s="51" t="s">
        <v>2574</v>
      </c>
      <c r="AE547" s="51" t="s">
        <v>2575</v>
      </c>
      <c r="AF547" s="51" t="str">
        <f t="shared" si="9"/>
        <v>A679078</v>
      </c>
      <c r="AG547" s="51" t="str">
        <f>VLOOKUP(AF547,AKT!$C$4:$E$324,3,FALSE)</f>
        <v>0942</v>
      </c>
    </row>
    <row r="548" spans="1:33" ht="15.75" hidden="1" customHeight="1">
      <c r="A548" s="51"/>
      <c r="B548" s="51"/>
      <c r="C548" s="51"/>
      <c r="D548" s="51"/>
      <c r="E548" s="51"/>
      <c r="F548" s="51"/>
      <c r="G548" s="51"/>
      <c r="H548" s="55"/>
      <c r="I548" s="55"/>
      <c r="J548" s="55"/>
      <c r="K548" s="55"/>
      <c r="L548" s="55"/>
      <c r="M548" s="55"/>
      <c r="N548" s="55"/>
      <c r="O548" s="55"/>
      <c r="P548" s="55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  <c r="AC548" s="51"/>
      <c r="AD548" s="51" t="s">
        <v>2576</v>
      </c>
      <c r="AE548" s="51" t="s">
        <v>2577</v>
      </c>
      <c r="AF548" s="51" t="str">
        <f t="shared" si="9"/>
        <v>A679078</v>
      </c>
      <c r="AG548" s="51" t="str">
        <f>VLOOKUP(AF548,AKT!$C$4:$E$324,3,FALSE)</f>
        <v>0942</v>
      </c>
    </row>
    <row r="549" spans="1:33" ht="15.75" hidden="1" customHeight="1">
      <c r="A549" s="51"/>
      <c r="B549" s="51"/>
      <c r="C549" s="51"/>
      <c r="D549" s="51"/>
      <c r="E549" s="51"/>
      <c r="F549" s="51"/>
      <c r="G549" s="51"/>
      <c r="H549" s="55"/>
      <c r="I549" s="55"/>
      <c r="J549" s="55"/>
      <c r="K549" s="55"/>
      <c r="L549" s="55"/>
      <c r="M549" s="55"/>
      <c r="N549" s="55"/>
      <c r="O549" s="55"/>
      <c r="P549" s="55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  <c r="AC549" s="51"/>
      <c r="AD549" s="51" t="s">
        <v>2578</v>
      </c>
      <c r="AE549" s="51" t="s">
        <v>2579</v>
      </c>
      <c r="AF549" s="51" t="str">
        <f t="shared" si="9"/>
        <v>A679078</v>
      </c>
      <c r="AG549" s="51" t="str">
        <f>VLOOKUP(AF549,AKT!$C$4:$E$324,3,FALSE)</f>
        <v>0942</v>
      </c>
    </row>
    <row r="550" spans="1:33" ht="15.75" hidden="1" customHeight="1">
      <c r="A550" s="51"/>
      <c r="B550" s="51"/>
      <c r="C550" s="51"/>
      <c r="D550" s="51"/>
      <c r="E550" s="51"/>
      <c r="F550" s="51"/>
      <c r="G550" s="51"/>
      <c r="H550" s="55"/>
      <c r="I550" s="55"/>
      <c r="J550" s="55"/>
      <c r="K550" s="55"/>
      <c r="L550" s="55"/>
      <c r="M550" s="55"/>
      <c r="N550" s="55"/>
      <c r="O550" s="55"/>
      <c r="P550" s="55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  <c r="AC550" s="51"/>
      <c r="AD550" s="51" t="s">
        <v>2580</v>
      </c>
      <c r="AE550" s="51" t="s">
        <v>2581</v>
      </c>
      <c r="AF550" s="51" t="str">
        <f t="shared" si="9"/>
        <v>A679078</v>
      </c>
      <c r="AG550" s="51" t="str">
        <f>VLOOKUP(AF550,AKT!$C$4:$E$324,3,FALSE)</f>
        <v>0942</v>
      </c>
    </row>
    <row r="551" spans="1:33" ht="15.75" hidden="1" customHeight="1">
      <c r="A551" s="51"/>
      <c r="B551" s="51"/>
      <c r="C551" s="51"/>
      <c r="D551" s="51"/>
      <c r="E551" s="51"/>
      <c r="F551" s="51"/>
      <c r="G551" s="51"/>
      <c r="H551" s="55"/>
      <c r="I551" s="55"/>
      <c r="J551" s="55"/>
      <c r="K551" s="55"/>
      <c r="L551" s="55"/>
      <c r="M551" s="55"/>
      <c r="N551" s="55"/>
      <c r="O551" s="55"/>
      <c r="P551" s="55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  <c r="AC551" s="51"/>
      <c r="AD551" s="51" t="s">
        <v>2582</v>
      </c>
      <c r="AE551" s="51" t="s">
        <v>2583</v>
      </c>
      <c r="AF551" s="51" t="str">
        <f t="shared" si="9"/>
        <v>A679078</v>
      </c>
      <c r="AG551" s="51" t="str">
        <f>VLOOKUP(AF551,AKT!$C$4:$E$324,3,FALSE)</f>
        <v>0942</v>
      </c>
    </row>
    <row r="552" spans="1:33" ht="15.75" hidden="1" customHeight="1">
      <c r="A552" s="51"/>
      <c r="B552" s="51"/>
      <c r="C552" s="51"/>
      <c r="D552" s="51"/>
      <c r="E552" s="51"/>
      <c r="F552" s="51"/>
      <c r="G552" s="51"/>
      <c r="H552" s="55"/>
      <c r="I552" s="55"/>
      <c r="J552" s="55"/>
      <c r="K552" s="55"/>
      <c r="L552" s="55"/>
      <c r="M552" s="55"/>
      <c r="N552" s="55"/>
      <c r="O552" s="55"/>
      <c r="P552" s="55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  <c r="AC552" s="51"/>
      <c r="AD552" s="51" t="s">
        <v>2584</v>
      </c>
      <c r="AE552" s="51" t="s">
        <v>2377</v>
      </c>
      <c r="AF552" s="51" t="str">
        <f t="shared" si="9"/>
        <v>A679078</v>
      </c>
      <c r="AG552" s="51" t="str">
        <f>VLOOKUP(AF552,AKT!$C$4:$E$324,3,FALSE)</f>
        <v>0942</v>
      </c>
    </row>
    <row r="553" spans="1:33" ht="15.75" hidden="1" customHeight="1">
      <c r="A553" s="51"/>
      <c r="B553" s="51"/>
      <c r="C553" s="51"/>
      <c r="D553" s="51"/>
      <c r="E553" s="51"/>
      <c r="F553" s="51"/>
      <c r="G553" s="51"/>
      <c r="H553" s="55"/>
      <c r="I553" s="55"/>
      <c r="J553" s="55"/>
      <c r="K553" s="55"/>
      <c r="L553" s="55"/>
      <c r="M553" s="55"/>
      <c r="N553" s="55"/>
      <c r="O553" s="55"/>
      <c r="P553" s="55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  <c r="AC553" s="51"/>
      <c r="AD553" s="51" t="s">
        <v>2585</v>
      </c>
      <c r="AE553" s="51" t="s">
        <v>2586</v>
      </c>
      <c r="AF553" s="51" t="str">
        <f t="shared" si="9"/>
        <v>A679078</v>
      </c>
      <c r="AG553" s="51" t="str">
        <f>VLOOKUP(AF553,AKT!$C$4:$E$324,3,FALSE)</f>
        <v>0942</v>
      </c>
    </row>
    <row r="554" spans="1:33" ht="15.75" hidden="1" customHeight="1">
      <c r="A554" s="51"/>
      <c r="B554" s="51"/>
      <c r="C554" s="51"/>
      <c r="D554" s="51"/>
      <c r="E554" s="51"/>
      <c r="F554" s="51"/>
      <c r="G554" s="51"/>
      <c r="H554" s="55"/>
      <c r="I554" s="55"/>
      <c r="J554" s="55"/>
      <c r="K554" s="55"/>
      <c r="L554" s="55"/>
      <c r="M554" s="55"/>
      <c r="N554" s="55"/>
      <c r="O554" s="55"/>
      <c r="P554" s="55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  <c r="AC554" s="51"/>
      <c r="AD554" s="51" t="s">
        <v>2587</v>
      </c>
      <c r="AE554" s="51" t="s">
        <v>2588</v>
      </c>
      <c r="AF554" s="51" t="str">
        <f t="shared" si="9"/>
        <v>A679078</v>
      </c>
      <c r="AG554" s="51" t="str">
        <f>VLOOKUP(AF554,AKT!$C$4:$E$324,3,FALSE)</f>
        <v>0942</v>
      </c>
    </row>
    <row r="555" spans="1:33" ht="15.75" hidden="1" customHeight="1">
      <c r="A555" s="51"/>
      <c r="B555" s="51"/>
      <c r="C555" s="51"/>
      <c r="D555" s="51"/>
      <c r="E555" s="51"/>
      <c r="F555" s="51"/>
      <c r="G555" s="51"/>
      <c r="H555" s="55"/>
      <c r="I555" s="55"/>
      <c r="J555" s="55"/>
      <c r="K555" s="55"/>
      <c r="L555" s="55"/>
      <c r="M555" s="55"/>
      <c r="N555" s="55"/>
      <c r="O555" s="55"/>
      <c r="P555" s="55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  <c r="AC555" s="51"/>
      <c r="AD555" s="51" t="s">
        <v>2589</v>
      </c>
      <c r="AE555" s="51" t="s">
        <v>2590</v>
      </c>
      <c r="AF555" s="51" t="str">
        <f t="shared" si="9"/>
        <v>A679078</v>
      </c>
      <c r="AG555" s="51" t="str">
        <f>VLOOKUP(AF555,AKT!$C$4:$E$324,3,FALSE)</f>
        <v>0942</v>
      </c>
    </row>
    <row r="556" spans="1:33" ht="15.75" hidden="1" customHeight="1">
      <c r="A556" s="51"/>
      <c r="B556" s="51"/>
      <c r="C556" s="51"/>
      <c r="D556" s="51"/>
      <c r="E556" s="51"/>
      <c r="F556" s="51"/>
      <c r="G556" s="51"/>
      <c r="H556" s="55"/>
      <c r="I556" s="55"/>
      <c r="J556" s="55"/>
      <c r="K556" s="55"/>
      <c r="L556" s="55"/>
      <c r="M556" s="55"/>
      <c r="N556" s="55"/>
      <c r="O556" s="55"/>
      <c r="P556" s="55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  <c r="AC556" s="51"/>
      <c r="AD556" s="51" t="s">
        <v>2591</v>
      </c>
      <c r="AE556" s="51" t="s">
        <v>2592</v>
      </c>
      <c r="AF556" s="51" t="str">
        <f t="shared" si="9"/>
        <v>A679078</v>
      </c>
      <c r="AG556" s="51" t="str">
        <f>VLOOKUP(AF556,AKT!$C$4:$E$324,3,FALSE)</f>
        <v>0942</v>
      </c>
    </row>
    <row r="557" spans="1:33" ht="15.75" hidden="1" customHeight="1">
      <c r="A557" s="51"/>
      <c r="B557" s="51"/>
      <c r="C557" s="51"/>
      <c r="D557" s="51"/>
      <c r="E557" s="51"/>
      <c r="F557" s="51"/>
      <c r="G557" s="51"/>
      <c r="H557" s="55"/>
      <c r="I557" s="55"/>
      <c r="J557" s="55"/>
      <c r="K557" s="55"/>
      <c r="L557" s="55"/>
      <c r="M557" s="55"/>
      <c r="N557" s="55"/>
      <c r="O557" s="55"/>
      <c r="P557" s="55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  <c r="AC557" s="51"/>
      <c r="AD557" s="51" t="s">
        <v>2593</v>
      </c>
      <c r="AE557" s="51" t="s">
        <v>2594</v>
      </c>
      <c r="AF557" s="51" t="str">
        <f t="shared" si="9"/>
        <v>A679078</v>
      </c>
      <c r="AG557" s="51" t="str">
        <f>VLOOKUP(AF557,AKT!$C$4:$E$324,3,FALSE)</f>
        <v>0942</v>
      </c>
    </row>
    <row r="558" spans="1:33" ht="15.75" hidden="1" customHeight="1">
      <c r="A558" s="51"/>
      <c r="B558" s="51"/>
      <c r="C558" s="51"/>
      <c r="D558" s="51"/>
      <c r="E558" s="51"/>
      <c r="F558" s="51"/>
      <c r="G558" s="51"/>
      <c r="H558" s="55"/>
      <c r="I558" s="55"/>
      <c r="J558" s="55"/>
      <c r="K558" s="55"/>
      <c r="L558" s="55"/>
      <c r="M558" s="55"/>
      <c r="N558" s="55"/>
      <c r="O558" s="55"/>
      <c r="P558" s="55"/>
      <c r="Q558" s="51"/>
      <c r="R558" s="51"/>
      <c r="S558" s="51"/>
      <c r="T558" s="51"/>
      <c r="U558" s="51"/>
      <c r="V558" s="51"/>
      <c r="W558" s="51"/>
      <c r="X558" s="51"/>
      <c r="Y558" s="51"/>
      <c r="Z558" s="51"/>
      <c r="AA558" s="51"/>
      <c r="AB558" s="51"/>
      <c r="AC558" s="51"/>
      <c r="AD558" s="51" t="s">
        <v>2595</v>
      </c>
      <c r="AE558" s="51" t="s">
        <v>2596</v>
      </c>
      <c r="AF558" s="51" t="str">
        <f t="shared" si="9"/>
        <v>A679078</v>
      </c>
      <c r="AG558" s="51" t="str">
        <f>VLOOKUP(AF558,AKT!$C$4:$E$324,3,FALSE)</f>
        <v>0942</v>
      </c>
    </row>
    <row r="559" spans="1:33" ht="15.75" hidden="1" customHeight="1">
      <c r="A559" s="51"/>
      <c r="B559" s="51"/>
      <c r="C559" s="51"/>
      <c r="D559" s="51"/>
      <c r="E559" s="51"/>
      <c r="F559" s="51"/>
      <c r="G559" s="51"/>
      <c r="H559" s="55"/>
      <c r="I559" s="55"/>
      <c r="J559" s="55"/>
      <c r="K559" s="55"/>
      <c r="L559" s="55"/>
      <c r="M559" s="55"/>
      <c r="N559" s="55"/>
      <c r="O559" s="55"/>
      <c r="P559" s="55"/>
      <c r="Q559" s="51"/>
      <c r="R559" s="51"/>
      <c r="S559" s="51"/>
      <c r="T559" s="51"/>
      <c r="U559" s="51"/>
      <c r="V559" s="51"/>
      <c r="W559" s="51"/>
      <c r="X559" s="51"/>
      <c r="Y559" s="51"/>
      <c r="Z559" s="51"/>
      <c r="AA559" s="51"/>
      <c r="AB559" s="51"/>
      <c r="AC559" s="51"/>
      <c r="AD559" s="51" t="s">
        <v>2597</v>
      </c>
      <c r="AE559" s="51" t="s">
        <v>2598</v>
      </c>
      <c r="AF559" s="51" t="str">
        <f t="shared" si="9"/>
        <v>A679078</v>
      </c>
      <c r="AG559" s="51" t="str">
        <f>VLOOKUP(AF559,AKT!$C$4:$E$324,3,FALSE)</f>
        <v>0942</v>
      </c>
    </row>
    <row r="560" spans="1:33" ht="15.75" hidden="1" customHeight="1">
      <c r="A560" s="51"/>
      <c r="B560" s="51"/>
      <c r="C560" s="51"/>
      <c r="D560" s="51"/>
      <c r="E560" s="51"/>
      <c r="F560" s="51"/>
      <c r="G560" s="51"/>
      <c r="H560" s="55"/>
      <c r="I560" s="55"/>
      <c r="J560" s="55"/>
      <c r="K560" s="55"/>
      <c r="L560" s="55"/>
      <c r="M560" s="55"/>
      <c r="N560" s="55"/>
      <c r="O560" s="55"/>
      <c r="P560" s="55"/>
      <c r="Q560" s="51"/>
      <c r="R560" s="51"/>
      <c r="S560" s="51"/>
      <c r="T560" s="51"/>
      <c r="U560" s="51"/>
      <c r="V560" s="51"/>
      <c r="W560" s="51"/>
      <c r="X560" s="51"/>
      <c r="Y560" s="51"/>
      <c r="Z560" s="51"/>
      <c r="AA560" s="51"/>
      <c r="AB560" s="51"/>
      <c r="AC560" s="51"/>
      <c r="AD560" s="51" t="s">
        <v>2599</v>
      </c>
      <c r="AE560" s="51" t="s">
        <v>2600</v>
      </c>
      <c r="AF560" s="51" t="str">
        <f t="shared" si="9"/>
        <v>A679078</v>
      </c>
      <c r="AG560" s="51" t="str">
        <f>VLOOKUP(AF560,AKT!$C$4:$E$324,3,FALSE)</f>
        <v>0942</v>
      </c>
    </row>
    <row r="561" spans="1:33" ht="15.75" hidden="1" customHeight="1">
      <c r="A561" s="51"/>
      <c r="B561" s="51"/>
      <c r="C561" s="51"/>
      <c r="D561" s="51"/>
      <c r="E561" s="51"/>
      <c r="F561" s="51"/>
      <c r="G561" s="51"/>
      <c r="H561" s="55"/>
      <c r="I561" s="55"/>
      <c r="J561" s="55"/>
      <c r="K561" s="55"/>
      <c r="L561" s="55"/>
      <c r="M561" s="55"/>
      <c r="N561" s="55"/>
      <c r="O561" s="55"/>
      <c r="P561" s="55"/>
      <c r="Q561" s="51"/>
      <c r="R561" s="51"/>
      <c r="S561" s="51"/>
      <c r="T561" s="51"/>
      <c r="U561" s="51"/>
      <c r="V561" s="51"/>
      <c r="W561" s="51"/>
      <c r="X561" s="51"/>
      <c r="Y561" s="51"/>
      <c r="Z561" s="51"/>
      <c r="AA561" s="51"/>
      <c r="AB561" s="51"/>
      <c r="AC561" s="51"/>
      <c r="AD561" s="51" t="s">
        <v>2601</v>
      </c>
      <c r="AE561" s="51" t="s">
        <v>2602</v>
      </c>
      <c r="AF561" s="51" t="str">
        <f t="shared" si="9"/>
        <v>A679078</v>
      </c>
      <c r="AG561" s="51" t="str">
        <f>VLOOKUP(AF561,AKT!$C$4:$E$324,3,FALSE)</f>
        <v>0942</v>
      </c>
    </row>
    <row r="562" spans="1:33" ht="15.75" hidden="1" customHeight="1">
      <c r="A562" s="51"/>
      <c r="B562" s="51"/>
      <c r="C562" s="51"/>
      <c r="D562" s="51"/>
      <c r="E562" s="51"/>
      <c r="F562" s="51"/>
      <c r="G562" s="51"/>
      <c r="H562" s="55"/>
      <c r="I562" s="55"/>
      <c r="J562" s="55"/>
      <c r="K562" s="55"/>
      <c r="L562" s="55"/>
      <c r="M562" s="55"/>
      <c r="N562" s="55"/>
      <c r="O562" s="55"/>
      <c r="P562" s="55"/>
      <c r="Q562" s="51"/>
      <c r="R562" s="51"/>
      <c r="S562" s="51"/>
      <c r="T562" s="51"/>
      <c r="U562" s="51"/>
      <c r="V562" s="51"/>
      <c r="W562" s="51"/>
      <c r="X562" s="51"/>
      <c r="Y562" s="51"/>
      <c r="Z562" s="51"/>
      <c r="AA562" s="51"/>
      <c r="AB562" s="51"/>
      <c r="AC562" s="51"/>
      <c r="AD562" s="51" t="s">
        <v>2603</v>
      </c>
      <c r="AE562" s="51" t="s">
        <v>2604</v>
      </c>
      <c r="AF562" s="51" t="str">
        <f t="shared" si="9"/>
        <v>A679078</v>
      </c>
      <c r="AG562" s="51" t="str">
        <f>VLOOKUP(AF562,AKT!$C$4:$E$324,3,FALSE)</f>
        <v>0942</v>
      </c>
    </row>
    <row r="563" spans="1:33" ht="15.75" hidden="1" customHeight="1">
      <c r="A563" s="51"/>
      <c r="B563" s="51"/>
      <c r="C563" s="51"/>
      <c r="D563" s="51"/>
      <c r="E563" s="51"/>
      <c r="F563" s="51"/>
      <c r="G563" s="51"/>
      <c r="H563" s="55"/>
      <c r="I563" s="55"/>
      <c r="J563" s="55"/>
      <c r="K563" s="55"/>
      <c r="L563" s="55"/>
      <c r="M563" s="55"/>
      <c r="N563" s="55"/>
      <c r="O563" s="55"/>
      <c r="P563" s="55"/>
      <c r="Q563" s="51"/>
      <c r="R563" s="51"/>
      <c r="S563" s="51"/>
      <c r="T563" s="51"/>
      <c r="U563" s="51"/>
      <c r="V563" s="51"/>
      <c r="W563" s="51"/>
      <c r="X563" s="51"/>
      <c r="Y563" s="51"/>
      <c r="Z563" s="51"/>
      <c r="AA563" s="51"/>
      <c r="AB563" s="51"/>
      <c r="AC563" s="51"/>
      <c r="AD563" s="51" t="s">
        <v>2605</v>
      </c>
      <c r="AE563" s="51" t="s">
        <v>2606</v>
      </c>
      <c r="AF563" s="51" t="str">
        <f t="shared" si="9"/>
        <v>A679078</v>
      </c>
      <c r="AG563" s="51" t="str">
        <f>VLOOKUP(AF563,AKT!$C$4:$E$324,3,FALSE)</f>
        <v>0942</v>
      </c>
    </row>
    <row r="564" spans="1:33" ht="15.75" hidden="1" customHeight="1">
      <c r="A564" s="51"/>
      <c r="B564" s="51"/>
      <c r="C564" s="51"/>
      <c r="D564" s="51"/>
      <c r="E564" s="51"/>
      <c r="F564" s="51"/>
      <c r="G564" s="51"/>
      <c r="H564" s="55"/>
      <c r="I564" s="55"/>
      <c r="J564" s="55"/>
      <c r="K564" s="55"/>
      <c r="L564" s="55"/>
      <c r="M564" s="55"/>
      <c r="N564" s="55"/>
      <c r="O564" s="55"/>
      <c r="P564" s="55"/>
      <c r="Q564" s="51"/>
      <c r="R564" s="51"/>
      <c r="S564" s="51"/>
      <c r="T564" s="51"/>
      <c r="U564" s="51"/>
      <c r="V564" s="51"/>
      <c r="W564" s="51"/>
      <c r="X564" s="51"/>
      <c r="Y564" s="51"/>
      <c r="Z564" s="51"/>
      <c r="AA564" s="51"/>
      <c r="AB564" s="51"/>
      <c r="AC564" s="51"/>
      <c r="AD564" s="51" t="s">
        <v>2607</v>
      </c>
      <c r="AE564" s="51" t="s">
        <v>2608</v>
      </c>
      <c r="AF564" s="51" t="str">
        <f t="shared" si="9"/>
        <v>A679078</v>
      </c>
      <c r="AG564" s="51" t="str">
        <f>VLOOKUP(AF564,AKT!$C$4:$E$324,3,FALSE)</f>
        <v>0942</v>
      </c>
    </row>
    <row r="565" spans="1:33" ht="15.75" hidden="1" customHeight="1">
      <c r="A565" s="51"/>
      <c r="B565" s="51"/>
      <c r="C565" s="51"/>
      <c r="D565" s="51"/>
      <c r="E565" s="51"/>
      <c r="F565" s="51"/>
      <c r="G565" s="51"/>
      <c r="H565" s="55"/>
      <c r="I565" s="55"/>
      <c r="J565" s="55"/>
      <c r="K565" s="55"/>
      <c r="L565" s="55"/>
      <c r="M565" s="55"/>
      <c r="N565" s="55"/>
      <c r="O565" s="55"/>
      <c r="P565" s="55"/>
      <c r="Q565" s="51"/>
      <c r="R565" s="51"/>
      <c r="S565" s="51"/>
      <c r="T565" s="51"/>
      <c r="U565" s="51"/>
      <c r="V565" s="51"/>
      <c r="W565" s="51"/>
      <c r="X565" s="51"/>
      <c r="Y565" s="51"/>
      <c r="Z565" s="51"/>
      <c r="AA565" s="51"/>
      <c r="AB565" s="51"/>
      <c r="AC565" s="51"/>
      <c r="AD565" s="51" t="s">
        <v>2609</v>
      </c>
      <c r="AE565" s="51" t="s">
        <v>2610</v>
      </c>
      <c r="AF565" s="51" t="str">
        <f t="shared" si="9"/>
        <v>A679078</v>
      </c>
      <c r="AG565" s="51" t="str">
        <f>VLOOKUP(AF565,AKT!$C$4:$E$324,3,FALSE)</f>
        <v>0942</v>
      </c>
    </row>
    <row r="566" spans="1:33" ht="15.75" hidden="1" customHeight="1">
      <c r="A566" s="51"/>
      <c r="B566" s="51"/>
      <c r="C566" s="51"/>
      <c r="D566" s="51"/>
      <c r="E566" s="51"/>
      <c r="F566" s="51"/>
      <c r="G566" s="51"/>
      <c r="H566" s="55"/>
      <c r="I566" s="55"/>
      <c r="J566" s="55"/>
      <c r="K566" s="55"/>
      <c r="L566" s="55"/>
      <c r="M566" s="55"/>
      <c r="N566" s="55"/>
      <c r="O566" s="55"/>
      <c r="P566" s="55"/>
      <c r="Q566" s="51"/>
      <c r="R566" s="51"/>
      <c r="S566" s="51"/>
      <c r="T566" s="51"/>
      <c r="U566" s="51"/>
      <c r="V566" s="51"/>
      <c r="W566" s="51"/>
      <c r="X566" s="51"/>
      <c r="Y566" s="51"/>
      <c r="Z566" s="51"/>
      <c r="AA566" s="51"/>
      <c r="AB566" s="51"/>
      <c r="AC566" s="51"/>
      <c r="AD566" s="51" t="s">
        <v>2611</v>
      </c>
      <c r="AE566" s="51" t="s">
        <v>2612</v>
      </c>
      <c r="AF566" s="51" t="str">
        <f t="shared" si="9"/>
        <v>A679078</v>
      </c>
      <c r="AG566" s="51" t="str">
        <f>VLOOKUP(AF566,AKT!$C$4:$E$324,3,FALSE)</f>
        <v>0942</v>
      </c>
    </row>
    <row r="567" spans="1:33" ht="15.75" hidden="1" customHeight="1">
      <c r="A567" s="51"/>
      <c r="B567" s="51"/>
      <c r="C567" s="51"/>
      <c r="D567" s="51"/>
      <c r="E567" s="51"/>
      <c r="F567" s="51"/>
      <c r="G567" s="51"/>
      <c r="H567" s="55"/>
      <c r="I567" s="55"/>
      <c r="J567" s="55"/>
      <c r="K567" s="55"/>
      <c r="L567" s="55"/>
      <c r="M567" s="55"/>
      <c r="N567" s="55"/>
      <c r="O567" s="55"/>
      <c r="P567" s="55"/>
      <c r="Q567" s="51"/>
      <c r="R567" s="51"/>
      <c r="S567" s="51"/>
      <c r="T567" s="51"/>
      <c r="U567" s="51"/>
      <c r="V567" s="51"/>
      <c r="W567" s="51"/>
      <c r="X567" s="51"/>
      <c r="Y567" s="51"/>
      <c r="Z567" s="51"/>
      <c r="AA567" s="51"/>
      <c r="AB567" s="51"/>
      <c r="AC567" s="51"/>
      <c r="AD567" s="51" t="s">
        <v>2613</v>
      </c>
      <c r="AE567" s="51" t="s">
        <v>2614</v>
      </c>
      <c r="AF567" s="51" t="str">
        <f t="shared" si="9"/>
        <v>A679078</v>
      </c>
      <c r="AG567" s="51" t="str">
        <f>VLOOKUP(AF567,AKT!$C$4:$E$324,3,FALSE)</f>
        <v>0942</v>
      </c>
    </row>
    <row r="568" spans="1:33" ht="15.75" hidden="1" customHeight="1">
      <c r="A568" s="51"/>
      <c r="B568" s="51"/>
      <c r="C568" s="51"/>
      <c r="D568" s="51"/>
      <c r="E568" s="51"/>
      <c r="F568" s="51"/>
      <c r="G568" s="51"/>
      <c r="H568" s="55"/>
      <c r="I568" s="55"/>
      <c r="J568" s="55"/>
      <c r="K568" s="55"/>
      <c r="L568" s="55"/>
      <c r="M568" s="55"/>
      <c r="N568" s="55"/>
      <c r="O568" s="55"/>
      <c r="P568" s="55"/>
      <c r="Q568" s="51"/>
      <c r="R568" s="51"/>
      <c r="S568" s="51"/>
      <c r="T568" s="51"/>
      <c r="U568" s="51"/>
      <c r="V568" s="51"/>
      <c r="W568" s="51"/>
      <c r="X568" s="51"/>
      <c r="Y568" s="51"/>
      <c r="Z568" s="51"/>
      <c r="AA568" s="51"/>
      <c r="AB568" s="51"/>
      <c r="AC568" s="51"/>
      <c r="AD568" s="51" t="s">
        <v>2615</v>
      </c>
      <c r="AE568" s="51" t="s">
        <v>2616</v>
      </c>
      <c r="AF568" s="51" t="str">
        <f t="shared" si="9"/>
        <v>A679078</v>
      </c>
      <c r="AG568" s="51" t="str">
        <f>VLOOKUP(AF568,AKT!$C$4:$E$324,3,FALSE)</f>
        <v>0942</v>
      </c>
    </row>
    <row r="569" spans="1:33" ht="15.75" hidden="1" customHeight="1">
      <c r="A569" s="51"/>
      <c r="B569" s="51"/>
      <c r="C569" s="51"/>
      <c r="D569" s="51"/>
      <c r="E569" s="51"/>
      <c r="F569" s="51"/>
      <c r="G569" s="51"/>
      <c r="H569" s="55"/>
      <c r="I569" s="55"/>
      <c r="J569" s="55"/>
      <c r="K569" s="55"/>
      <c r="L569" s="55"/>
      <c r="M569" s="55"/>
      <c r="N569" s="55"/>
      <c r="O569" s="55"/>
      <c r="P569" s="55"/>
      <c r="Q569" s="51"/>
      <c r="R569" s="51"/>
      <c r="S569" s="51"/>
      <c r="T569" s="51"/>
      <c r="U569" s="51"/>
      <c r="V569" s="51"/>
      <c r="W569" s="51"/>
      <c r="X569" s="51"/>
      <c r="Y569" s="51"/>
      <c r="Z569" s="51"/>
      <c r="AA569" s="51"/>
      <c r="AB569" s="51"/>
      <c r="AC569" s="51"/>
      <c r="AD569" s="51" t="s">
        <v>2617</v>
      </c>
      <c r="AE569" s="51" t="s">
        <v>2618</v>
      </c>
      <c r="AF569" s="51" t="str">
        <f t="shared" si="9"/>
        <v>A679078</v>
      </c>
      <c r="AG569" s="51" t="str">
        <f>VLOOKUP(AF569,AKT!$C$4:$E$324,3,FALSE)</f>
        <v>0942</v>
      </c>
    </row>
    <row r="570" spans="1:33" ht="15.75" hidden="1" customHeight="1">
      <c r="A570" s="51"/>
      <c r="B570" s="51"/>
      <c r="C570" s="51"/>
      <c r="D570" s="51"/>
      <c r="E570" s="51"/>
      <c r="F570" s="51"/>
      <c r="G570" s="51"/>
      <c r="H570" s="55"/>
      <c r="I570" s="55"/>
      <c r="J570" s="55"/>
      <c r="K570" s="55"/>
      <c r="L570" s="55"/>
      <c r="M570" s="55"/>
      <c r="N570" s="55"/>
      <c r="O570" s="55"/>
      <c r="P570" s="55"/>
      <c r="Q570" s="51"/>
      <c r="R570" s="51"/>
      <c r="S570" s="51"/>
      <c r="T570" s="51"/>
      <c r="U570" s="51"/>
      <c r="V570" s="51"/>
      <c r="W570" s="51"/>
      <c r="X570" s="51"/>
      <c r="Y570" s="51"/>
      <c r="Z570" s="51"/>
      <c r="AA570" s="51"/>
      <c r="AB570" s="51"/>
      <c r="AC570" s="51"/>
      <c r="AD570" s="51" t="s">
        <v>2619</v>
      </c>
      <c r="AE570" s="51" t="s">
        <v>2620</v>
      </c>
      <c r="AF570" s="51" t="str">
        <f t="shared" si="9"/>
        <v>A679078</v>
      </c>
      <c r="AG570" s="51" t="str">
        <f>VLOOKUP(AF570,AKT!$C$4:$E$324,3,FALSE)</f>
        <v>0942</v>
      </c>
    </row>
    <row r="571" spans="1:33" ht="15.75" hidden="1" customHeight="1">
      <c r="A571" s="51"/>
      <c r="B571" s="51"/>
      <c r="C571" s="51"/>
      <c r="D571" s="51"/>
      <c r="E571" s="51"/>
      <c r="F571" s="51"/>
      <c r="G571" s="51"/>
      <c r="H571" s="55"/>
      <c r="I571" s="55"/>
      <c r="J571" s="55"/>
      <c r="K571" s="55"/>
      <c r="L571" s="55"/>
      <c r="M571" s="55"/>
      <c r="N571" s="55"/>
      <c r="O571" s="55"/>
      <c r="P571" s="55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 t="s">
        <v>2621</v>
      </c>
      <c r="AE571" s="51" t="s">
        <v>2622</v>
      </c>
      <c r="AF571" s="51" t="str">
        <f t="shared" si="9"/>
        <v>A679078</v>
      </c>
      <c r="AG571" s="51" t="str">
        <f>VLOOKUP(AF571,AKT!$C$4:$E$324,3,FALSE)</f>
        <v>0942</v>
      </c>
    </row>
    <row r="572" spans="1:33" ht="15.75" hidden="1" customHeight="1">
      <c r="A572" s="51"/>
      <c r="B572" s="51"/>
      <c r="C572" s="51"/>
      <c r="D572" s="51"/>
      <c r="E572" s="51"/>
      <c r="F572" s="51"/>
      <c r="G572" s="51"/>
      <c r="H572" s="55"/>
      <c r="I572" s="55"/>
      <c r="J572" s="55"/>
      <c r="K572" s="55"/>
      <c r="L572" s="55"/>
      <c r="M572" s="55"/>
      <c r="N572" s="55"/>
      <c r="O572" s="55"/>
      <c r="P572" s="55"/>
      <c r="Q572" s="51"/>
      <c r="R572" s="51"/>
      <c r="S572" s="51"/>
      <c r="T572" s="51"/>
      <c r="U572" s="51"/>
      <c r="V572" s="51"/>
      <c r="W572" s="51"/>
      <c r="X572" s="51"/>
      <c r="Y572" s="51"/>
      <c r="Z572" s="51"/>
      <c r="AA572" s="51"/>
      <c r="AB572" s="51"/>
      <c r="AC572" s="51"/>
      <c r="AD572" s="51" t="s">
        <v>2623</v>
      </c>
      <c r="AE572" s="51" t="s">
        <v>2624</v>
      </c>
      <c r="AF572" s="51" t="str">
        <f t="shared" si="9"/>
        <v>A679078</v>
      </c>
      <c r="AG572" s="51" t="str">
        <f>VLOOKUP(AF572,AKT!$C$4:$E$324,3,FALSE)</f>
        <v>0942</v>
      </c>
    </row>
    <row r="573" spans="1:33" ht="15.75" hidden="1" customHeight="1">
      <c r="A573" s="51"/>
      <c r="B573" s="51"/>
      <c r="C573" s="51"/>
      <c r="D573" s="51"/>
      <c r="E573" s="51"/>
      <c r="F573" s="51"/>
      <c r="G573" s="51"/>
      <c r="H573" s="55"/>
      <c r="I573" s="55"/>
      <c r="J573" s="55"/>
      <c r="K573" s="55"/>
      <c r="L573" s="55"/>
      <c r="M573" s="55"/>
      <c r="N573" s="55"/>
      <c r="O573" s="55"/>
      <c r="P573" s="55"/>
      <c r="Q573" s="51"/>
      <c r="R573" s="51"/>
      <c r="S573" s="51"/>
      <c r="T573" s="51"/>
      <c r="U573" s="51"/>
      <c r="V573" s="51"/>
      <c r="W573" s="51"/>
      <c r="X573" s="51"/>
      <c r="Y573" s="51"/>
      <c r="Z573" s="51"/>
      <c r="AA573" s="51"/>
      <c r="AB573" s="51"/>
      <c r="AC573" s="51"/>
      <c r="AD573" s="51" t="s">
        <v>2625</v>
      </c>
      <c r="AE573" s="51" t="s">
        <v>2626</v>
      </c>
      <c r="AF573" s="51" t="str">
        <f t="shared" si="9"/>
        <v>A679078</v>
      </c>
      <c r="AG573" s="51" t="str">
        <f>VLOOKUP(AF573,AKT!$C$4:$E$324,3,FALSE)</f>
        <v>0942</v>
      </c>
    </row>
    <row r="574" spans="1:33" ht="15.75" hidden="1" customHeight="1">
      <c r="A574" s="51"/>
      <c r="B574" s="51"/>
      <c r="C574" s="51"/>
      <c r="D574" s="51"/>
      <c r="E574" s="51"/>
      <c r="F574" s="51"/>
      <c r="G574" s="51"/>
      <c r="H574" s="55"/>
      <c r="I574" s="55"/>
      <c r="J574" s="55"/>
      <c r="K574" s="55"/>
      <c r="L574" s="55"/>
      <c r="M574" s="55"/>
      <c r="N574" s="55"/>
      <c r="O574" s="55"/>
      <c r="P574" s="55"/>
      <c r="Q574" s="51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 t="s">
        <v>2627</v>
      </c>
      <c r="AE574" s="51" t="s">
        <v>2628</v>
      </c>
      <c r="AF574" s="51" t="str">
        <f t="shared" si="9"/>
        <v>A679078</v>
      </c>
      <c r="AG574" s="51" t="str">
        <f>VLOOKUP(AF574,AKT!$C$4:$E$324,3,FALSE)</f>
        <v>0942</v>
      </c>
    </row>
    <row r="575" spans="1:33" ht="15.75" hidden="1" customHeight="1">
      <c r="A575" s="51"/>
      <c r="B575" s="51"/>
      <c r="C575" s="51"/>
      <c r="D575" s="51"/>
      <c r="E575" s="51"/>
      <c r="F575" s="51"/>
      <c r="G575" s="51"/>
      <c r="H575" s="55"/>
      <c r="I575" s="55"/>
      <c r="J575" s="55"/>
      <c r="K575" s="55"/>
      <c r="L575" s="55"/>
      <c r="M575" s="55"/>
      <c r="N575" s="55"/>
      <c r="O575" s="55"/>
      <c r="P575" s="55"/>
      <c r="Q575" s="51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 t="s">
        <v>2629</v>
      </c>
      <c r="AE575" s="51" t="s">
        <v>2630</v>
      </c>
      <c r="AF575" s="51" t="str">
        <f t="shared" si="9"/>
        <v>A679078</v>
      </c>
      <c r="AG575" s="51" t="str">
        <f>VLOOKUP(AF575,AKT!$C$4:$E$324,3,FALSE)</f>
        <v>0942</v>
      </c>
    </row>
    <row r="576" spans="1:33" ht="15.75" hidden="1" customHeight="1">
      <c r="A576" s="51"/>
      <c r="B576" s="51"/>
      <c r="C576" s="51"/>
      <c r="D576" s="51"/>
      <c r="E576" s="51"/>
      <c r="F576" s="51"/>
      <c r="G576" s="51"/>
      <c r="H576" s="55"/>
      <c r="I576" s="55"/>
      <c r="J576" s="55"/>
      <c r="K576" s="55"/>
      <c r="L576" s="55"/>
      <c r="M576" s="55"/>
      <c r="N576" s="55"/>
      <c r="O576" s="55"/>
      <c r="P576" s="55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 t="s">
        <v>2631</v>
      </c>
      <c r="AE576" s="51" t="s">
        <v>2632</v>
      </c>
      <c r="AF576" s="51" t="str">
        <f t="shared" si="9"/>
        <v>A679078</v>
      </c>
      <c r="AG576" s="51" t="str">
        <f>VLOOKUP(AF576,AKT!$C$4:$E$324,3,FALSE)</f>
        <v>0942</v>
      </c>
    </row>
    <row r="577" spans="1:33" ht="15.75" hidden="1" customHeight="1">
      <c r="A577" s="51"/>
      <c r="B577" s="51"/>
      <c r="C577" s="51"/>
      <c r="D577" s="51"/>
      <c r="E577" s="51"/>
      <c r="F577" s="51"/>
      <c r="G577" s="51"/>
      <c r="H577" s="55"/>
      <c r="I577" s="55"/>
      <c r="J577" s="55"/>
      <c r="K577" s="55"/>
      <c r="L577" s="55"/>
      <c r="M577" s="55"/>
      <c r="N577" s="55"/>
      <c r="O577" s="55"/>
      <c r="P577" s="55"/>
      <c r="Q577" s="51"/>
      <c r="R577" s="51"/>
      <c r="S577" s="51"/>
      <c r="T577" s="51"/>
      <c r="U577" s="51"/>
      <c r="V577" s="51"/>
      <c r="W577" s="51"/>
      <c r="X577" s="51"/>
      <c r="Y577" s="51"/>
      <c r="Z577" s="51"/>
      <c r="AA577" s="51"/>
      <c r="AB577" s="51"/>
      <c r="AC577" s="51"/>
      <c r="AD577" s="51" t="s">
        <v>2633</v>
      </c>
      <c r="AE577" s="51" t="s">
        <v>2634</v>
      </c>
      <c r="AF577" s="51" t="str">
        <f t="shared" si="9"/>
        <v>A679078</v>
      </c>
      <c r="AG577" s="51" t="str">
        <f>VLOOKUP(AF577,AKT!$C$4:$E$324,3,FALSE)</f>
        <v>0942</v>
      </c>
    </row>
    <row r="578" spans="1:33" ht="15.75" hidden="1" customHeight="1">
      <c r="A578" s="51"/>
      <c r="B578" s="51"/>
      <c r="C578" s="51"/>
      <c r="D578" s="51"/>
      <c r="E578" s="51"/>
      <c r="F578" s="51"/>
      <c r="G578" s="51"/>
      <c r="H578" s="55"/>
      <c r="I578" s="55"/>
      <c r="J578" s="55"/>
      <c r="K578" s="55"/>
      <c r="L578" s="55"/>
      <c r="M578" s="55"/>
      <c r="N578" s="55"/>
      <c r="O578" s="55"/>
      <c r="P578" s="55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 t="s">
        <v>2635</v>
      </c>
      <c r="AE578" s="51" t="s">
        <v>2636</v>
      </c>
      <c r="AF578" s="51" t="str">
        <f t="shared" si="9"/>
        <v>A679078</v>
      </c>
      <c r="AG578" s="51" t="str">
        <f>VLOOKUP(AF578,AKT!$C$4:$E$324,3,FALSE)</f>
        <v>0942</v>
      </c>
    </row>
    <row r="579" spans="1:33" ht="15.75" hidden="1" customHeight="1">
      <c r="A579" s="51"/>
      <c r="B579" s="51"/>
      <c r="C579" s="51"/>
      <c r="D579" s="51"/>
      <c r="E579" s="51"/>
      <c r="F579" s="51"/>
      <c r="G579" s="51"/>
      <c r="H579" s="55"/>
      <c r="I579" s="55"/>
      <c r="J579" s="55"/>
      <c r="K579" s="55"/>
      <c r="L579" s="55"/>
      <c r="M579" s="55"/>
      <c r="N579" s="55"/>
      <c r="O579" s="55"/>
      <c r="P579" s="55"/>
      <c r="Q579" s="51"/>
      <c r="R579" s="51"/>
      <c r="S579" s="51"/>
      <c r="T579" s="51"/>
      <c r="U579" s="51"/>
      <c r="V579" s="51"/>
      <c r="W579" s="51"/>
      <c r="X579" s="51"/>
      <c r="Y579" s="51"/>
      <c r="Z579" s="51"/>
      <c r="AA579" s="51"/>
      <c r="AB579" s="51"/>
      <c r="AC579" s="51"/>
      <c r="AD579" s="51" t="s">
        <v>2637</v>
      </c>
      <c r="AE579" s="51" t="s">
        <v>2638</v>
      </c>
      <c r="AF579" s="51" t="str">
        <f t="shared" si="9"/>
        <v>A679078</v>
      </c>
      <c r="AG579" s="51" t="str">
        <f>VLOOKUP(AF579,AKT!$C$4:$E$324,3,FALSE)</f>
        <v>0942</v>
      </c>
    </row>
    <row r="580" spans="1:33" ht="15.75" hidden="1" customHeight="1">
      <c r="A580" s="51"/>
      <c r="B580" s="51"/>
      <c r="C580" s="51"/>
      <c r="D580" s="51"/>
      <c r="E580" s="51"/>
      <c r="F580" s="51"/>
      <c r="G580" s="51"/>
      <c r="H580" s="55"/>
      <c r="I580" s="55"/>
      <c r="J580" s="55"/>
      <c r="K580" s="55"/>
      <c r="L580" s="55"/>
      <c r="M580" s="55"/>
      <c r="N580" s="55"/>
      <c r="O580" s="55"/>
      <c r="P580" s="55"/>
      <c r="Q580" s="51"/>
      <c r="R580" s="51"/>
      <c r="S580" s="51"/>
      <c r="T580" s="51"/>
      <c r="U580" s="51"/>
      <c r="V580" s="51"/>
      <c r="W580" s="51"/>
      <c r="X580" s="51"/>
      <c r="Y580" s="51"/>
      <c r="Z580" s="51"/>
      <c r="AA580" s="51"/>
      <c r="AB580" s="51"/>
      <c r="AC580" s="51"/>
      <c r="AD580" s="51" t="s">
        <v>2639</v>
      </c>
      <c r="AE580" s="51" t="s">
        <v>2640</v>
      </c>
      <c r="AF580" s="51" t="str">
        <f t="shared" si="9"/>
        <v>A679078</v>
      </c>
      <c r="AG580" s="51" t="str">
        <f>VLOOKUP(AF580,AKT!$C$4:$E$324,3,FALSE)</f>
        <v>0942</v>
      </c>
    </row>
    <row r="581" spans="1:33" ht="15.75" hidden="1" customHeight="1">
      <c r="A581" s="51"/>
      <c r="B581" s="51"/>
      <c r="C581" s="51"/>
      <c r="D581" s="51"/>
      <c r="E581" s="51"/>
      <c r="F581" s="51"/>
      <c r="G581" s="51"/>
      <c r="H581" s="55"/>
      <c r="I581" s="55"/>
      <c r="J581" s="55"/>
      <c r="K581" s="55"/>
      <c r="L581" s="55"/>
      <c r="M581" s="55"/>
      <c r="N581" s="55"/>
      <c r="O581" s="55"/>
      <c r="P581" s="55"/>
      <c r="Q581" s="51"/>
      <c r="R581" s="51"/>
      <c r="S581" s="51"/>
      <c r="T581" s="51"/>
      <c r="U581" s="51"/>
      <c r="V581" s="51"/>
      <c r="W581" s="51"/>
      <c r="X581" s="51"/>
      <c r="Y581" s="51"/>
      <c r="Z581" s="51"/>
      <c r="AA581" s="51"/>
      <c r="AB581" s="51"/>
      <c r="AC581" s="51"/>
      <c r="AD581" s="51" t="s">
        <v>2641</v>
      </c>
      <c r="AE581" s="51" t="s">
        <v>2642</v>
      </c>
      <c r="AF581" s="51" t="str">
        <f t="shared" si="9"/>
        <v>A679078</v>
      </c>
      <c r="AG581" s="51" t="str">
        <f>VLOOKUP(AF581,AKT!$C$4:$E$324,3,FALSE)</f>
        <v>0942</v>
      </c>
    </row>
    <row r="582" spans="1:33" ht="15.75" hidden="1" customHeight="1">
      <c r="A582" s="51"/>
      <c r="B582" s="51"/>
      <c r="C582" s="51"/>
      <c r="D582" s="51"/>
      <c r="E582" s="51"/>
      <c r="F582" s="51"/>
      <c r="G582" s="51"/>
      <c r="H582" s="55"/>
      <c r="I582" s="55"/>
      <c r="J582" s="55"/>
      <c r="K582" s="55"/>
      <c r="L582" s="55"/>
      <c r="M582" s="55"/>
      <c r="N582" s="55"/>
      <c r="O582" s="55"/>
      <c r="P582" s="55"/>
      <c r="Q582" s="51"/>
      <c r="R582" s="51"/>
      <c r="S582" s="51"/>
      <c r="T582" s="51"/>
      <c r="U582" s="51"/>
      <c r="V582" s="51"/>
      <c r="W582" s="51"/>
      <c r="X582" s="51"/>
      <c r="Y582" s="51"/>
      <c r="Z582" s="51"/>
      <c r="AA582" s="51"/>
      <c r="AB582" s="51"/>
      <c r="AC582" s="51"/>
      <c r="AD582" s="51" t="s">
        <v>2643</v>
      </c>
      <c r="AE582" s="51" t="s">
        <v>2644</v>
      </c>
      <c r="AF582" s="51" t="str">
        <f t="shared" si="9"/>
        <v>A679078</v>
      </c>
      <c r="AG582" s="51" t="str">
        <f>VLOOKUP(AF582,AKT!$C$4:$E$324,3,FALSE)</f>
        <v>0942</v>
      </c>
    </row>
    <row r="583" spans="1:33" ht="15.75" hidden="1" customHeight="1">
      <c r="A583" s="51"/>
      <c r="B583" s="51"/>
      <c r="C583" s="51"/>
      <c r="D583" s="51"/>
      <c r="E583" s="51"/>
      <c r="F583" s="51"/>
      <c r="G583" s="51"/>
      <c r="H583" s="55"/>
      <c r="I583" s="55"/>
      <c r="J583" s="55"/>
      <c r="K583" s="55"/>
      <c r="L583" s="55"/>
      <c r="M583" s="55"/>
      <c r="N583" s="55"/>
      <c r="O583" s="55"/>
      <c r="P583" s="55"/>
      <c r="Q583" s="51"/>
      <c r="R583" s="51"/>
      <c r="S583" s="51"/>
      <c r="T583" s="51"/>
      <c r="U583" s="51"/>
      <c r="V583" s="51"/>
      <c r="W583" s="51"/>
      <c r="X583" s="51"/>
      <c r="Y583" s="51"/>
      <c r="Z583" s="51"/>
      <c r="AA583" s="51"/>
      <c r="AB583" s="51"/>
      <c r="AC583" s="51"/>
      <c r="AD583" s="51" t="s">
        <v>2645</v>
      </c>
      <c r="AE583" s="51" t="s">
        <v>2646</v>
      </c>
      <c r="AF583" s="51" t="str">
        <f t="shared" si="9"/>
        <v>A679078</v>
      </c>
      <c r="AG583" s="51" t="str">
        <f>VLOOKUP(AF583,AKT!$C$4:$E$324,3,FALSE)</f>
        <v>0942</v>
      </c>
    </row>
    <row r="584" spans="1:33" ht="15.75" hidden="1" customHeight="1">
      <c r="A584" s="51"/>
      <c r="B584" s="51"/>
      <c r="C584" s="51"/>
      <c r="D584" s="51"/>
      <c r="E584" s="51"/>
      <c r="F584" s="51"/>
      <c r="G584" s="51"/>
      <c r="H584" s="55"/>
      <c r="I584" s="55"/>
      <c r="J584" s="55"/>
      <c r="K584" s="55"/>
      <c r="L584" s="55"/>
      <c r="M584" s="55"/>
      <c r="N584" s="55"/>
      <c r="O584" s="55"/>
      <c r="P584" s="55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 t="s">
        <v>2647</v>
      </c>
      <c r="AE584" s="51" t="s">
        <v>2648</v>
      </c>
      <c r="AF584" s="51" t="str">
        <f t="shared" si="9"/>
        <v>A679078</v>
      </c>
      <c r="AG584" s="51" t="str">
        <f>VLOOKUP(AF584,AKT!$C$4:$E$324,3,FALSE)</f>
        <v>0942</v>
      </c>
    </row>
    <row r="585" spans="1:33" ht="15.75" hidden="1" customHeight="1">
      <c r="A585" s="51"/>
      <c r="B585" s="51"/>
      <c r="C585" s="51"/>
      <c r="D585" s="51"/>
      <c r="E585" s="51"/>
      <c r="F585" s="51"/>
      <c r="G585" s="51"/>
      <c r="H585" s="55"/>
      <c r="I585" s="55"/>
      <c r="J585" s="55"/>
      <c r="K585" s="55"/>
      <c r="L585" s="55"/>
      <c r="M585" s="55"/>
      <c r="N585" s="55"/>
      <c r="O585" s="55"/>
      <c r="P585" s="55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 t="s">
        <v>2649</v>
      </c>
      <c r="AE585" s="51" t="s">
        <v>2650</v>
      </c>
      <c r="AF585" s="51" t="str">
        <f t="shared" si="9"/>
        <v>A679078</v>
      </c>
      <c r="AG585" s="51" t="str">
        <f>VLOOKUP(AF585,AKT!$C$4:$E$324,3,FALSE)</f>
        <v>0942</v>
      </c>
    </row>
    <row r="586" spans="1:33" ht="15.75" hidden="1" customHeight="1">
      <c r="A586" s="51"/>
      <c r="B586" s="51"/>
      <c r="C586" s="51"/>
      <c r="D586" s="51"/>
      <c r="E586" s="51"/>
      <c r="F586" s="51"/>
      <c r="G586" s="51"/>
      <c r="H586" s="55"/>
      <c r="I586" s="55"/>
      <c r="J586" s="55"/>
      <c r="K586" s="55"/>
      <c r="L586" s="55"/>
      <c r="M586" s="55"/>
      <c r="N586" s="55"/>
      <c r="O586" s="55"/>
      <c r="P586" s="55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 t="s">
        <v>2651</v>
      </c>
      <c r="AE586" s="51" t="s">
        <v>2652</v>
      </c>
      <c r="AF586" s="51" t="str">
        <f t="shared" si="9"/>
        <v>A679078</v>
      </c>
      <c r="AG586" s="51" t="str">
        <f>VLOOKUP(AF586,AKT!$C$4:$E$324,3,FALSE)</f>
        <v>0942</v>
      </c>
    </row>
    <row r="587" spans="1:33" ht="15.75" hidden="1" customHeight="1">
      <c r="A587" s="51"/>
      <c r="B587" s="51"/>
      <c r="C587" s="51"/>
      <c r="D587" s="51"/>
      <c r="E587" s="51"/>
      <c r="F587" s="51"/>
      <c r="G587" s="51"/>
      <c r="H587" s="55"/>
      <c r="I587" s="55"/>
      <c r="J587" s="55"/>
      <c r="K587" s="55"/>
      <c r="L587" s="55"/>
      <c r="M587" s="55"/>
      <c r="N587" s="55"/>
      <c r="O587" s="55"/>
      <c r="P587" s="55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 t="s">
        <v>2653</v>
      </c>
      <c r="AE587" s="51" t="s">
        <v>2654</v>
      </c>
      <c r="AF587" s="51" t="str">
        <f t="shared" si="9"/>
        <v>A679078</v>
      </c>
      <c r="AG587" s="51" t="str">
        <f>VLOOKUP(AF587,AKT!$C$4:$E$324,3,FALSE)</f>
        <v>0942</v>
      </c>
    </row>
    <row r="588" spans="1:33" ht="15.75" hidden="1" customHeight="1">
      <c r="A588" s="51"/>
      <c r="B588" s="51"/>
      <c r="C588" s="51"/>
      <c r="D588" s="51"/>
      <c r="E588" s="51"/>
      <c r="F588" s="51"/>
      <c r="G588" s="51"/>
      <c r="H588" s="55"/>
      <c r="I588" s="55"/>
      <c r="J588" s="55"/>
      <c r="K588" s="55"/>
      <c r="L588" s="55"/>
      <c r="M588" s="55"/>
      <c r="N588" s="55"/>
      <c r="O588" s="55"/>
      <c r="P588" s="55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51"/>
      <c r="AB588" s="51"/>
      <c r="AC588" s="51"/>
      <c r="AD588" s="51" t="s">
        <v>2655</v>
      </c>
      <c r="AE588" s="51" t="s">
        <v>2656</v>
      </c>
      <c r="AF588" s="51" t="str">
        <f t="shared" si="9"/>
        <v>A679078</v>
      </c>
      <c r="AG588" s="51" t="str">
        <f>VLOOKUP(AF588,AKT!$C$4:$E$324,3,FALSE)</f>
        <v>0942</v>
      </c>
    </row>
    <row r="589" spans="1:33" ht="15.75" hidden="1" customHeight="1">
      <c r="A589" s="51"/>
      <c r="B589" s="51"/>
      <c r="C589" s="51"/>
      <c r="D589" s="51"/>
      <c r="E589" s="51"/>
      <c r="F589" s="51"/>
      <c r="G589" s="51"/>
      <c r="H589" s="55"/>
      <c r="I589" s="55"/>
      <c r="J589" s="55"/>
      <c r="K589" s="55"/>
      <c r="L589" s="55"/>
      <c r="M589" s="55"/>
      <c r="N589" s="55"/>
      <c r="O589" s="55"/>
      <c r="P589" s="55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51"/>
      <c r="AB589" s="51"/>
      <c r="AC589" s="51"/>
      <c r="AD589" s="51" t="s">
        <v>2657</v>
      </c>
      <c r="AE589" s="51" t="s">
        <v>2658</v>
      </c>
      <c r="AF589" s="51" t="str">
        <f t="shared" si="9"/>
        <v>A679078</v>
      </c>
      <c r="AG589" s="51" t="str">
        <f>VLOOKUP(AF589,AKT!$C$4:$E$324,3,FALSE)</f>
        <v>0942</v>
      </c>
    </row>
    <row r="590" spans="1:33" ht="15.75" hidden="1" customHeight="1">
      <c r="A590" s="51"/>
      <c r="B590" s="51"/>
      <c r="C590" s="51"/>
      <c r="D590" s="51"/>
      <c r="E590" s="51"/>
      <c r="F590" s="51"/>
      <c r="G590" s="51"/>
      <c r="H590" s="55"/>
      <c r="I590" s="55"/>
      <c r="J590" s="55"/>
      <c r="K590" s="55"/>
      <c r="L590" s="55"/>
      <c r="M590" s="55"/>
      <c r="N590" s="55"/>
      <c r="O590" s="55"/>
      <c r="P590" s="55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51"/>
      <c r="AB590" s="51"/>
      <c r="AC590" s="51"/>
      <c r="AD590" s="51" t="s">
        <v>2659</v>
      </c>
      <c r="AE590" s="51" t="s">
        <v>2660</v>
      </c>
      <c r="AF590" s="51" t="str">
        <f t="shared" si="9"/>
        <v>A679078</v>
      </c>
      <c r="AG590" s="51" t="str">
        <f>VLOOKUP(AF590,AKT!$C$4:$E$324,3,FALSE)</f>
        <v>0942</v>
      </c>
    </row>
    <row r="591" spans="1:33" ht="15.75" hidden="1" customHeight="1">
      <c r="A591" s="51"/>
      <c r="B591" s="51"/>
      <c r="C591" s="51"/>
      <c r="D591" s="51"/>
      <c r="E591" s="51"/>
      <c r="F591" s="51"/>
      <c r="G591" s="51"/>
      <c r="H591" s="55"/>
      <c r="I591" s="55"/>
      <c r="J591" s="55"/>
      <c r="K591" s="55"/>
      <c r="L591" s="55"/>
      <c r="M591" s="55"/>
      <c r="N591" s="55"/>
      <c r="O591" s="55"/>
      <c r="P591" s="55"/>
      <c r="Q591" s="51"/>
      <c r="R591" s="51"/>
      <c r="S591" s="51"/>
      <c r="T591" s="51"/>
      <c r="U591" s="51"/>
      <c r="V591" s="51"/>
      <c r="W591" s="51"/>
      <c r="X591" s="51"/>
      <c r="Y591" s="51"/>
      <c r="Z591" s="51"/>
      <c r="AA591" s="51"/>
      <c r="AB591" s="51"/>
      <c r="AC591" s="51"/>
      <c r="AD591" s="51" t="s">
        <v>2661</v>
      </c>
      <c r="AE591" s="51" t="s">
        <v>2662</v>
      </c>
      <c r="AF591" s="51" t="str">
        <f t="shared" si="9"/>
        <v>A679078</v>
      </c>
      <c r="AG591" s="51" t="str">
        <f>VLOOKUP(AF591,AKT!$C$4:$E$324,3,FALSE)</f>
        <v>0942</v>
      </c>
    </row>
    <row r="592" spans="1:33" ht="15.75" hidden="1" customHeight="1">
      <c r="A592" s="51"/>
      <c r="B592" s="51"/>
      <c r="C592" s="51"/>
      <c r="D592" s="51"/>
      <c r="E592" s="51"/>
      <c r="F592" s="51"/>
      <c r="G592" s="51"/>
      <c r="H592" s="55"/>
      <c r="I592" s="55"/>
      <c r="J592" s="55"/>
      <c r="K592" s="55"/>
      <c r="L592" s="55"/>
      <c r="M592" s="55"/>
      <c r="N592" s="55"/>
      <c r="O592" s="55"/>
      <c r="P592" s="55"/>
      <c r="Q592" s="51"/>
      <c r="R592" s="51"/>
      <c r="S592" s="51"/>
      <c r="T592" s="51"/>
      <c r="U592" s="51"/>
      <c r="V592" s="51"/>
      <c r="W592" s="51"/>
      <c r="X592" s="51"/>
      <c r="Y592" s="51"/>
      <c r="Z592" s="51"/>
      <c r="AA592" s="51"/>
      <c r="AB592" s="51"/>
      <c r="AC592" s="51"/>
      <c r="AD592" s="51" t="s">
        <v>2663</v>
      </c>
      <c r="AE592" s="51" t="s">
        <v>2664</v>
      </c>
      <c r="AF592" s="51" t="str">
        <f t="shared" si="9"/>
        <v>A679078</v>
      </c>
      <c r="AG592" s="51" t="str">
        <f>VLOOKUP(AF592,AKT!$C$4:$E$324,3,FALSE)</f>
        <v>0942</v>
      </c>
    </row>
    <row r="593" spans="1:33" ht="15.75" hidden="1" customHeight="1">
      <c r="A593" s="51"/>
      <c r="B593" s="51"/>
      <c r="C593" s="51"/>
      <c r="D593" s="51"/>
      <c r="E593" s="51"/>
      <c r="F593" s="51"/>
      <c r="G593" s="51"/>
      <c r="H593" s="55"/>
      <c r="I593" s="55"/>
      <c r="J593" s="55"/>
      <c r="K593" s="55"/>
      <c r="L593" s="55"/>
      <c r="M593" s="55"/>
      <c r="N593" s="55"/>
      <c r="O593" s="55"/>
      <c r="P593" s="55"/>
      <c r="Q593" s="51"/>
      <c r="R593" s="51"/>
      <c r="S593" s="51"/>
      <c r="T593" s="51"/>
      <c r="U593" s="51"/>
      <c r="V593" s="51"/>
      <c r="W593" s="51"/>
      <c r="X593" s="51"/>
      <c r="Y593" s="51"/>
      <c r="Z593" s="51"/>
      <c r="AA593" s="51"/>
      <c r="AB593" s="51"/>
      <c r="AC593" s="51"/>
      <c r="AD593" s="51" t="s">
        <v>2665</v>
      </c>
      <c r="AE593" s="51" t="s">
        <v>2666</v>
      </c>
      <c r="AF593" s="51" t="str">
        <f t="shared" si="9"/>
        <v>A679078</v>
      </c>
      <c r="AG593" s="51" t="str">
        <f>VLOOKUP(AF593,AKT!$C$4:$E$324,3,FALSE)</f>
        <v>0942</v>
      </c>
    </row>
    <row r="594" spans="1:33" ht="15.75" hidden="1" customHeight="1">
      <c r="A594" s="51"/>
      <c r="B594" s="51"/>
      <c r="C594" s="51"/>
      <c r="D594" s="51"/>
      <c r="E594" s="51"/>
      <c r="F594" s="51"/>
      <c r="G594" s="51"/>
      <c r="H594" s="55"/>
      <c r="I594" s="55"/>
      <c r="J594" s="55"/>
      <c r="K594" s="55"/>
      <c r="L594" s="55"/>
      <c r="M594" s="55"/>
      <c r="N594" s="55"/>
      <c r="O594" s="55"/>
      <c r="P594" s="55"/>
      <c r="Q594" s="51"/>
      <c r="R594" s="51"/>
      <c r="S594" s="51"/>
      <c r="T594" s="51"/>
      <c r="U594" s="51"/>
      <c r="V594" s="51"/>
      <c r="W594" s="51"/>
      <c r="X594" s="51"/>
      <c r="Y594" s="51"/>
      <c r="Z594" s="51"/>
      <c r="AA594" s="51"/>
      <c r="AB594" s="51"/>
      <c r="AC594" s="51"/>
      <c r="AD594" s="51" t="s">
        <v>2667</v>
      </c>
      <c r="AE594" s="51" t="s">
        <v>2668</v>
      </c>
      <c r="AF594" s="51" t="str">
        <f t="shared" si="9"/>
        <v>A679078</v>
      </c>
      <c r="AG594" s="51" t="str">
        <f>VLOOKUP(AF594,AKT!$C$4:$E$324,3,FALSE)</f>
        <v>0942</v>
      </c>
    </row>
    <row r="595" spans="1:33" ht="15.75" hidden="1" customHeight="1">
      <c r="A595" s="51"/>
      <c r="B595" s="51"/>
      <c r="C595" s="51"/>
      <c r="D595" s="51"/>
      <c r="E595" s="51"/>
      <c r="F595" s="51"/>
      <c r="G595" s="51"/>
      <c r="H595" s="55"/>
      <c r="I595" s="55"/>
      <c r="J595" s="55"/>
      <c r="K595" s="55"/>
      <c r="L595" s="55"/>
      <c r="M595" s="55"/>
      <c r="N595" s="55"/>
      <c r="O595" s="55"/>
      <c r="P595" s="55"/>
      <c r="Q595" s="51"/>
      <c r="R595" s="51"/>
      <c r="S595" s="51"/>
      <c r="T595" s="51"/>
      <c r="U595" s="51"/>
      <c r="V595" s="51"/>
      <c r="W595" s="51"/>
      <c r="X595" s="51"/>
      <c r="Y595" s="51"/>
      <c r="Z595" s="51"/>
      <c r="AA595" s="51"/>
      <c r="AB595" s="51"/>
      <c r="AC595" s="51"/>
      <c r="AD595" s="51" t="s">
        <v>2669</v>
      </c>
      <c r="AE595" s="51" t="s">
        <v>2670</v>
      </c>
      <c r="AF595" s="51" t="str">
        <f t="shared" si="9"/>
        <v>A679078</v>
      </c>
      <c r="AG595" s="51" t="str">
        <f>VLOOKUP(AF595,AKT!$C$4:$E$324,3,FALSE)</f>
        <v>0942</v>
      </c>
    </row>
    <row r="596" spans="1:33" ht="15.75" hidden="1" customHeight="1">
      <c r="A596" s="51"/>
      <c r="B596" s="51"/>
      <c r="C596" s="51"/>
      <c r="D596" s="51"/>
      <c r="E596" s="51"/>
      <c r="F596" s="51"/>
      <c r="G596" s="51"/>
      <c r="H596" s="55"/>
      <c r="I596" s="55"/>
      <c r="J596" s="55"/>
      <c r="K596" s="55"/>
      <c r="L596" s="55"/>
      <c r="M596" s="55"/>
      <c r="N596" s="55"/>
      <c r="O596" s="55"/>
      <c r="P596" s="55"/>
      <c r="Q596" s="51"/>
      <c r="R596" s="51"/>
      <c r="S596" s="51"/>
      <c r="T596" s="51"/>
      <c r="U596" s="51"/>
      <c r="V596" s="51"/>
      <c r="W596" s="51"/>
      <c r="X596" s="51"/>
      <c r="Y596" s="51"/>
      <c r="Z596" s="51"/>
      <c r="AA596" s="51"/>
      <c r="AB596" s="51"/>
      <c r="AC596" s="51"/>
      <c r="AD596" s="51" t="s">
        <v>2671</v>
      </c>
      <c r="AE596" s="51" t="s">
        <v>2672</v>
      </c>
      <c r="AF596" s="51" t="str">
        <f t="shared" si="9"/>
        <v>A679078</v>
      </c>
      <c r="AG596" s="51" t="str">
        <f>VLOOKUP(AF596,AKT!$C$4:$E$324,3,FALSE)</f>
        <v>0942</v>
      </c>
    </row>
    <row r="597" spans="1:33" ht="15.75" hidden="1" customHeight="1">
      <c r="A597" s="51"/>
      <c r="B597" s="51"/>
      <c r="C597" s="51"/>
      <c r="D597" s="51"/>
      <c r="E597" s="51"/>
      <c r="F597" s="51"/>
      <c r="G597" s="51"/>
      <c r="H597" s="55"/>
      <c r="I597" s="55"/>
      <c r="J597" s="55"/>
      <c r="K597" s="55"/>
      <c r="L597" s="55"/>
      <c r="M597" s="55"/>
      <c r="N597" s="55"/>
      <c r="O597" s="55"/>
      <c r="P597" s="55"/>
      <c r="Q597" s="51"/>
      <c r="R597" s="51"/>
      <c r="S597" s="51"/>
      <c r="T597" s="51"/>
      <c r="U597" s="51"/>
      <c r="V597" s="51"/>
      <c r="W597" s="51"/>
      <c r="X597" s="51"/>
      <c r="Y597" s="51"/>
      <c r="Z597" s="51"/>
      <c r="AA597" s="51"/>
      <c r="AB597" s="51"/>
      <c r="AC597" s="51"/>
      <c r="AD597" s="51" t="s">
        <v>2673</v>
      </c>
      <c r="AE597" s="51" t="s">
        <v>2674</v>
      </c>
      <c r="AF597" s="51" t="str">
        <f t="shared" si="9"/>
        <v>A679078</v>
      </c>
      <c r="AG597" s="51" t="str">
        <f>VLOOKUP(AF597,AKT!$C$4:$E$324,3,FALSE)</f>
        <v>0942</v>
      </c>
    </row>
    <row r="598" spans="1:33" ht="15.75" hidden="1" customHeight="1">
      <c r="A598" s="51"/>
      <c r="B598" s="51"/>
      <c r="C598" s="51"/>
      <c r="D598" s="51"/>
      <c r="E598" s="51"/>
      <c r="F598" s="51"/>
      <c r="G598" s="51"/>
      <c r="H598" s="55"/>
      <c r="I598" s="55"/>
      <c r="J598" s="55"/>
      <c r="K598" s="55"/>
      <c r="L598" s="55"/>
      <c r="M598" s="55"/>
      <c r="N598" s="55"/>
      <c r="O598" s="55"/>
      <c r="P598" s="55"/>
      <c r="Q598" s="51"/>
      <c r="R598" s="51"/>
      <c r="S598" s="51"/>
      <c r="T598" s="51"/>
      <c r="U598" s="51"/>
      <c r="V598" s="51"/>
      <c r="W598" s="51"/>
      <c r="X598" s="51"/>
      <c r="Y598" s="51"/>
      <c r="Z598" s="51"/>
      <c r="AA598" s="51"/>
      <c r="AB598" s="51"/>
      <c r="AC598" s="51"/>
      <c r="AD598" s="51" t="s">
        <v>2675</v>
      </c>
      <c r="AE598" s="51" t="s">
        <v>2676</v>
      </c>
      <c r="AF598" s="51" t="str">
        <f t="shared" si="9"/>
        <v>A679078</v>
      </c>
      <c r="AG598" s="51" t="str">
        <f>VLOOKUP(AF598,AKT!$C$4:$E$324,3,FALSE)</f>
        <v>0942</v>
      </c>
    </row>
    <row r="599" spans="1:33" ht="15.75" hidden="1" customHeight="1">
      <c r="A599" s="51"/>
      <c r="B599" s="51"/>
      <c r="C599" s="51"/>
      <c r="D599" s="51"/>
      <c r="E599" s="51"/>
      <c r="F599" s="51"/>
      <c r="G599" s="51"/>
      <c r="H599" s="55"/>
      <c r="I599" s="55"/>
      <c r="J599" s="55"/>
      <c r="K599" s="55"/>
      <c r="L599" s="55"/>
      <c r="M599" s="55"/>
      <c r="N599" s="55"/>
      <c r="O599" s="55"/>
      <c r="P599" s="55"/>
      <c r="Q599" s="51"/>
      <c r="R599" s="51"/>
      <c r="S599" s="51"/>
      <c r="T599" s="51"/>
      <c r="U599" s="51"/>
      <c r="V599" s="51"/>
      <c r="W599" s="51"/>
      <c r="X599" s="51"/>
      <c r="Y599" s="51"/>
      <c r="Z599" s="51"/>
      <c r="AA599" s="51"/>
      <c r="AB599" s="51"/>
      <c r="AC599" s="51"/>
      <c r="AD599" s="51" t="s">
        <v>2677</v>
      </c>
      <c r="AE599" s="51" t="s">
        <v>2678</v>
      </c>
      <c r="AF599" s="51" t="str">
        <f t="shared" si="9"/>
        <v>A679078</v>
      </c>
      <c r="AG599" s="51" t="str">
        <f>VLOOKUP(AF599,AKT!$C$4:$E$324,3,FALSE)</f>
        <v>0942</v>
      </c>
    </row>
    <row r="600" spans="1:33" ht="15.75" hidden="1" customHeight="1">
      <c r="A600" s="51"/>
      <c r="B600" s="51"/>
      <c r="C600" s="51"/>
      <c r="D600" s="51"/>
      <c r="E600" s="51"/>
      <c r="F600" s="51"/>
      <c r="G600" s="51"/>
      <c r="H600" s="55"/>
      <c r="I600" s="55"/>
      <c r="J600" s="55"/>
      <c r="K600" s="55"/>
      <c r="L600" s="55"/>
      <c r="M600" s="55"/>
      <c r="N600" s="55"/>
      <c r="O600" s="55"/>
      <c r="P600" s="55"/>
      <c r="Q600" s="51"/>
      <c r="R600" s="51"/>
      <c r="S600" s="51"/>
      <c r="T600" s="51"/>
      <c r="U600" s="51"/>
      <c r="V600" s="51"/>
      <c r="W600" s="51"/>
      <c r="X600" s="51"/>
      <c r="Y600" s="51"/>
      <c r="Z600" s="51"/>
      <c r="AA600" s="51"/>
      <c r="AB600" s="51"/>
      <c r="AC600" s="51"/>
      <c r="AD600" s="51" t="s">
        <v>2679</v>
      </c>
      <c r="AE600" s="51" t="s">
        <v>2680</v>
      </c>
      <c r="AF600" s="51" t="str">
        <f t="shared" si="9"/>
        <v>A679078</v>
      </c>
      <c r="AG600" s="51" t="str">
        <f>VLOOKUP(AF600,AKT!$C$4:$E$324,3,FALSE)</f>
        <v>0942</v>
      </c>
    </row>
    <row r="601" spans="1:33" ht="15.75" hidden="1" customHeight="1">
      <c r="A601" s="51"/>
      <c r="B601" s="51"/>
      <c r="C601" s="51"/>
      <c r="D601" s="51"/>
      <c r="E601" s="51"/>
      <c r="F601" s="51"/>
      <c r="G601" s="51"/>
      <c r="H601" s="55"/>
      <c r="I601" s="55"/>
      <c r="J601" s="55"/>
      <c r="K601" s="55"/>
      <c r="L601" s="55"/>
      <c r="M601" s="55"/>
      <c r="N601" s="55"/>
      <c r="O601" s="55"/>
      <c r="P601" s="55"/>
      <c r="Q601" s="51"/>
      <c r="R601" s="51"/>
      <c r="S601" s="51"/>
      <c r="T601" s="51"/>
      <c r="U601" s="51"/>
      <c r="V601" s="51"/>
      <c r="W601" s="51"/>
      <c r="X601" s="51"/>
      <c r="Y601" s="51"/>
      <c r="Z601" s="51"/>
      <c r="AA601" s="51"/>
      <c r="AB601" s="51"/>
      <c r="AC601" s="51"/>
      <c r="AD601" s="51" t="s">
        <v>2681</v>
      </c>
      <c r="AE601" s="51" t="s">
        <v>2682</v>
      </c>
      <c r="AF601" s="51" t="str">
        <f t="shared" si="9"/>
        <v>A679078</v>
      </c>
      <c r="AG601" s="51" t="str">
        <f>VLOOKUP(AF601,AKT!$C$4:$E$324,3,FALSE)</f>
        <v>0942</v>
      </c>
    </row>
    <row r="602" spans="1:33" ht="15.75" hidden="1" customHeight="1">
      <c r="A602" s="51"/>
      <c r="B602" s="51"/>
      <c r="C602" s="51"/>
      <c r="D602" s="51"/>
      <c r="E602" s="51"/>
      <c r="F602" s="51"/>
      <c r="G602" s="51"/>
      <c r="H602" s="55"/>
      <c r="I602" s="55"/>
      <c r="J602" s="55"/>
      <c r="K602" s="55"/>
      <c r="L602" s="55"/>
      <c r="M602" s="55"/>
      <c r="N602" s="55"/>
      <c r="O602" s="55"/>
      <c r="P602" s="55"/>
      <c r="Q602" s="51"/>
      <c r="R602" s="51"/>
      <c r="S602" s="51"/>
      <c r="T602" s="51"/>
      <c r="U602" s="51"/>
      <c r="V602" s="51"/>
      <c r="W602" s="51"/>
      <c r="X602" s="51"/>
      <c r="Y602" s="51"/>
      <c r="Z602" s="51"/>
      <c r="AA602" s="51"/>
      <c r="AB602" s="51"/>
      <c r="AC602" s="51"/>
      <c r="AD602" s="51" t="s">
        <v>2683</v>
      </c>
      <c r="AE602" s="51" t="s">
        <v>2684</v>
      </c>
      <c r="AF602" s="51" t="str">
        <f t="shared" si="9"/>
        <v>A679078</v>
      </c>
      <c r="AG602" s="51" t="str">
        <f>VLOOKUP(AF602,AKT!$C$4:$E$324,3,FALSE)</f>
        <v>0942</v>
      </c>
    </row>
    <row r="603" spans="1:33" ht="15.75" hidden="1" customHeight="1">
      <c r="A603" s="51"/>
      <c r="B603" s="51"/>
      <c r="C603" s="51"/>
      <c r="D603" s="51"/>
      <c r="E603" s="51"/>
      <c r="F603" s="51"/>
      <c r="G603" s="51"/>
      <c r="H603" s="55"/>
      <c r="I603" s="55"/>
      <c r="J603" s="55"/>
      <c r="K603" s="55"/>
      <c r="L603" s="55"/>
      <c r="M603" s="55"/>
      <c r="N603" s="55"/>
      <c r="O603" s="55"/>
      <c r="P603" s="55"/>
      <c r="Q603" s="51"/>
      <c r="R603" s="51"/>
      <c r="S603" s="51"/>
      <c r="T603" s="51"/>
      <c r="U603" s="51"/>
      <c r="V603" s="51"/>
      <c r="W603" s="51"/>
      <c r="X603" s="51"/>
      <c r="Y603" s="51"/>
      <c r="Z603" s="51"/>
      <c r="AA603" s="51"/>
      <c r="AB603" s="51"/>
      <c r="AC603" s="51"/>
      <c r="AD603" s="51" t="s">
        <v>2685</v>
      </c>
      <c r="AE603" s="51" t="s">
        <v>2686</v>
      </c>
      <c r="AF603" s="51" t="str">
        <f t="shared" si="9"/>
        <v>A679078</v>
      </c>
      <c r="AG603" s="51" t="str">
        <f>VLOOKUP(AF603,AKT!$C$4:$E$324,3,FALSE)</f>
        <v>0942</v>
      </c>
    </row>
    <row r="604" spans="1:33" ht="15.75" hidden="1" customHeight="1">
      <c r="A604" s="51"/>
      <c r="B604" s="51"/>
      <c r="C604" s="51"/>
      <c r="D604" s="51"/>
      <c r="E604" s="51"/>
      <c r="F604" s="51"/>
      <c r="G604" s="51"/>
      <c r="H604" s="55"/>
      <c r="I604" s="55"/>
      <c r="J604" s="55"/>
      <c r="K604" s="55"/>
      <c r="L604" s="55"/>
      <c r="M604" s="55"/>
      <c r="N604" s="55"/>
      <c r="O604" s="55"/>
      <c r="P604" s="55"/>
      <c r="Q604" s="51"/>
      <c r="R604" s="51"/>
      <c r="S604" s="51"/>
      <c r="T604" s="51"/>
      <c r="U604" s="51"/>
      <c r="V604" s="51"/>
      <c r="W604" s="51"/>
      <c r="X604" s="51"/>
      <c r="Y604" s="51"/>
      <c r="Z604" s="51"/>
      <c r="AA604" s="51"/>
      <c r="AB604" s="51"/>
      <c r="AC604" s="51"/>
      <c r="AD604" s="51" t="s">
        <v>2687</v>
      </c>
      <c r="AE604" s="51" t="s">
        <v>2688</v>
      </c>
      <c r="AF604" s="51" t="str">
        <f t="shared" si="9"/>
        <v>A679078</v>
      </c>
      <c r="AG604" s="51" t="str">
        <f>VLOOKUP(AF604,AKT!$C$4:$E$324,3,FALSE)</f>
        <v>0942</v>
      </c>
    </row>
    <row r="605" spans="1:33" ht="15.75" hidden="1" customHeight="1">
      <c r="A605" s="51"/>
      <c r="B605" s="51"/>
      <c r="C605" s="51"/>
      <c r="D605" s="51"/>
      <c r="E605" s="51"/>
      <c r="F605" s="51"/>
      <c r="G605" s="51"/>
      <c r="H605" s="55"/>
      <c r="I605" s="55"/>
      <c r="J605" s="55"/>
      <c r="K605" s="55"/>
      <c r="L605" s="55"/>
      <c r="M605" s="55"/>
      <c r="N605" s="55"/>
      <c r="O605" s="55"/>
      <c r="P605" s="55"/>
      <c r="Q605" s="51"/>
      <c r="R605" s="51"/>
      <c r="S605" s="51"/>
      <c r="T605" s="51"/>
      <c r="U605" s="51"/>
      <c r="V605" s="51"/>
      <c r="W605" s="51"/>
      <c r="X605" s="51"/>
      <c r="Y605" s="51"/>
      <c r="Z605" s="51"/>
      <c r="AA605" s="51"/>
      <c r="AB605" s="51"/>
      <c r="AC605" s="51"/>
      <c r="AD605" s="51" t="s">
        <v>2689</v>
      </c>
      <c r="AE605" s="51" t="s">
        <v>2690</v>
      </c>
      <c r="AF605" s="51" t="str">
        <f t="shared" si="9"/>
        <v>A679078</v>
      </c>
      <c r="AG605" s="51" t="str">
        <f>VLOOKUP(AF605,AKT!$C$4:$E$324,3,FALSE)</f>
        <v>0942</v>
      </c>
    </row>
    <row r="606" spans="1:33" ht="15.75" hidden="1" customHeight="1">
      <c r="A606" s="51"/>
      <c r="B606" s="51"/>
      <c r="C606" s="51"/>
      <c r="D606" s="51"/>
      <c r="E606" s="51"/>
      <c r="F606" s="51"/>
      <c r="G606" s="51"/>
      <c r="H606" s="55"/>
      <c r="I606" s="55"/>
      <c r="J606" s="55"/>
      <c r="K606" s="55"/>
      <c r="L606" s="55"/>
      <c r="M606" s="55"/>
      <c r="N606" s="55"/>
      <c r="O606" s="55"/>
      <c r="P606" s="55"/>
      <c r="Q606" s="51"/>
      <c r="R606" s="51"/>
      <c r="S606" s="51"/>
      <c r="T606" s="51"/>
      <c r="U606" s="51"/>
      <c r="V606" s="51"/>
      <c r="W606" s="51"/>
      <c r="X606" s="51"/>
      <c r="Y606" s="51"/>
      <c r="Z606" s="51"/>
      <c r="AA606" s="51"/>
      <c r="AB606" s="51"/>
      <c r="AC606" s="51"/>
      <c r="AD606" s="51" t="s">
        <v>2691</v>
      </c>
      <c r="AE606" s="51" t="s">
        <v>2692</v>
      </c>
      <c r="AF606" s="51" t="str">
        <f t="shared" si="9"/>
        <v>A679078</v>
      </c>
      <c r="AG606" s="51" t="str">
        <f>VLOOKUP(AF606,AKT!$C$4:$E$324,3,FALSE)</f>
        <v>0942</v>
      </c>
    </row>
    <row r="607" spans="1:33" ht="15.75" hidden="1" customHeight="1">
      <c r="A607" s="51"/>
      <c r="B607" s="51"/>
      <c r="C607" s="51"/>
      <c r="D607" s="51"/>
      <c r="E607" s="51"/>
      <c r="F607" s="51"/>
      <c r="G607" s="51"/>
      <c r="H607" s="55"/>
      <c r="I607" s="55"/>
      <c r="J607" s="55"/>
      <c r="K607" s="55"/>
      <c r="L607" s="55"/>
      <c r="M607" s="55"/>
      <c r="N607" s="55"/>
      <c r="O607" s="55"/>
      <c r="P607" s="55"/>
      <c r="Q607" s="51"/>
      <c r="R607" s="51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1" t="s">
        <v>2693</v>
      </c>
      <c r="AE607" s="51" t="s">
        <v>2694</v>
      </c>
      <c r="AF607" s="51" t="str">
        <f t="shared" si="9"/>
        <v>A679078</v>
      </c>
      <c r="AG607" s="51" t="str">
        <f>VLOOKUP(AF607,AKT!$C$4:$E$324,3,FALSE)</f>
        <v>0942</v>
      </c>
    </row>
    <row r="608" spans="1:33" ht="15.75" hidden="1" customHeight="1">
      <c r="A608" s="51"/>
      <c r="B608" s="51"/>
      <c r="C608" s="51"/>
      <c r="D608" s="51"/>
      <c r="E608" s="51"/>
      <c r="F608" s="51"/>
      <c r="G608" s="51"/>
      <c r="H608" s="55"/>
      <c r="I608" s="55"/>
      <c r="J608" s="55"/>
      <c r="K608" s="55"/>
      <c r="L608" s="55"/>
      <c r="M608" s="55"/>
      <c r="N608" s="55"/>
      <c r="O608" s="55"/>
      <c r="P608" s="55"/>
      <c r="Q608" s="51"/>
      <c r="R608" s="51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1" t="s">
        <v>2695</v>
      </c>
      <c r="AE608" s="51" t="s">
        <v>2696</v>
      </c>
      <c r="AF608" s="51" t="str">
        <f t="shared" si="9"/>
        <v>A679078</v>
      </c>
      <c r="AG608" s="51" t="str">
        <f>VLOOKUP(AF608,AKT!$C$4:$E$324,3,FALSE)</f>
        <v>0942</v>
      </c>
    </row>
    <row r="609" spans="1:33" ht="15.75" hidden="1" customHeight="1">
      <c r="A609" s="51"/>
      <c r="B609" s="51"/>
      <c r="C609" s="51"/>
      <c r="D609" s="51"/>
      <c r="E609" s="51"/>
      <c r="F609" s="51"/>
      <c r="G609" s="51"/>
      <c r="H609" s="55"/>
      <c r="I609" s="55"/>
      <c r="J609" s="55"/>
      <c r="K609" s="55"/>
      <c r="L609" s="55"/>
      <c r="M609" s="55"/>
      <c r="N609" s="55"/>
      <c r="O609" s="55"/>
      <c r="P609" s="55"/>
      <c r="Q609" s="51"/>
      <c r="R609" s="51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51" t="s">
        <v>2697</v>
      </c>
      <c r="AE609" s="51" t="s">
        <v>2698</v>
      </c>
      <c r="AF609" s="51" t="str">
        <f t="shared" si="9"/>
        <v>A679078</v>
      </c>
      <c r="AG609" s="51" t="str">
        <f>VLOOKUP(AF609,AKT!$C$4:$E$324,3,FALSE)</f>
        <v>0942</v>
      </c>
    </row>
    <row r="610" spans="1:33" ht="15.75" hidden="1" customHeight="1">
      <c r="A610" s="51"/>
      <c r="B610" s="51"/>
      <c r="C610" s="51"/>
      <c r="D610" s="51"/>
      <c r="E610" s="51"/>
      <c r="F610" s="51"/>
      <c r="G610" s="51"/>
      <c r="H610" s="55"/>
      <c r="I610" s="55"/>
      <c r="J610" s="55"/>
      <c r="K610" s="55"/>
      <c r="L610" s="55"/>
      <c r="M610" s="55"/>
      <c r="N610" s="55"/>
      <c r="O610" s="55"/>
      <c r="P610" s="55"/>
      <c r="Q610" s="51"/>
      <c r="R610" s="51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1" t="s">
        <v>2699</v>
      </c>
      <c r="AE610" s="51" t="s">
        <v>2700</v>
      </c>
      <c r="AF610" s="51" t="str">
        <f t="shared" si="9"/>
        <v>A679078</v>
      </c>
      <c r="AG610" s="51" t="str">
        <f>VLOOKUP(AF610,AKT!$C$4:$E$324,3,FALSE)</f>
        <v>0942</v>
      </c>
    </row>
    <row r="611" spans="1:33" ht="15.75" hidden="1" customHeight="1">
      <c r="A611" s="51"/>
      <c r="B611" s="51"/>
      <c r="C611" s="51"/>
      <c r="D611" s="51"/>
      <c r="E611" s="51"/>
      <c r="F611" s="51"/>
      <c r="G611" s="51"/>
      <c r="H611" s="55"/>
      <c r="I611" s="55"/>
      <c r="J611" s="55"/>
      <c r="K611" s="55"/>
      <c r="L611" s="55"/>
      <c r="M611" s="55"/>
      <c r="N611" s="55"/>
      <c r="O611" s="55"/>
      <c r="P611" s="55"/>
      <c r="Q611" s="51"/>
      <c r="R611" s="51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1" t="s">
        <v>1768</v>
      </c>
      <c r="AE611" s="51" t="s">
        <v>2701</v>
      </c>
      <c r="AF611" s="51" t="str">
        <f t="shared" si="9"/>
        <v>A679078</v>
      </c>
      <c r="AG611" s="51" t="str">
        <f>VLOOKUP(AF611,AKT!$C$4:$E$324,3,FALSE)</f>
        <v>0942</v>
      </c>
    </row>
    <row r="612" spans="1:33" ht="15.75" hidden="1" customHeight="1">
      <c r="A612" s="51"/>
      <c r="B612" s="51"/>
      <c r="C612" s="51"/>
      <c r="D612" s="51"/>
      <c r="E612" s="51"/>
      <c r="F612" s="51"/>
      <c r="G612" s="51"/>
      <c r="H612" s="55"/>
      <c r="I612" s="55"/>
      <c r="J612" s="55"/>
      <c r="K612" s="55"/>
      <c r="L612" s="55"/>
      <c r="M612" s="55"/>
      <c r="N612" s="55"/>
      <c r="O612" s="55"/>
      <c r="P612" s="55"/>
      <c r="Q612" s="51"/>
      <c r="R612" s="51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1" t="s">
        <v>2702</v>
      </c>
      <c r="AE612" s="51" t="s">
        <v>2703</v>
      </c>
      <c r="AF612" s="51" t="str">
        <f t="shared" si="9"/>
        <v>A679078</v>
      </c>
      <c r="AG612" s="51" t="str">
        <f>VLOOKUP(AF612,AKT!$C$4:$E$324,3,FALSE)</f>
        <v>0942</v>
      </c>
    </row>
    <row r="613" spans="1:33" ht="15.75" hidden="1" customHeight="1">
      <c r="A613" s="51"/>
      <c r="B613" s="51"/>
      <c r="C613" s="51"/>
      <c r="D613" s="51"/>
      <c r="E613" s="51"/>
      <c r="F613" s="51"/>
      <c r="G613" s="51"/>
      <c r="H613" s="55"/>
      <c r="I613" s="55"/>
      <c r="J613" s="55"/>
      <c r="K613" s="55"/>
      <c r="L613" s="55"/>
      <c r="M613" s="55"/>
      <c r="N613" s="55"/>
      <c r="O613" s="55"/>
      <c r="P613" s="55"/>
      <c r="Q613" s="51"/>
      <c r="R613" s="51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1" t="s">
        <v>2704</v>
      </c>
      <c r="AE613" s="51" t="s">
        <v>2705</v>
      </c>
      <c r="AF613" s="51" t="str">
        <f t="shared" si="9"/>
        <v>A679078</v>
      </c>
      <c r="AG613" s="51" t="str">
        <f>VLOOKUP(AF613,AKT!$C$4:$E$324,3,FALSE)</f>
        <v>0942</v>
      </c>
    </row>
    <row r="614" spans="1:33" ht="15.75" hidden="1" customHeight="1">
      <c r="A614" s="51"/>
      <c r="B614" s="51"/>
      <c r="C614" s="51"/>
      <c r="D614" s="51"/>
      <c r="E614" s="51"/>
      <c r="F614" s="51"/>
      <c r="G614" s="51"/>
      <c r="H614" s="55"/>
      <c r="I614" s="55"/>
      <c r="J614" s="55"/>
      <c r="K614" s="55"/>
      <c r="L614" s="55"/>
      <c r="M614" s="55"/>
      <c r="N614" s="55"/>
      <c r="O614" s="55"/>
      <c r="P614" s="55"/>
      <c r="Q614" s="51"/>
      <c r="R614" s="51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1" t="s">
        <v>2706</v>
      </c>
      <c r="AE614" s="51" t="s">
        <v>2707</v>
      </c>
      <c r="AF614" s="51" t="str">
        <f t="shared" si="9"/>
        <v>A679078</v>
      </c>
      <c r="AG614" s="51" t="str">
        <f>VLOOKUP(AF614,AKT!$C$4:$E$324,3,FALSE)</f>
        <v>0942</v>
      </c>
    </row>
    <row r="615" spans="1:33" ht="15.75" hidden="1" customHeight="1">
      <c r="A615" s="51"/>
      <c r="B615" s="51"/>
      <c r="C615" s="51"/>
      <c r="D615" s="51"/>
      <c r="E615" s="51"/>
      <c r="F615" s="51"/>
      <c r="G615" s="51"/>
      <c r="H615" s="55"/>
      <c r="I615" s="55"/>
      <c r="J615" s="55"/>
      <c r="K615" s="55"/>
      <c r="L615" s="55"/>
      <c r="M615" s="55"/>
      <c r="N615" s="55"/>
      <c r="O615" s="55"/>
      <c r="P615" s="55"/>
      <c r="Q615" s="51"/>
      <c r="R615" s="51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1" t="s">
        <v>2708</v>
      </c>
      <c r="AE615" s="51" t="s">
        <v>2709</v>
      </c>
      <c r="AF615" s="51" t="str">
        <f t="shared" si="9"/>
        <v>A679078</v>
      </c>
      <c r="AG615" s="51" t="str">
        <f>VLOOKUP(AF615,AKT!$C$4:$E$324,3,FALSE)</f>
        <v>0942</v>
      </c>
    </row>
    <row r="616" spans="1:33" ht="15.75" hidden="1" customHeight="1">
      <c r="A616" s="51"/>
      <c r="B616" s="51"/>
      <c r="C616" s="51"/>
      <c r="D616" s="51"/>
      <c r="E616" s="51"/>
      <c r="F616" s="51"/>
      <c r="G616" s="51"/>
      <c r="H616" s="55"/>
      <c r="I616" s="55"/>
      <c r="J616" s="55"/>
      <c r="K616" s="55"/>
      <c r="L616" s="55"/>
      <c r="M616" s="55"/>
      <c r="N616" s="55"/>
      <c r="O616" s="55"/>
      <c r="P616" s="55"/>
      <c r="Q616" s="51"/>
      <c r="R616" s="51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1" t="s">
        <v>2710</v>
      </c>
      <c r="AE616" s="51" t="s">
        <v>1864</v>
      </c>
      <c r="AF616" s="51" t="str">
        <f t="shared" si="9"/>
        <v>A679078</v>
      </c>
      <c r="AG616" s="51" t="str">
        <f>VLOOKUP(AF616,AKT!$C$4:$E$324,3,FALSE)</f>
        <v>0942</v>
      </c>
    </row>
    <row r="617" spans="1:33" ht="15.75" hidden="1" customHeight="1">
      <c r="A617" s="51"/>
      <c r="B617" s="51"/>
      <c r="C617" s="51"/>
      <c r="D617" s="51"/>
      <c r="E617" s="51"/>
      <c r="F617" s="51"/>
      <c r="G617" s="51"/>
      <c r="H617" s="55"/>
      <c r="I617" s="55"/>
      <c r="J617" s="55"/>
      <c r="K617" s="55"/>
      <c r="L617" s="55"/>
      <c r="M617" s="55"/>
      <c r="N617" s="55"/>
      <c r="O617" s="55"/>
      <c r="P617" s="55"/>
      <c r="Q617" s="51"/>
      <c r="R617" s="51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1" t="s">
        <v>2711</v>
      </c>
      <c r="AE617" s="51" t="s">
        <v>2712</v>
      </c>
      <c r="AF617" s="51" t="str">
        <f t="shared" si="9"/>
        <v>A679078</v>
      </c>
      <c r="AG617" s="51" t="str">
        <f>VLOOKUP(AF617,AKT!$C$4:$E$324,3,FALSE)</f>
        <v>0942</v>
      </c>
    </row>
    <row r="618" spans="1:33" ht="15.75" hidden="1" customHeight="1">
      <c r="A618" s="51"/>
      <c r="B618" s="51"/>
      <c r="C618" s="51"/>
      <c r="D618" s="51"/>
      <c r="E618" s="51"/>
      <c r="F618" s="51"/>
      <c r="G618" s="51"/>
      <c r="H618" s="55"/>
      <c r="I618" s="55"/>
      <c r="J618" s="55"/>
      <c r="K618" s="55"/>
      <c r="L618" s="55"/>
      <c r="M618" s="55"/>
      <c r="N618" s="55"/>
      <c r="O618" s="55"/>
      <c r="P618" s="55"/>
      <c r="Q618" s="51"/>
      <c r="R618" s="51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1" t="s">
        <v>2713</v>
      </c>
      <c r="AE618" s="51" t="s">
        <v>2714</v>
      </c>
      <c r="AF618" s="51" t="str">
        <f t="shared" si="9"/>
        <v>A679078</v>
      </c>
      <c r="AG618" s="51" t="str">
        <f>VLOOKUP(AF618,AKT!$C$4:$E$324,3,FALSE)</f>
        <v>0942</v>
      </c>
    </row>
    <row r="619" spans="1:33" ht="15.75" hidden="1" customHeight="1">
      <c r="A619" s="51"/>
      <c r="B619" s="51"/>
      <c r="C619" s="51"/>
      <c r="D619" s="51"/>
      <c r="E619" s="51"/>
      <c r="F619" s="51"/>
      <c r="G619" s="51"/>
      <c r="H619" s="55"/>
      <c r="I619" s="55"/>
      <c r="J619" s="55"/>
      <c r="K619" s="55"/>
      <c r="L619" s="55"/>
      <c r="M619" s="55"/>
      <c r="N619" s="55"/>
      <c r="O619" s="55"/>
      <c r="P619" s="55"/>
      <c r="Q619" s="51"/>
      <c r="R619" s="51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1" t="s">
        <v>2715</v>
      </c>
      <c r="AE619" s="51" t="s">
        <v>2716</v>
      </c>
      <c r="AF619" s="51" t="str">
        <f t="shared" si="9"/>
        <v>A679078</v>
      </c>
      <c r="AG619" s="51" t="str">
        <f>VLOOKUP(AF619,AKT!$C$4:$E$324,3,FALSE)</f>
        <v>0942</v>
      </c>
    </row>
    <row r="620" spans="1:33" ht="15.75" hidden="1" customHeight="1">
      <c r="A620" s="51"/>
      <c r="B620" s="51"/>
      <c r="C620" s="51"/>
      <c r="D620" s="51"/>
      <c r="E620" s="51"/>
      <c r="F620" s="51"/>
      <c r="G620" s="51"/>
      <c r="H620" s="55"/>
      <c r="I620" s="55"/>
      <c r="J620" s="55"/>
      <c r="K620" s="55"/>
      <c r="L620" s="55"/>
      <c r="M620" s="55"/>
      <c r="N620" s="55"/>
      <c r="O620" s="55"/>
      <c r="P620" s="55"/>
      <c r="Q620" s="51"/>
      <c r="R620" s="51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1" t="s">
        <v>2717</v>
      </c>
      <c r="AE620" s="51" t="s">
        <v>2718</v>
      </c>
      <c r="AF620" s="51" t="str">
        <f t="shared" si="9"/>
        <v>A679078</v>
      </c>
      <c r="AG620" s="51" t="str">
        <f>VLOOKUP(AF620,AKT!$C$4:$E$324,3,FALSE)</f>
        <v>0942</v>
      </c>
    </row>
    <row r="621" spans="1:33" ht="15.75" hidden="1" customHeight="1">
      <c r="A621" s="51"/>
      <c r="B621" s="51"/>
      <c r="C621" s="51"/>
      <c r="D621" s="51"/>
      <c r="E621" s="51"/>
      <c r="F621" s="51"/>
      <c r="G621" s="51"/>
      <c r="H621" s="55"/>
      <c r="I621" s="55"/>
      <c r="J621" s="55"/>
      <c r="K621" s="55"/>
      <c r="L621" s="55"/>
      <c r="M621" s="55"/>
      <c r="N621" s="55"/>
      <c r="O621" s="55"/>
      <c r="P621" s="55"/>
      <c r="Q621" s="51"/>
      <c r="R621" s="51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1" t="s">
        <v>2719</v>
      </c>
      <c r="AE621" s="51" t="s">
        <v>2720</v>
      </c>
      <c r="AF621" s="51" t="str">
        <f t="shared" si="9"/>
        <v>A679078</v>
      </c>
      <c r="AG621" s="51" t="str">
        <f>VLOOKUP(AF621,AKT!$C$4:$E$324,3,FALSE)</f>
        <v>0942</v>
      </c>
    </row>
    <row r="622" spans="1:33" ht="15.75" hidden="1" customHeight="1">
      <c r="A622" s="51"/>
      <c r="B622" s="51"/>
      <c r="C622" s="51"/>
      <c r="D622" s="51"/>
      <c r="E622" s="51"/>
      <c r="F622" s="51"/>
      <c r="G622" s="51"/>
      <c r="H622" s="55"/>
      <c r="I622" s="55"/>
      <c r="J622" s="55"/>
      <c r="K622" s="55"/>
      <c r="L622" s="55"/>
      <c r="M622" s="55"/>
      <c r="N622" s="55"/>
      <c r="O622" s="55"/>
      <c r="P622" s="55"/>
      <c r="Q622" s="51"/>
      <c r="R622" s="51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1" t="s">
        <v>2721</v>
      </c>
      <c r="AE622" s="51" t="s">
        <v>2722</v>
      </c>
      <c r="AF622" s="51" t="str">
        <f t="shared" si="9"/>
        <v>A679078</v>
      </c>
      <c r="AG622" s="51" t="str">
        <f>VLOOKUP(AF622,AKT!$C$4:$E$324,3,FALSE)</f>
        <v>0942</v>
      </c>
    </row>
    <row r="623" spans="1:33" ht="15.75" hidden="1" customHeight="1">
      <c r="A623" s="51"/>
      <c r="B623" s="51"/>
      <c r="C623" s="51"/>
      <c r="D623" s="51"/>
      <c r="E623" s="51"/>
      <c r="F623" s="51"/>
      <c r="G623" s="51"/>
      <c r="H623" s="55"/>
      <c r="I623" s="55"/>
      <c r="J623" s="55"/>
      <c r="K623" s="55"/>
      <c r="L623" s="55"/>
      <c r="M623" s="55"/>
      <c r="N623" s="55"/>
      <c r="O623" s="55"/>
      <c r="P623" s="55"/>
      <c r="Q623" s="51"/>
      <c r="R623" s="51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1" t="s">
        <v>2723</v>
      </c>
      <c r="AE623" s="51" t="s">
        <v>2724</v>
      </c>
      <c r="AF623" s="51" t="str">
        <f t="shared" si="9"/>
        <v>A679078</v>
      </c>
      <c r="AG623" s="51" t="str">
        <f>VLOOKUP(AF623,AKT!$C$4:$E$324,3,FALSE)</f>
        <v>0942</v>
      </c>
    </row>
    <row r="624" spans="1:33" ht="15.75" hidden="1" customHeight="1">
      <c r="A624" s="51"/>
      <c r="B624" s="51"/>
      <c r="C624" s="51"/>
      <c r="D624" s="51"/>
      <c r="E624" s="51"/>
      <c r="F624" s="51"/>
      <c r="G624" s="51"/>
      <c r="H624" s="55"/>
      <c r="I624" s="55"/>
      <c r="J624" s="55"/>
      <c r="K624" s="55"/>
      <c r="L624" s="55"/>
      <c r="M624" s="55"/>
      <c r="N624" s="55"/>
      <c r="O624" s="55"/>
      <c r="P624" s="55"/>
      <c r="Q624" s="51"/>
      <c r="R624" s="51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1" t="s">
        <v>2725</v>
      </c>
      <c r="AE624" s="51" t="s">
        <v>2726</v>
      </c>
      <c r="AF624" s="51" t="str">
        <f t="shared" si="9"/>
        <v>A679078</v>
      </c>
      <c r="AG624" s="51" t="str">
        <f>VLOOKUP(AF624,AKT!$C$4:$E$324,3,FALSE)</f>
        <v>0942</v>
      </c>
    </row>
    <row r="625" spans="1:33" ht="15.75" hidden="1" customHeight="1">
      <c r="A625" s="51"/>
      <c r="B625" s="51"/>
      <c r="C625" s="51"/>
      <c r="D625" s="51"/>
      <c r="E625" s="51"/>
      <c r="F625" s="51"/>
      <c r="G625" s="51"/>
      <c r="H625" s="55"/>
      <c r="I625" s="55"/>
      <c r="J625" s="55"/>
      <c r="K625" s="55"/>
      <c r="L625" s="55"/>
      <c r="M625" s="55"/>
      <c r="N625" s="55"/>
      <c r="O625" s="55"/>
      <c r="P625" s="55"/>
      <c r="Q625" s="51"/>
      <c r="R625" s="51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1" t="s">
        <v>2727</v>
      </c>
      <c r="AE625" s="51" t="s">
        <v>2728</v>
      </c>
      <c r="AF625" s="51" t="str">
        <f t="shared" si="9"/>
        <v>A679078</v>
      </c>
      <c r="AG625" s="51" t="str">
        <f>VLOOKUP(AF625,AKT!$C$4:$E$324,3,FALSE)</f>
        <v>0942</v>
      </c>
    </row>
    <row r="626" spans="1:33" ht="15.75" hidden="1" customHeight="1">
      <c r="A626" s="51"/>
      <c r="B626" s="51"/>
      <c r="C626" s="51"/>
      <c r="D626" s="51"/>
      <c r="E626" s="51"/>
      <c r="F626" s="51"/>
      <c r="G626" s="51"/>
      <c r="H626" s="55"/>
      <c r="I626" s="55"/>
      <c r="J626" s="55"/>
      <c r="K626" s="55"/>
      <c r="L626" s="55"/>
      <c r="M626" s="55"/>
      <c r="N626" s="55"/>
      <c r="O626" s="55"/>
      <c r="P626" s="55"/>
      <c r="Q626" s="51"/>
      <c r="R626" s="51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1" t="s">
        <v>2729</v>
      </c>
      <c r="AE626" s="51" t="s">
        <v>2730</v>
      </c>
      <c r="AF626" s="51" t="str">
        <f t="shared" si="9"/>
        <v>A679078</v>
      </c>
      <c r="AG626" s="51" t="str">
        <f>VLOOKUP(AF626,AKT!$C$4:$E$324,3,FALSE)</f>
        <v>0942</v>
      </c>
    </row>
    <row r="627" spans="1:33" ht="15.75" hidden="1" customHeight="1">
      <c r="A627" s="51"/>
      <c r="B627" s="51"/>
      <c r="C627" s="51"/>
      <c r="D627" s="51"/>
      <c r="E627" s="51"/>
      <c r="F627" s="51"/>
      <c r="G627" s="51"/>
      <c r="H627" s="55"/>
      <c r="I627" s="55"/>
      <c r="J627" s="55"/>
      <c r="K627" s="55"/>
      <c r="L627" s="55"/>
      <c r="M627" s="55"/>
      <c r="N627" s="55"/>
      <c r="O627" s="55"/>
      <c r="P627" s="55"/>
      <c r="Q627" s="51"/>
      <c r="R627" s="51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1" t="s">
        <v>2731</v>
      </c>
      <c r="AE627" s="51" t="s">
        <v>2732</v>
      </c>
      <c r="AF627" s="51" t="str">
        <f t="shared" si="9"/>
        <v>A679078</v>
      </c>
      <c r="AG627" s="51" t="str">
        <f>VLOOKUP(AF627,AKT!$C$4:$E$324,3,FALSE)</f>
        <v>0942</v>
      </c>
    </row>
    <row r="628" spans="1:33" ht="15.75" hidden="1" customHeight="1">
      <c r="A628" s="51"/>
      <c r="B628" s="51"/>
      <c r="C628" s="51"/>
      <c r="D628" s="51"/>
      <c r="E628" s="51"/>
      <c r="F628" s="51"/>
      <c r="G628" s="51"/>
      <c r="H628" s="55"/>
      <c r="I628" s="55"/>
      <c r="J628" s="55"/>
      <c r="K628" s="55"/>
      <c r="L628" s="55"/>
      <c r="M628" s="55"/>
      <c r="N628" s="55"/>
      <c r="O628" s="55"/>
      <c r="P628" s="55"/>
      <c r="Q628" s="51"/>
      <c r="R628" s="51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1" t="s">
        <v>2733</v>
      </c>
      <c r="AE628" s="51" t="s">
        <v>2734</v>
      </c>
      <c r="AF628" s="51" t="str">
        <f t="shared" si="9"/>
        <v>A679078</v>
      </c>
      <c r="AG628" s="51" t="str">
        <f>VLOOKUP(AF628,AKT!$C$4:$E$324,3,FALSE)</f>
        <v>0942</v>
      </c>
    </row>
    <row r="629" spans="1:33" ht="15.75" hidden="1" customHeight="1">
      <c r="A629" s="51"/>
      <c r="B629" s="51"/>
      <c r="C629" s="51"/>
      <c r="D629" s="51"/>
      <c r="E629" s="51"/>
      <c r="F629" s="51"/>
      <c r="G629" s="51"/>
      <c r="H629" s="55"/>
      <c r="I629" s="55"/>
      <c r="J629" s="55"/>
      <c r="K629" s="55"/>
      <c r="L629" s="55"/>
      <c r="M629" s="55"/>
      <c r="N629" s="55"/>
      <c r="O629" s="55"/>
      <c r="P629" s="55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 t="s">
        <v>2735</v>
      </c>
      <c r="AE629" s="51" t="s">
        <v>2736</v>
      </c>
      <c r="AF629" s="51" t="str">
        <f t="shared" si="9"/>
        <v>A679078</v>
      </c>
      <c r="AG629" s="51" t="str">
        <f>VLOOKUP(AF629,AKT!$C$4:$E$324,3,FALSE)</f>
        <v>0942</v>
      </c>
    </row>
    <row r="630" spans="1:33" ht="15.75" hidden="1" customHeight="1">
      <c r="A630" s="51"/>
      <c r="B630" s="51"/>
      <c r="C630" s="51"/>
      <c r="D630" s="51"/>
      <c r="E630" s="51"/>
      <c r="F630" s="51"/>
      <c r="G630" s="51"/>
      <c r="H630" s="55"/>
      <c r="I630" s="55"/>
      <c r="J630" s="55"/>
      <c r="K630" s="55"/>
      <c r="L630" s="55"/>
      <c r="M630" s="55"/>
      <c r="N630" s="55"/>
      <c r="O630" s="55"/>
      <c r="P630" s="55"/>
      <c r="Q630" s="51"/>
      <c r="R630" s="51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1" t="s">
        <v>2737</v>
      </c>
      <c r="AE630" s="51" t="s">
        <v>2738</v>
      </c>
      <c r="AF630" s="51" t="str">
        <f t="shared" si="9"/>
        <v>A679078</v>
      </c>
      <c r="AG630" s="51" t="str">
        <f>VLOOKUP(AF630,AKT!$C$4:$E$324,3,FALSE)</f>
        <v>0942</v>
      </c>
    </row>
    <row r="631" spans="1:33" ht="15.75" hidden="1" customHeight="1">
      <c r="A631" s="51"/>
      <c r="B631" s="51"/>
      <c r="C631" s="51"/>
      <c r="D631" s="51"/>
      <c r="E631" s="51"/>
      <c r="F631" s="51"/>
      <c r="G631" s="51"/>
      <c r="H631" s="55"/>
      <c r="I631" s="55"/>
      <c r="J631" s="55"/>
      <c r="K631" s="55"/>
      <c r="L631" s="55"/>
      <c r="M631" s="55"/>
      <c r="N631" s="55"/>
      <c r="O631" s="55"/>
      <c r="P631" s="55"/>
      <c r="Q631" s="51"/>
      <c r="R631" s="51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1" t="s">
        <v>2739</v>
      </c>
      <c r="AE631" s="51" t="s">
        <v>2740</v>
      </c>
      <c r="AF631" s="51" t="str">
        <f t="shared" si="9"/>
        <v>A679078</v>
      </c>
      <c r="AG631" s="51" t="str">
        <f>VLOOKUP(AF631,AKT!$C$4:$E$324,3,FALSE)</f>
        <v>0942</v>
      </c>
    </row>
    <row r="632" spans="1:33" ht="15.75" hidden="1" customHeight="1">
      <c r="A632" s="51"/>
      <c r="B632" s="51"/>
      <c r="C632" s="51"/>
      <c r="D632" s="51"/>
      <c r="E632" s="51"/>
      <c r="F632" s="51"/>
      <c r="G632" s="51"/>
      <c r="H632" s="55"/>
      <c r="I632" s="55"/>
      <c r="J632" s="55"/>
      <c r="K632" s="55"/>
      <c r="L632" s="55"/>
      <c r="M632" s="55"/>
      <c r="N632" s="55"/>
      <c r="O632" s="55"/>
      <c r="P632" s="55"/>
      <c r="Q632" s="51"/>
      <c r="R632" s="51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1" t="s">
        <v>2741</v>
      </c>
      <c r="AE632" s="51" t="s">
        <v>2742</v>
      </c>
      <c r="AF632" s="51" t="str">
        <f t="shared" si="9"/>
        <v>A679078</v>
      </c>
      <c r="AG632" s="51" t="str">
        <f>VLOOKUP(AF632,AKT!$C$4:$E$324,3,FALSE)</f>
        <v>0942</v>
      </c>
    </row>
    <row r="633" spans="1:33" ht="15.75" hidden="1" customHeight="1">
      <c r="A633" s="51"/>
      <c r="B633" s="51"/>
      <c r="C633" s="51"/>
      <c r="D633" s="51"/>
      <c r="E633" s="51"/>
      <c r="F633" s="51"/>
      <c r="G633" s="51"/>
      <c r="H633" s="55"/>
      <c r="I633" s="55"/>
      <c r="J633" s="55"/>
      <c r="K633" s="55"/>
      <c r="L633" s="55"/>
      <c r="M633" s="55"/>
      <c r="N633" s="55"/>
      <c r="O633" s="55"/>
      <c r="P633" s="55"/>
      <c r="Q633" s="51"/>
      <c r="R633" s="51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1" t="s">
        <v>2743</v>
      </c>
      <c r="AE633" s="51" t="s">
        <v>2744</v>
      </c>
      <c r="AF633" s="51" t="str">
        <f t="shared" si="9"/>
        <v>A679078</v>
      </c>
      <c r="AG633" s="51" t="str">
        <f>VLOOKUP(AF633,AKT!$C$4:$E$324,3,FALSE)</f>
        <v>0942</v>
      </c>
    </row>
    <row r="634" spans="1:33" ht="15.75" hidden="1" customHeight="1">
      <c r="A634" s="51"/>
      <c r="B634" s="51"/>
      <c r="C634" s="51"/>
      <c r="D634" s="51"/>
      <c r="E634" s="51"/>
      <c r="F634" s="51"/>
      <c r="G634" s="51"/>
      <c r="H634" s="55"/>
      <c r="I634" s="55"/>
      <c r="J634" s="55"/>
      <c r="K634" s="55"/>
      <c r="L634" s="55"/>
      <c r="M634" s="55"/>
      <c r="N634" s="55"/>
      <c r="O634" s="55"/>
      <c r="P634" s="55"/>
      <c r="Q634" s="51"/>
      <c r="R634" s="51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1" t="s">
        <v>2745</v>
      </c>
      <c r="AE634" s="51" t="s">
        <v>2746</v>
      </c>
      <c r="AF634" s="51" t="str">
        <f t="shared" si="9"/>
        <v>A679078</v>
      </c>
      <c r="AG634" s="51" t="str">
        <f>VLOOKUP(AF634,AKT!$C$4:$E$324,3,FALSE)</f>
        <v>0942</v>
      </c>
    </row>
    <row r="635" spans="1:33" ht="15.75" hidden="1" customHeight="1">
      <c r="A635" s="51"/>
      <c r="B635" s="51"/>
      <c r="C635" s="51"/>
      <c r="D635" s="51"/>
      <c r="E635" s="51"/>
      <c r="F635" s="51"/>
      <c r="G635" s="51"/>
      <c r="H635" s="55"/>
      <c r="I635" s="55"/>
      <c r="J635" s="55"/>
      <c r="K635" s="55"/>
      <c r="L635" s="55"/>
      <c r="M635" s="55"/>
      <c r="N635" s="55"/>
      <c r="O635" s="55"/>
      <c r="P635" s="55"/>
      <c r="Q635" s="51"/>
      <c r="R635" s="51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1" t="s">
        <v>2747</v>
      </c>
      <c r="AE635" s="51" t="s">
        <v>2748</v>
      </c>
      <c r="AF635" s="51" t="str">
        <f t="shared" si="9"/>
        <v>A679078</v>
      </c>
      <c r="AG635" s="51" t="str">
        <f>VLOOKUP(AF635,AKT!$C$4:$E$324,3,FALSE)</f>
        <v>0942</v>
      </c>
    </row>
    <row r="636" spans="1:33" ht="15.75" hidden="1" customHeight="1">
      <c r="A636" s="51"/>
      <c r="B636" s="51"/>
      <c r="C636" s="51"/>
      <c r="D636" s="51"/>
      <c r="E636" s="51"/>
      <c r="F636" s="51"/>
      <c r="G636" s="51"/>
      <c r="H636" s="55"/>
      <c r="I636" s="55"/>
      <c r="J636" s="55"/>
      <c r="K636" s="55"/>
      <c r="L636" s="55"/>
      <c r="M636" s="55"/>
      <c r="N636" s="55"/>
      <c r="O636" s="55"/>
      <c r="P636" s="55"/>
      <c r="Q636" s="51"/>
      <c r="R636" s="51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1" t="s">
        <v>2749</v>
      </c>
      <c r="AE636" s="51" t="s">
        <v>2750</v>
      </c>
      <c r="AF636" s="51" t="str">
        <f t="shared" si="9"/>
        <v>A679078</v>
      </c>
      <c r="AG636" s="51" t="str">
        <f>VLOOKUP(AF636,AKT!$C$4:$E$324,3,FALSE)</f>
        <v>0942</v>
      </c>
    </row>
    <row r="637" spans="1:33" ht="15.75" hidden="1" customHeight="1">
      <c r="A637" s="51"/>
      <c r="B637" s="51"/>
      <c r="C637" s="51"/>
      <c r="D637" s="51"/>
      <c r="E637" s="51"/>
      <c r="F637" s="51"/>
      <c r="G637" s="51"/>
      <c r="H637" s="55"/>
      <c r="I637" s="55"/>
      <c r="J637" s="55"/>
      <c r="K637" s="55"/>
      <c r="L637" s="55"/>
      <c r="M637" s="55"/>
      <c r="N637" s="55"/>
      <c r="O637" s="55"/>
      <c r="P637" s="55"/>
      <c r="Q637" s="51"/>
      <c r="R637" s="51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1" t="s">
        <v>2751</v>
      </c>
      <c r="AE637" s="51" t="s">
        <v>2752</v>
      </c>
      <c r="AF637" s="51" t="str">
        <f t="shared" si="9"/>
        <v>A679078</v>
      </c>
      <c r="AG637" s="51" t="str">
        <f>VLOOKUP(AF637,AKT!$C$4:$E$324,3,FALSE)</f>
        <v>0942</v>
      </c>
    </row>
    <row r="638" spans="1:33" ht="15.75" hidden="1" customHeight="1">
      <c r="A638" s="51"/>
      <c r="B638" s="51"/>
      <c r="C638" s="51"/>
      <c r="D638" s="51"/>
      <c r="E638" s="51"/>
      <c r="F638" s="51"/>
      <c r="G638" s="51"/>
      <c r="H638" s="55"/>
      <c r="I638" s="55"/>
      <c r="J638" s="55"/>
      <c r="K638" s="55"/>
      <c r="L638" s="55"/>
      <c r="M638" s="55"/>
      <c r="N638" s="55"/>
      <c r="O638" s="55"/>
      <c r="P638" s="55"/>
      <c r="Q638" s="51"/>
      <c r="R638" s="51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1" t="s">
        <v>2753</v>
      </c>
      <c r="AE638" s="51" t="s">
        <v>2754</v>
      </c>
      <c r="AF638" s="51" t="str">
        <f t="shared" si="9"/>
        <v>A679078</v>
      </c>
      <c r="AG638" s="51" t="str">
        <f>VLOOKUP(AF638,AKT!$C$4:$E$324,3,FALSE)</f>
        <v>0942</v>
      </c>
    </row>
    <row r="639" spans="1:33" ht="15.75" hidden="1" customHeight="1">
      <c r="A639" s="51"/>
      <c r="B639" s="51"/>
      <c r="C639" s="51"/>
      <c r="D639" s="51"/>
      <c r="E639" s="51"/>
      <c r="F639" s="51"/>
      <c r="G639" s="51"/>
      <c r="H639" s="55"/>
      <c r="I639" s="55"/>
      <c r="J639" s="55"/>
      <c r="K639" s="55"/>
      <c r="L639" s="55"/>
      <c r="M639" s="55"/>
      <c r="N639" s="55"/>
      <c r="O639" s="55"/>
      <c r="P639" s="55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 t="s">
        <v>2755</v>
      </c>
      <c r="AE639" s="51" t="s">
        <v>2756</v>
      </c>
      <c r="AF639" s="51" t="str">
        <f t="shared" si="9"/>
        <v>A679078</v>
      </c>
      <c r="AG639" s="51" t="str">
        <f>VLOOKUP(AF639,AKT!$C$4:$E$324,3,FALSE)</f>
        <v>0942</v>
      </c>
    </row>
    <row r="640" spans="1:33" ht="15.75" hidden="1" customHeight="1">
      <c r="A640" s="51"/>
      <c r="B640" s="51"/>
      <c r="C640" s="51"/>
      <c r="D640" s="51"/>
      <c r="E640" s="51"/>
      <c r="F640" s="51"/>
      <c r="G640" s="51"/>
      <c r="H640" s="55"/>
      <c r="I640" s="55"/>
      <c r="J640" s="55"/>
      <c r="K640" s="55"/>
      <c r="L640" s="55"/>
      <c r="M640" s="55"/>
      <c r="N640" s="55"/>
      <c r="O640" s="55"/>
      <c r="P640" s="55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 t="s">
        <v>2757</v>
      </c>
      <c r="AE640" s="51" t="s">
        <v>2758</v>
      </c>
      <c r="AF640" s="51" t="str">
        <f t="shared" si="9"/>
        <v>A679078</v>
      </c>
      <c r="AG640" s="51" t="str">
        <f>VLOOKUP(AF640,AKT!$C$4:$E$324,3,FALSE)</f>
        <v>0942</v>
      </c>
    </row>
    <row r="641" spans="1:33" ht="15.75" hidden="1" customHeight="1">
      <c r="A641" s="51"/>
      <c r="B641" s="51"/>
      <c r="C641" s="51"/>
      <c r="D641" s="51"/>
      <c r="E641" s="51"/>
      <c r="F641" s="51"/>
      <c r="G641" s="51"/>
      <c r="H641" s="55"/>
      <c r="I641" s="55"/>
      <c r="J641" s="55"/>
      <c r="K641" s="55"/>
      <c r="L641" s="55"/>
      <c r="M641" s="55"/>
      <c r="N641" s="55"/>
      <c r="O641" s="55"/>
      <c r="P641" s="55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 t="s">
        <v>2759</v>
      </c>
      <c r="AE641" s="51" t="s">
        <v>2760</v>
      </c>
      <c r="AF641" s="51" t="str">
        <f t="shared" si="9"/>
        <v>A679078</v>
      </c>
      <c r="AG641" s="51" t="str">
        <f>VLOOKUP(AF641,AKT!$C$4:$E$324,3,FALSE)</f>
        <v>0942</v>
      </c>
    </row>
    <row r="642" spans="1:33" ht="15.75" hidden="1" customHeight="1">
      <c r="A642" s="51"/>
      <c r="B642" s="51"/>
      <c r="C642" s="51"/>
      <c r="D642" s="51"/>
      <c r="E642" s="51"/>
      <c r="F642" s="51"/>
      <c r="G642" s="51"/>
      <c r="H642" s="55"/>
      <c r="I642" s="55"/>
      <c r="J642" s="55"/>
      <c r="K642" s="55"/>
      <c r="L642" s="55"/>
      <c r="M642" s="55"/>
      <c r="N642" s="55"/>
      <c r="O642" s="55"/>
      <c r="P642" s="55"/>
      <c r="Q642" s="51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 t="s">
        <v>2761</v>
      </c>
      <c r="AE642" s="51" t="s">
        <v>2762</v>
      </c>
      <c r="AF642" s="51" t="str">
        <f t="shared" si="9"/>
        <v>A679078</v>
      </c>
      <c r="AG642" s="51" t="str">
        <f>VLOOKUP(AF642,AKT!$C$4:$E$324,3,FALSE)</f>
        <v>0942</v>
      </c>
    </row>
    <row r="643" spans="1:33" ht="15.75" hidden="1" customHeight="1">
      <c r="A643" s="51"/>
      <c r="B643" s="51"/>
      <c r="C643" s="51"/>
      <c r="D643" s="51"/>
      <c r="E643" s="51"/>
      <c r="F643" s="51"/>
      <c r="G643" s="51"/>
      <c r="H643" s="55"/>
      <c r="I643" s="55"/>
      <c r="J643" s="55"/>
      <c r="K643" s="55"/>
      <c r="L643" s="55"/>
      <c r="M643" s="55"/>
      <c r="N643" s="55"/>
      <c r="O643" s="55"/>
      <c r="P643" s="55"/>
      <c r="Q643" s="51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 t="s">
        <v>2763</v>
      </c>
      <c r="AE643" s="51" t="s">
        <v>2764</v>
      </c>
      <c r="AF643" s="51" t="str">
        <f t="shared" si="9"/>
        <v>A679078</v>
      </c>
      <c r="AG643" s="51" t="str">
        <f>VLOOKUP(AF643,AKT!$C$4:$E$324,3,FALSE)</f>
        <v>0942</v>
      </c>
    </row>
    <row r="644" spans="1:33" ht="15.75" hidden="1" customHeight="1">
      <c r="A644" s="51"/>
      <c r="B644" s="51"/>
      <c r="C644" s="51"/>
      <c r="D644" s="51"/>
      <c r="E644" s="51"/>
      <c r="F644" s="51"/>
      <c r="G644" s="51"/>
      <c r="H644" s="55"/>
      <c r="I644" s="55"/>
      <c r="J644" s="55"/>
      <c r="K644" s="55"/>
      <c r="L644" s="55"/>
      <c r="M644" s="55"/>
      <c r="N644" s="55"/>
      <c r="O644" s="55"/>
      <c r="P644" s="55"/>
      <c r="Q644" s="51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 t="s">
        <v>2765</v>
      </c>
      <c r="AE644" s="51" t="s">
        <v>2766</v>
      </c>
      <c r="AF644" s="51" t="str">
        <f t="shared" si="9"/>
        <v>A679078</v>
      </c>
      <c r="AG644" s="51" t="str">
        <f>VLOOKUP(AF644,AKT!$C$4:$E$324,3,FALSE)</f>
        <v>0942</v>
      </c>
    </row>
    <row r="645" spans="1:33" ht="15.75" hidden="1" customHeight="1">
      <c r="A645" s="51"/>
      <c r="B645" s="51"/>
      <c r="C645" s="51"/>
      <c r="D645" s="51"/>
      <c r="E645" s="51"/>
      <c r="F645" s="51"/>
      <c r="G645" s="51"/>
      <c r="H645" s="55"/>
      <c r="I645" s="55"/>
      <c r="J645" s="55"/>
      <c r="K645" s="55"/>
      <c r="L645" s="55"/>
      <c r="M645" s="55"/>
      <c r="N645" s="55"/>
      <c r="O645" s="55"/>
      <c r="P645" s="55"/>
      <c r="Q645" s="51"/>
      <c r="R645" s="51"/>
      <c r="S645" s="51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 t="s">
        <v>2767</v>
      </c>
      <c r="AE645" s="51" t="s">
        <v>2768</v>
      </c>
      <c r="AF645" s="51" t="str">
        <f t="shared" si="9"/>
        <v>A679078</v>
      </c>
      <c r="AG645" s="51" t="str">
        <f>VLOOKUP(AF645,AKT!$C$4:$E$324,3,FALSE)</f>
        <v>0942</v>
      </c>
    </row>
    <row r="646" spans="1:33" ht="15.75" hidden="1" customHeight="1">
      <c r="A646" s="51"/>
      <c r="B646" s="51"/>
      <c r="C646" s="51"/>
      <c r="D646" s="51"/>
      <c r="E646" s="51"/>
      <c r="F646" s="51"/>
      <c r="G646" s="51"/>
      <c r="H646" s="55"/>
      <c r="I646" s="55"/>
      <c r="J646" s="55"/>
      <c r="K646" s="55"/>
      <c r="L646" s="55"/>
      <c r="M646" s="55"/>
      <c r="N646" s="55"/>
      <c r="O646" s="55"/>
      <c r="P646" s="55"/>
      <c r="Q646" s="51"/>
      <c r="R646" s="51"/>
      <c r="S646" s="51"/>
      <c r="T646" s="51"/>
      <c r="U646" s="51"/>
      <c r="V646" s="51"/>
      <c r="W646" s="51"/>
      <c r="X646" s="51"/>
      <c r="Y646" s="51"/>
      <c r="Z646" s="51"/>
      <c r="AA646" s="51"/>
      <c r="AB646" s="51"/>
      <c r="AC646" s="51"/>
      <c r="AD646" s="51" t="s">
        <v>2769</v>
      </c>
      <c r="AE646" s="51" t="s">
        <v>2770</v>
      </c>
      <c r="AF646" s="51" t="str">
        <f t="shared" si="9"/>
        <v>A679078</v>
      </c>
      <c r="AG646" s="51" t="str">
        <f>VLOOKUP(AF646,AKT!$C$4:$E$324,3,FALSE)</f>
        <v>0942</v>
      </c>
    </row>
    <row r="647" spans="1:33" ht="15.75" hidden="1" customHeight="1">
      <c r="A647" s="51"/>
      <c r="B647" s="51"/>
      <c r="C647" s="51"/>
      <c r="D647" s="51"/>
      <c r="E647" s="51"/>
      <c r="F647" s="51"/>
      <c r="G647" s="51"/>
      <c r="H647" s="55"/>
      <c r="I647" s="55"/>
      <c r="J647" s="55"/>
      <c r="K647" s="55"/>
      <c r="L647" s="55"/>
      <c r="M647" s="55"/>
      <c r="N647" s="55"/>
      <c r="O647" s="55"/>
      <c r="P647" s="55"/>
      <c r="Q647" s="51"/>
      <c r="R647" s="51"/>
      <c r="S647" s="51"/>
      <c r="T647" s="51"/>
      <c r="U647" s="51"/>
      <c r="V647" s="51"/>
      <c r="W647" s="51"/>
      <c r="X647" s="51"/>
      <c r="Y647" s="51"/>
      <c r="Z647" s="51"/>
      <c r="AA647" s="51"/>
      <c r="AB647" s="51"/>
      <c r="AC647" s="51"/>
      <c r="AD647" s="51" t="s">
        <v>2771</v>
      </c>
      <c r="AE647" s="51" t="s">
        <v>2772</v>
      </c>
      <c r="AF647" s="51" t="str">
        <f t="shared" si="9"/>
        <v>A679078</v>
      </c>
      <c r="AG647" s="51" t="str">
        <f>VLOOKUP(AF647,AKT!$C$4:$E$324,3,FALSE)</f>
        <v>0942</v>
      </c>
    </row>
    <row r="648" spans="1:33" ht="15.75" hidden="1" customHeight="1">
      <c r="A648" s="51"/>
      <c r="B648" s="51"/>
      <c r="C648" s="51"/>
      <c r="D648" s="51"/>
      <c r="E648" s="51"/>
      <c r="F648" s="51"/>
      <c r="G648" s="51"/>
      <c r="H648" s="55"/>
      <c r="I648" s="55"/>
      <c r="J648" s="55"/>
      <c r="K648" s="55"/>
      <c r="L648" s="55"/>
      <c r="M648" s="55"/>
      <c r="N648" s="55"/>
      <c r="O648" s="55"/>
      <c r="P648" s="55"/>
      <c r="Q648" s="51"/>
      <c r="R648" s="51"/>
      <c r="S648" s="51"/>
      <c r="T648" s="51"/>
      <c r="U648" s="51"/>
      <c r="V648" s="51"/>
      <c r="W648" s="51"/>
      <c r="X648" s="51"/>
      <c r="Y648" s="51"/>
      <c r="Z648" s="51"/>
      <c r="AA648" s="51"/>
      <c r="AB648" s="51"/>
      <c r="AC648" s="51"/>
      <c r="AD648" s="51" t="s">
        <v>2773</v>
      </c>
      <c r="AE648" s="51" t="s">
        <v>2774</v>
      </c>
      <c r="AF648" s="51" t="str">
        <f t="shared" si="9"/>
        <v>A679078</v>
      </c>
      <c r="AG648" s="51" t="str">
        <f>VLOOKUP(AF648,AKT!$C$4:$E$324,3,FALSE)</f>
        <v>0942</v>
      </c>
    </row>
    <row r="649" spans="1:33" ht="15.75" hidden="1" customHeight="1">
      <c r="A649" s="51"/>
      <c r="B649" s="51"/>
      <c r="C649" s="51"/>
      <c r="D649" s="51"/>
      <c r="E649" s="51"/>
      <c r="F649" s="51"/>
      <c r="G649" s="51"/>
      <c r="H649" s="55"/>
      <c r="I649" s="55"/>
      <c r="J649" s="55"/>
      <c r="K649" s="55"/>
      <c r="L649" s="55"/>
      <c r="M649" s="55"/>
      <c r="N649" s="55"/>
      <c r="O649" s="55"/>
      <c r="P649" s="55"/>
      <c r="Q649" s="51"/>
      <c r="R649" s="51"/>
      <c r="S649" s="51"/>
      <c r="T649" s="51"/>
      <c r="U649" s="51"/>
      <c r="V649" s="51"/>
      <c r="W649" s="51"/>
      <c r="X649" s="51"/>
      <c r="Y649" s="51"/>
      <c r="Z649" s="51"/>
      <c r="AA649" s="51"/>
      <c r="AB649" s="51"/>
      <c r="AC649" s="51"/>
      <c r="AD649" s="51" t="s">
        <v>2775</v>
      </c>
      <c r="AE649" s="51" t="s">
        <v>2776</v>
      </c>
      <c r="AF649" s="51" t="str">
        <f t="shared" si="9"/>
        <v>A679078</v>
      </c>
      <c r="AG649" s="51" t="str">
        <f>VLOOKUP(AF649,AKT!$C$4:$E$324,3,FALSE)</f>
        <v>0942</v>
      </c>
    </row>
    <row r="650" spans="1:33" ht="15.75" hidden="1" customHeight="1">
      <c r="A650" s="51"/>
      <c r="B650" s="51"/>
      <c r="C650" s="51"/>
      <c r="D650" s="51"/>
      <c r="E650" s="51"/>
      <c r="F650" s="51"/>
      <c r="G650" s="51"/>
      <c r="H650" s="55"/>
      <c r="I650" s="55"/>
      <c r="J650" s="55"/>
      <c r="K650" s="55"/>
      <c r="L650" s="55"/>
      <c r="M650" s="55"/>
      <c r="N650" s="55"/>
      <c r="O650" s="55"/>
      <c r="P650" s="55"/>
      <c r="Q650" s="51"/>
      <c r="R650" s="51"/>
      <c r="S650" s="51"/>
      <c r="T650" s="51"/>
      <c r="U650" s="51"/>
      <c r="V650" s="51"/>
      <c r="W650" s="51"/>
      <c r="X650" s="51"/>
      <c r="Y650" s="51"/>
      <c r="Z650" s="51"/>
      <c r="AA650" s="51"/>
      <c r="AB650" s="51"/>
      <c r="AC650" s="51"/>
      <c r="AD650" s="51" t="s">
        <v>2777</v>
      </c>
      <c r="AE650" s="51" t="s">
        <v>2778</v>
      </c>
      <c r="AF650" s="51" t="str">
        <f t="shared" si="9"/>
        <v>A679078</v>
      </c>
      <c r="AG650" s="51" t="str">
        <f>VLOOKUP(AF650,AKT!$C$4:$E$324,3,FALSE)</f>
        <v>0942</v>
      </c>
    </row>
    <row r="651" spans="1:33" ht="15.75" hidden="1" customHeight="1">
      <c r="A651" s="51"/>
      <c r="B651" s="51"/>
      <c r="C651" s="51"/>
      <c r="D651" s="51"/>
      <c r="E651" s="51"/>
      <c r="F651" s="51"/>
      <c r="G651" s="51"/>
      <c r="H651" s="55"/>
      <c r="I651" s="55"/>
      <c r="J651" s="55"/>
      <c r="K651" s="55"/>
      <c r="L651" s="55"/>
      <c r="M651" s="55"/>
      <c r="N651" s="55"/>
      <c r="O651" s="55"/>
      <c r="P651" s="55"/>
      <c r="Q651" s="51"/>
      <c r="R651" s="51"/>
      <c r="S651" s="51"/>
      <c r="T651" s="51"/>
      <c r="U651" s="51"/>
      <c r="V651" s="51"/>
      <c r="W651" s="51"/>
      <c r="X651" s="51"/>
      <c r="Y651" s="51"/>
      <c r="Z651" s="51"/>
      <c r="AA651" s="51"/>
      <c r="AB651" s="51"/>
      <c r="AC651" s="51"/>
      <c r="AD651" s="51" t="s">
        <v>2779</v>
      </c>
      <c r="AE651" s="51" t="s">
        <v>2780</v>
      </c>
      <c r="AF651" s="51" t="str">
        <f t="shared" si="9"/>
        <v>A679078</v>
      </c>
      <c r="AG651" s="51" t="str">
        <f>VLOOKUP(AF651,AKT!$C$4:$E$324,3,FALSE)</f>
        <v>0942</v>
      </c>
    </row>
    <row r="652" spans="1:33" ht="15.75" hidden="1" customHeight="1">
      <c r="A652" s="51"/>
      <c r="B652" s="51"/>
      <c r="C652" s="51"/>
      <c r="D652" s="51"/>
      <c r="E652" s="51"/>
      <c r="F652" s="51"/>
      <c r="G652" s="51"/>
      <c r="H652" s="55"/>
      <c r="I652" s="55"/>
      <c r="J652" s="55"/>
      <c r="K652" s="55"/>
      <c r="L652" s="55"/>
      <c r="M652" s="55"/>
      <c r="N652" s="55"/>
      <c r="O652" s="55"/>
      <c r="P652" s="55"/>
      <c r="Q652" s="51"/>
      <c r="R652" s="51"/>
      <c r="S652" s="51"/>
      <c r="T652" s="51"/>
      <c r="U652" s="51"/>
      <c r="V652" s="51"/>
      <c r="W652" s="51"/>
      <c r="X652" s="51"/>
      <c r="Y652" s="51"/>
      <c r="Z652" s="51"/>
      <c r="AA652" s="51"/>
      <c r="AB652" s="51"/>
      <c r="AC652" s="51"/>
      <c r="AD652" s="51" t="s">
        <v>2781</v>
      </c>
      <c r="AE652" s="51" t="s">
        <v>2782</v>
      </c>
      <c r="AF652" s="51" t="str">
        <f t="shared" si="9"/>
        <v>A679078</v>
      </c>
      <c r="AG652" s="51" t="str">
        <f>VLOOKUP(AF652,AKT!$C$4:$E$324,3,FALSE)</f>
        <v>0942</v>
      </c>
    </row>
    <row r="653" spans="1:33" ht="15.75" hidden="1" customHeight="1">
      <c r="A653" s="51"/>
      <c r="B653" s="51"/>
      <c r="C653" s="51"/>
      <c r="D653" s="51"/>
      <c r="E653" s="51"/>
      <c r="F653" s="51"/>
      <c r="G653" s="51"/>
      <c r="H653" s="55"/>
      <c r="I653" s="55"/>
      <c r="J653" s="55"/>
      <c r="K653" s="55"/>
      <c r="L653" s="55"/>
      <c r="M653" s="55"/>
      <c r="N653" s="55"/>
      <c r="O653" s="55"/>
      <c r="P653" s="55"/>
      <c r="Q653" s="51"/>
      <c r="R653" s="51"/>
      <c r="S653" s="51"/>
      <c r="T653" s="51"/>
      <c r="U653" s="51"/>
      <c r="V653" s="51"/>
      <c r="W653" s="51"/>
      <c r="X653" s="51"/>
      <c r="Y653" s="51"/>
      <c r="Z653" s="51"/>
      <c r="AA653" s="51"/>
      <c r="AB653" s="51"/>
      <c r="AC653" s="51"/>
      <c r="AD653" s="51" t="s">
        <v>2783</v>
      </c>
      <c r="AE653" s="51" t="s">
        <v>2784</v>
      </c>
      <c r="AF653" s="51" t="str">
        <f t="shared" si="9"/>
        <v>A679078</v>
      </c>
      <c r="AG653" s="51" t="str">
        <f>VLOOKUP(AF653,AKT!$C$4:$E$324,3,FALSE)</f>
        <v>0942</v>
      </c>
    </row>
    <row r="654" spans="1:33" ht="15.75" hidden="1" customHeight="1">
      <c r="A654" s="51"/>
      <c r="B654" s="51"/>
      <c r="C654" s="51"/>
      <c r="D654" s="51"/>
      <c r="E654" s="51"/>
      <c r="F654" s="51"/>
      <c r="G654" s="51"/>
      <c r="H654" s="55"/>
      <c r="I654" s="55"/>
      <c r="J654" s="55"/>
      <c r="K654" s="55"/>
      <c r="L654" s="55"/>
      <c r="M654" s="55"/>
      <c r="N654" s="55"/>
      <c r="O654" s="55"/>
      <c r="P654" s="55"/>
      <c r="Q654" s="51"/>
      <c r="R654" s="51"/>
      <c r="S654" s="51"/>
      <c r="T654" s="51"/>
      <c r="U654" s="51"/>
      <c r="V654" s="51"/>
      <c r="W654" s="51"/>
      <c r="X654" s="51"/>
      <c r="Y654" s="51"/>
      <c r="Z654" s="51"/>
      <c r="AA654" s="51"/>
      <c r="AB654" s="51"/>
      <c r="AC654" s="51"/>
      <c r="AD654" s="51" t="s">
        <v>2785</v>
      </c>
      <c r="AE654" s="51" t="s">
        <v>2786</v>
      </c>
      <c r="AF654" s="51" t="str">
        <f t="shared" si="9"/>
        <v>A679078</v>
      </c>
      <c r="AG654" s="51" t="str">
        <f>VLOOKUP(AF654,AKT!$C$4:$E$324,3,FALSE)</f>
        <v>0942</v>
      </c>
    </row>
    <row r="655" spans="1:33" ht="15.75" hidden="1" customHeight="1">
      <c r="A655" s="51"/>
      <c r="B655" s="51"/>
      <c r="C655" s="51"/>
      <c r="D655" s="51"/>
      <c r="E655" s="51"/>
      <c r="F655" s="51"/>
      <c r="G655" s="51"/>
      <c r="H655" s="55"/>
      <c r="I655" s="55"/>
      <c r="J655" s="55"/>
      <c r="K655" s="55"/>
      <c r="L655" s="55"/>
      <c r="M655" s="55"/>
      <c r="N655" s="55"/>
      <c r="O655" s="55"/>
      <c r="P655" s="55"/>
      <c r="Q655" s="51"/>
      <c r="R655" s="51"/>
      <c r="S655" s="51"/>
      <c r="T655" s="51"/>
      <c r="U655" s="51"/>
      <c r="V655" s="51"/>
      <c r="W655" s="51"/>
      <c r="X655" s="51"/>
      <c r="Y655" s="51"/>
      <c r="Z655" s="51"/>
      <c r="AA655" s="51"/>
      <c r="AB655" s="51"/>
      <c r="AC655" s="51"/>
      <c r="AD655" s="51" t="s">
        <v>2787</v>
      </c>
      <c r="AE655" s="51" t="s">
        <v>2788</v>
      </c>
      <c r="AF655" s="51" t="str">
        <f t="shared" si="9"/>
        <v>A679078</v>
      </c>
      <c r="AG655" s="51" t="str">
        <f>VLOOKUP(AF655,AKT!$C$4:$E$324,3,FALSE)</f>
        <v>0942</v>
      </c>
    </row>
    <row r="656" spans="1:33" ht="15.75" hidden="1" customHeight="1">
      <c r="A656" s="51"/>
      <c r="B656" s="51"/>
      <c r="C656" s="51"/>
      <c r="D656" s="51"/>
      <c r="E656" s="51"/>
      <c r="F656" s="51"/>
      <c r="G656" s="51"/>
      <c r="H656" s="55"/>
      <c r="I656" s="55"/>
      <c r="J656" s="55"/>
      <c r="K656" s="55"/>
      <c r="L656" s="55"/>
      <c r="M656" s="55"/>
      <c r="N656" s="55"/>
      <c r="O656" s="55"/>
      <c r="P656" s="55"/>
      <c r="Q656" s="51"/>
      <c r="R656" s="51"/>
      <c r="S656" s="51"/>
      <c r="T656" s="51"/>
      <c r="U656" s="51"/>
      <c r="V656" s="51"/>
      <c r="W656" s="51"/>
      <c r="X656" s="51"/>
      <c r="Y656" s="51"/>
      <c r="Z656" s="51"/>
      <c r="AA656" s="51"/>
      <c r="AB656" s="51"/>
      <c r="AC656" s="51"/>
      <c r="AD656" s="51" t="s">
        <v>2789</v>
      </c>
      <c r="AE656" s="51" t="s">
        <v>2790</v>
      </c>
      <c r="AF656" s="51" t="str">
        <f t="shared" si="9"/>
        <v>A679078</v>
      </c>
      <c r="AG656" s="51" t="str">
        <f>VLOOKUP(AF656,AKT!$C$4:$E$324,3,FALSE)</f>
        <v>0942</v>
      </c>
    </row>
    <row r="657" spans="1:33" ht="15.75" hidden="1" customHeight="1">
      <c r="A657" s="51"/>
      <c r="B657" s="51"/>
      <c r="C657" s="51"/>
      <c r="D657" s="51"/>
      <c r="E657" s="51"/>
      <c r="F657" s="51"/>
      <c r="G657" s="51"/>
      <c r="H657" s="55"/>
      <c r="I657" s="55"/>
      <c r="J657" s="55"/>
      <c r="K657" s="55"/>
      <c r="L657" s="55"/>
      <c r="M657" s="55"/>
      <c r="N657" s="55"/>
      <c r="O657" s="55"/>
      <c r="P657" s="55"/>
      <c r="Q657" s="51"/>
      <c r="R657" s="51"/>
      <c r="S657" s="51"/>
      <c r="T657" s="51"/>
      <c r="U657" s="51"/>
      <c r="V657" s="51"/>
      <c r="W657" s="51"/>
      <c r="X657" s="51"/>
      <c r="Y657" s="51"/>
      <c r="Z657" s="51"/>
      <c r="AA657" s="51"/>
      <c r="AB657" s="51"/>
      <c r="AC657" s="51"/>
      <c r="AD657" s="51" t="s">
        <v>2791</v>
      </c>
      <c r="AE657" s="51" t="s">
        <v>2792</v>
      </c>
      <c r="AF657" s="51" t="str">
        <f t="shared" si="9"/>
        <v>A679078</v>
      </c>
      <c r="AG657" s="51" t="str">
        <f>VLOOKUP(AF657,AKT!$C$4:$E$324,3,FALSE)</f>
        <v>0942</v>
      </c>
    </row>
    <row r="658" spans="1:33" ht="15.75" hidden="1" customHeight="1">
      <c r="A658" s="51"/>
      <c r="B658" s="51"/>
      <c r="C658" s="51"/>
      <c r="D658" s="51"/>
      <c r="E658" s="51"/>
      <c r="F658" s="51"/>
      <c r="G658" s="51"/>
      <c r="H658" s="55"/>
      <c r="I658" s="55"/>
      <c r="J658" s="55"/>
      <c r="K658" s="55"/>
      <c r="L658" s="55"/>
      <c r="M658" s="55"/>
      <c r="N658" s="55"/>
      <c r="O658" s="55"/>
      <c r="P658" s="55"/>
      <c r="Q658" s="51"/>
      <c r="R658" s="51"/>
      <c r="S658" s="51"/>
      <c r="T658" s="51"/>
      <c r="U658" s="51"/>
      <c r="V658" s="51"/>
      <c r="W658" s="51"/>
      <c r="X658" s="51"/>
      <c r="Y658" s="51"/>
      <c r="Z658" s="51"/>
      <c r="AA658" s="51"/>
      <c r="AB658" s="51"/>
      <c r="AC658" s="51"/>
      <c r="AD658" s="51" t="s">
        <v>2793</v>
      </c>
      <c r="AE658" s="51" t="s">
        <v>2794</v>
      </c>
      <c r="AF658" s="51" t="str">
        <f t="shared" si="9"/>
        <v>A679078</v>
      </c>
      <c r="AG658" s="51" t="str">
        <f>VLOOKUP(AF658,AKT!$C$4:$E$324,3,FALSE)</f>
        <v>0942</v>
      </c>
    </row>
    <row r="659" spans="1:33" ht="15.75" hidden="1" customHeight="1">
      <c r="A659" s="51"/>
      <c r="B659" s="51"/>
      <c r="C659" s="51"/>
      <c r="D659" s="51"/>
      <c r="E659" s="51"/>
      <c r="F659" s="51"/>
      <c r="G659" s="51"/>
      <c r="H659" s="55"/>
      <c r="I659" s="55"/>
      <c r="J659" s="55"/>
      <c r="K659" s="55"/>
      <c r="L659" s="55"/>
      <c r="M659" s="55"/>
      <c r="N659" s="55"/>
      <c r="O659" s="55"/>
      <c r="P659" s="55"/>
      <c r="Q659" s="51"/>
      <c r="R659" s="51"/>
      <c r="S659" s="51"/>
      <c r="T659" s="51"/>
      <c r="U659" s="51"/>
      <c r="V659" s="51"/>
      <c r="W659" s="51"/>
      <c r="X659" s="51"/>
      <c r="Y659" s="51"/>
      <c r="Z659" s="51"/>
      <c r="AA659" s="51"/>
      <c r="AB659" s="51"/>
      <c r="AC659" s="51"/>
      <c r="AD659" s="51" t="s">
        <v>2795</v>
      </c>
      <c r="AE659" s="51" t="s">
        <v>2796</v>
      </c>
      <c r="AF659" s="51" t="str">
        <f t="shared" si="9"/>
        <v>A679078</v>
      </c>
      <c r="AG659" s="51" t="str">
        <f>VLOOKUP(AF659,AKT!$C$4:$E$324,3,FALSE)</f>
        <v>0942</v>
      </c>
    </row>
    <row r="660" spans="1:33" ht="15.75" hidden="1" customHeight="1">
      <c r="A660" s="51"/>
      <c r="B660" s="51"/>
      <c r="C660" s="51"/>
      <c r="D660" s="51"/>
      <c r="E660" s="51"/>
      <c r="F660" s="51"/>
      <c r="G660" s="51"/>
      <c r="H660" s="55"/>
      <c r="I660" s="55"/>
      <c r="J660" s="55"/>
      <c r="K660" s="55"/>
      <c r="L660" s="55"/>
      <c r="M660" s="55"/>
      <c r="N660" s="55"/>
      <c r="O660" s="55"/>
      <c r="P660" s="55"/>
      <c r="Q660" s="51"/>
      <c r="R660" s="51"/>
      <c r="S660" s="51"/>
      <c r="T660" s="51"/>
      <c r="U660" s="51"/>
      <c r="V660" s="51"/>
      <c r="W660" s="51"/>
      <c r="X660" s="51"/>
      <c r="Y660" s="51"/>
      <c r="Z660" s="51"/>
      <c r="AA660" s="51"/>
      <c r="AB660" s="51"/>
      <c r="AC660" s="51"/>
      <c r="AD660" s="51" t="s">
        <v>2797</v>
      </c>
      <c r="AE660" s="51" t="s">
        <v>2798</v>
      </c>
      <c r="AF660" s="51" t="str">
        <f t="shared" si="9"/>
        <v>A679078</v>
      </c>
      <c r="AG660" s="51" t="str">
        <f>VLOOKUP(AF660,AKT!$C$4:$E$324,3,FALSE)</f>
        <v>0942</v>
      </c>
    </row>
    <row r="661" spans="1:33" ht="15.75" hidden="1" customHeight="1">
      <c r="A661" s="51"/>
      <c r="B661" s="51"/>
      <c r="C661" s="51"/>
      <c r="D661" s="51"/>
      <c r="E661" s="51"/>
      <c r="F661" s="51"/>
      <c r="G661" s="51"/>
      <c r="H661" s="55"/>
      <c r="I661" s="55"/>
      <c r="J661" s="55"/>
      <c r="K661" s="55"/>
      <c r="L661" s="55"/>
      <c r="M661" s="55"/>
      <c r="N661" s="55"/>
      <c r="O661" s="55"/>
      <c r="P661" s="55"/>
      <c r="Q661" s="51"/>
      <c r="R661" s="51"/>
      <c r="S661" s="51"/>
      <c r="T661" s="51"/>
      <c r="U661" s="51"/>
      <c r="V661" s="51"/>
      <c r="W661" s="51"/>
      <c r="X661" s="51"/>
      <c r="Y661" s="51"/>
      <c r="Z661" s="51"/>
      <c r="AA661" s="51"/>
      <c r="AB661" s="51"/>
      <c r="AC661" s="51"/>
      <c r="AD661" s="51" t="s">
        <v>2799</v>
      </c>
      <c r="AE661" s="51" t="s">
        <v>2800</v>
      </c>
      <c r="AF661" s="51" t="str">
        <f t="shared" si="9"/>
        <v>A679078</v>
      </c>
      <c r="AG661" s="51" t="str">
        <f>VLOOKUP(AF661,AKT!$C$4:$E$324,3,FALSE)</f>
        <v>0942</v>
      </c>
    </row>
    <row r="662" spans="1:33" ht="15.75" hidden="1" customHeight="1">
      <c r="A662" s="51"/>
      <c r="B662" s="51"/>
      <c r="C662" s="51"/>
      <c r="D662" s="51"/>
      <c r="E662" s="51"/>
      <c r="F662" s="51"/>
      <c r="G662" s="51"/>
      <c r="H662" s="55"/>
      <c r="I662" s="55"/>
      <c r="J662" s="55"/>
      <c r="K662" s="55"/>
      <c r="L662" s="55"/>
      <c r="M662" s="55"/>
      <c r="N662" s="55"/>
      <c r="O662" s="55"/>
      <c r="P662" s="55"/>
      <c r="Q662" s="51"/>
      <c r="R662" s="51"/>
      <c r="S662" s="51"/>
      <c r="T662" s="51"/>
      <c r="U662" s="51"/>
      <c r="V662" s="51"/>
      <c r="W662" s="51"/>
      <c r="X662" s="51"/>
      <c r="Y662" s="51"/>
      <c r="Z662" s="51"/>
      <c r="AA662" s="51"/>
      <c r="AB662" s="51"/>
      <c r="AC662" s="51"/>
      <c r="AD662" s="51" t="s">
        <v>2801</v>
      </c>
      <c r="AE662" s="51" t="s">
        <v>2802</v>
      </c>
      <c r="AF662" s="51" t="str">
        <f t="shared" si="9"/>
        <v>A679078</v>
      </c>
      <c r="AG662" s="51" t="str">
        <f>VLOOKUP(AF662,AKT!$C$4:$E$324,3,FALSE)</f>
        <v>0942</v>
      </c>
    </row>
    <row r="663" spans="1:33" ht="15.75" hidden="1" customHeight="1">
      <c r="A663" s="51"/>
      <c r="B663" s="51"/>
      <c r="C663" s="51"/>
      <c r="D663" s="51"/>
      <c r="E663" s="51"/>
      <c r="F663" s="51"/>
      <c r="G663" s="51"/>
      <c r="H663" s="55"/>
      <c r="I663" s="55"/>
      <c r="J663" s="55"/>
      <c r="K663" s="55"/>
      <c r="L663" s="55"/>
      <c r="M663" s="55"/>
      <c r="N663" s="55"/>
      <c r="O663" s="55"/>
      <c r="P663" s="55"/>
      <c r="Q663" s="51"/>
      <c r="R663" s="51"/>
      <c r="S663" s="51"/>
      <c r="T663" s="51"/>
      <c r="U663" s="51"/>
      <c r="V663" s="51"/>
      <c r="W663" s="51"/>
      <c r="X663" s="51"/>
      <c r="Y663" s="51"/>
      <c r="Z663" s="51"/>
      <c r="AA663" s="51"/>
      <c r="AB663" s="51"/>
      <c r="AC663" s="51"/>
      <c r="AD663" s="51" t="s">
        <v>2803</v>
      </c>
      <c r="AE663" s="51" t="s">
        <v>2804</v>
      </c>
      <c r="AF663" s="51" t="str">
        <f t="shared" si="9"/>
        <v>A679078</v>
      </c>
      <c r="AG663" s="51" t="str">
        <f>VLOOKUP(AF663,AKT!$C$4:$E$324,3,FALSE)</f>
        <v>0942</v>
      </c>
    </row>
    <row r="664" spans="1:33" ht="15.75" hidden="1" customHeight="1">
      <c r="A664" s="51"/>
      <c r="B664" s="51"/>
      <c r="C664" s="51"/>
      <c r="D664" s="51"/>
      <c r="E664" s="51"/>
      <c r="F664" s="51"/>
      <c r="G664" s="51"/>
      <c r="H664" s="55"/>
      <c r="I664" s="55"/>
      <c r="J664" s="55"/>
      <c r="K664" s="55"/>
      <c r="L664" s="55"/>
      <c r="M664" s="55"/>
      <c r="N664" s="55"/>
      <c r="O664" s="55"/>
      <c r="P664" s="55"/>
      <c r="Q664" s="51"/>
      <c r="R664" s="51"/>
      <c r="S664" s="51"/>
      <c r="T664" s="51"/>
      <c r="U664" s="51"/>
      <c r="V664" s="51"/>
      <c r="W664" s="51"/>
      <c r="X664" s="51"/>
      <c r="Y664" s="51"/>
      <c r="Z664" s="51"/>
      <c r="AA664" s="51"/>
      <c r="AB664" s="51"/>
      <c r="AC664" s="51"/>
      <c r="AD664" s="51" t="s">
        <v>2805</v>
      </c>
      <c r="AE664" s="51" t="s">
        <v>2806</v>
      </c>
      <c r="AF664" s="51" t="str">
        <f t="shared" si="9"/>
        <v>A679078</v>
      </c>
      <c r="AG664" s="51" t="str">
        <f>VLOOKUP(AF664,AKT!$C$4:$E$324,3,FALSE)</f>
        <v>0942</v>
      </c>
    </row>
    <row r="665" spans="1:33" ht="15.75" hidden="1" customHeight="1">
      <c r="A665" s="51"/>
      <c r="B665" s="51"/>
      <c r="C665" s="51"/>
      <c r="D665" s="51"/>
      <c r="E665" s="51"/>
      <c r="F665" s="51"/>
      <c r="G665" s="51"/>
      <c r="H665" s="55"/>
      <c r="I665" s="55"/>
      <c r="J665" s="55"/>
      <c r="K665" s="55"/>
      <c r="L665" s="55"/>
      <c r="M665" s="55"/>
      <c r="N665" s="55"/>
      <c r="O665" s="55"/>
      <c r="P665" s="55"/>
      <c r="Q665" s="51"/>
      <c r="R665" s="51"/>
      <c r="S665" s="51"/>
      <c r="T665" s="51"/>
      <c r="U665" s="51"/>
      <c r="V665" s="51"/>
      <c r="W665" s="51"/>
      <c r="X665" s="51"/>
      <c r="Y665" s="51"/>
      <c r="Z665" s="51"/>
      <c r="AA665" s="51"/>
      <c r="AB665" s="51"/>
      <c r="AC665" s="51"/>
      <c r="AD665" s="51" t="s">
        <v>2807</v>
      </c>
      <c r="AE665" s="51" t="s">
        <v>2808</v>
      </c>
      <c r="AF665" s="51" t="str">
        <f t="shared" si="9"/>
        <v>A679078</v>
      </c>
      <c r="AG665" s="51" t="str">
        <f>VLOOKUP(AF665,AKT!$C$4:$E$324,3,FALSE)</f>
        <v>0942</v>
      </c>
    </row>
    <row r="666" spans="1:33" ht="15.75" hidden="1" customHeight="1">
      <c r="A666" s="51"/>
      <c r="B666" s="51"/>
      <c r="C666" s="51"/>
      <c r="D666" s="51"/>
      <c r="E666" s="51"/>
      <c r="F666" s="51"/>
      <c r="G666" s="51"/>
      <c r="H666" s="55"/>
      <c r="I666" s="55"/>
      <c r="J666" s="55"/>
      <c r="K666" s="55"/>
      <c r="L666" s="55"/>
      <c r="M666" s="55"/>
      <c r="N666" s="55"/>
      <c r="O666" s="55"/>
      <c r="P666" s="55"/>
      <c r="Q666" s="51"/>
      <c r="R666" s="51"/>
      <c r="S666" s="51"/>
      <c r="T666" s="51"/>
      <c r="U666" s="51"/>
      <c r="V666" s="51"/>
      <c r="W666" s="51"/>
      <c r="X666" s="51"/>
      <c r="Y666" s="51"/>
      <c r="Z666" s="51"/>
      <c r="AA666" s="51"/>
      <c r="AB666" s="51"/>
      <c r="AC666" s="51"/>
      <c r="AD666" s="51" t="s">
        <v>2809</v>
      </c>
      <c r="AE666" s="51" t="s">
        <v>2810</v>
      </c>
      <c r="AF666" s="51" t="str">
        <f t="shared" si="9"/>
        <v>A679078</v>
      </c>
      <c r="AG666" s="51" t="str">
        <f>VLOOKUP(AF666,AKT!$C$4:$E$324,3,FALSE)</f>
        <v>0942</v>
      </c>
    </row>
    <row r="667" spans="1:33" ht="15.75" hidden="1" customHeight="1">
      <c r="A667" s="51"/>
      <c r="B667" s="51"/>
      <c r="C667" s="51"/>
      <c r="D667" s="51"/>
      <c r="E667" s="51"/>
      <c r="F667" s="51"/>
      <c r="G667" s="51"/>
      <c r="H667" s="55"/>
      <c r="I667" s="55"/>
      <c r="J667" s="55"/>
      <c r="K667" s="55"/>
      <c r="L667" s="55"/>
      <c r="M667" s="55"/>
      <c r="N667" s="55"/>
      <c r="O667" s="55"/>
      <c r="P667" s="55"/>
      <c r="Q667" s="51"/>
      <c r="R667" s="51"/>
      <c r="S667" s="51"/>
      <c r="T667" s="51"/>
      <c r="U667" s="51"/>
      <c r="V667" s="51"/>
      <c r="W667" s="51"/>
      <c r="X667" s="51"/>
      <c r="Y667" s="51"/>
      <c r="Z667" s="51"/>
      <c r="AA667" s="51"/>
      <c r="AB667" s="51"/>
      <c r="AC667" s="51"/>
      <c r="AD667" s="51" t="s">
        <v>2811</v>
      </c>
      <c r="AE667" s="51" t="s">
        <v>2812</v>
      </c>
      <c r="AF667" s="51" t="str">
        <f t="shared" si="9"/>
        <v>A679078</v>
      </c>
      <c r="AG667" s="51" t="str">
        <f>VLOOKUP(AF667,AKT!$C$4:$E$324,3,FALSE)</f>
        <v>0942</v>
      </c>
    </row>
    <row r="668" spans="1:33" ht="15.75" hidden="1" customHeight="1">
      <c r="A668" s="51"/>
      <c r="B668" s="51"/>
      <c r="C668" s="51"/>
      <c r="D668" s="51"/>
      <c r="E668" s="51"/>
      <c r="F668" s="51"/>
      <c r="G668" s="51"/>
      <c r="H668" s="55"/>
      <c r="I668" s="55"/>
      <c r="J668" s="55"/>
      <c r="K668" s="55"/>
      <c r="L668" s="55"/>
      <c r="M668" s="55"/>
      <c r="N668" s="55"/>
      <c r="O668" s="55"/>
      <c r="P668" s="55"/>
      <c r="Q668" s="51"/>
      <c r="R668" s="51"/>
      <c r="S668" s="51"/>
      <c r="T668" s="51"/>
      <c r="U668" s="51"/>
      <c r="V668" s="51"/>
      <c r="W668" s="51"/>
      <c r="X668" s="51"/>
      <c r="Y668" s="51"/>
      <c r="Z668" s="51"/>
      <c r="AA668" s="51"/>
      <c r="AB668" s="51"/>
      <c r="AC668" s="51"/>
      <c r="AD668" s="51" t="s">
        <v>2813</v>
      </c>
      <c r="AE668" s="51" t="s">
        <v>2814</v>
      </c>
      <c r="AF668" s="51" t="str">
        <f t="shared" si="9"/>
        <v>A679078</v>
      </c>
      <c r="AG668" s="51" t="str">
        <f>VLOOKUP(AF668,AKT!$C$4:$E$324,3,FALSE)</f>
        <v>0942</v>
      </c>
    </row>
    <row r="669" spans="1:33" ht="15.75" hidden="1" customHeight="1">
      <c r="A669" s="51"/>
      <c r="B669" s="51"/>
      <c r="C669" s="51"/>
      <c r="D669" s="51"/>
      <c r="E669" s="51"/>
      <c r="F669" s="51"/>
      <c r="G669" s="51"/>
      <c r="H669" s="55"/>
      <c r="I669" s="55"/>
      <c r="J669" s="55"/>
      <c r="K669" s="55"/>
      <c r="L669" s="55"/>
      <c r="M669" s="55"/>
      <c r="N669" s="55"/>
      <c r="O669" s="55"/>
      <c r="P669" s="55"/>
      <c r="Q669" s="51"/>
      <c r="R669" s="51"/>
      <c r="S669" s="51"/>
      <c r="T669" s="51"/>
      <c r="U669" s="51"/>
      <c r="V669" s="51"/>
      <c r="W669" s="51"/>
      <c r="X669" s="51"/>
      <c r="Y669" s="51"/>
      <c r="Z669" s="51"/>
      <c r="AA669" s="51"/>
      <c r="AB669" s="51"/>
      <c r="AC669" s="51"/>
      <c r="AD669" s="51" t="s">
        <v>2815</v>
      </c>
      <c r="AE669" s="51" t="s">
        <v>2816</v>
      </c>
      <c r="AF669" s="51" t="str">
        <f t="shared" si="9"/>
        <v>A679078</v>
      </c>
      <c r="AG669" s="51" t="str">
        <f>VLOOKUP(AF669,AKT!$C$4:$E$324,3,FALSE)</f>
        <v>0942</v>
      </c>
    </row>
    <row r="670" spans="1:33" ht="15.75" hidden="1" customHeight="1">
      <c r="A670" s="51"/>
      <c r="B670" s="51"/>
      <c r="C670" s="51"/>
      <c r="D670" s="51"/>
      <c r="E670" s="51"/>
      <c r="F670" s="51"/>
      <c r="G670" s="51"/>
      <c r="H670" s="55"/>
      <c r="I670" s="55"/>
      <c r="J670" s="55"/>
      <c r="K670" s="55"/>
      <c r="L670" s="55"/>
      <c r="M670" s="55"/>
      <c r="N670" s="55"/>
      <c r="O670" s="55"/>
      <c r="P670" s="55"/>
      <c r="Q670" s="51"/>
      <c r="R670" s="51"/>
      <c r="S670" s="51"/>
      <c r="T670" s="51"/>
      <c r="U670" s="51"/>
      <c r="V670" s="51"/>
      <c r="W670" s="51"/>
      <c r="X670" s="51"/>
      <c r="Y670" s="51"/>
      <c r="Z670" s="51"/>
      <c r="AA670" s="51"/>
      <c r="AB670" s="51"/>
      <c r="AC670" s="51"/>
      <c r="AD670" s="51" t="s">
        <v>2817</v>
      </c>
      <c r="AE670" s="51" t="s">
        <v>2818</v>
      </c>
      <c r="AF670" s="51" t="str">
        <f t="shared" si="9"/>
        <v>A679078</v>
      </c>
      <c r="AG670" s="51" t="str">
        <f>VLOOKUP(AF670,AKT!$C$4:$E$324,3,FALSE)</f>
        <v>0942</v>
      </c>
    </row>
    <row r="671" spans="1:33" ht="15.75" hidden="1" customHeight="1">
      <c r="A671" s="51"/>
      <c r="B671" s="51"/>
      <c r="C671" s="51"/>
      <c r="D671" s="51"/>
      <c r="E671" s="51"/>
      <c r="F671" s="51"/>
      <c r="G671" s="51"/>
      <c r="H671" s="55"/>
      <c r="I671" s="55"/>
      <c r="J671" s="55"/>
      <c r="K671" s="55"/>
      <c r="L671" s="55"/>
      <c r="M671" s="55"/>
      <c r="N671" s="55"/>
      <c r="O671" s="55"/>
      <c r="P671" s="55"/>
      <c r="Q671" s="51"/>
      <c r="R671" s="51"/>
      <c r="S671" s="51"/>
      <c r="T671" s="51"/>
      <c r="U671" s="51"/>
      <c r="V671" s="51"/>
      <c r="W671" s="51"/>
      <c r="X671" s="51"/>
      <c r="Y671" s="51"/>
      <c r="Z671" s="51"/>
      <c r="AA671" s="51"/>
      <c r="AB671" s="51"/>
      <c r="AC671" s="51"/>
      <c r="AD671" s="51" t="s">
        <v>2819</v>
      </c>
      <c r="AE671" s="51" t="s">
        <v>2820</v>
      </c>
      <c r="AF671" s="51" t="str">
        <f t="shared" si="9"/>
        <v>A679078</v>
      </c>
      <c r="AG671" s="51" t="str">
        <f>VLOOKUP(AF671,AKT!$C$4:$E$324,3,FALSE)</f>
        <v>0942</v>
      </c>
    </row>
    <row r="672" spans="1:33" ht="15.75" hidden="1" customHeight="1">
      <c r="A672" s="51"/>
      <c r="B672" s="51"/>
      <c r="C672" s="51"/>
      <c r="D672" s="51"/>
      <c r="E672" s="51"/>
      <c r="F672" s="51"/>
      <c r="G672" s="51"/>
      <c r="H672" s="55"/>
      <c r="I672" s="55"/>
      <c r="J672" s="55"/>
      <c r="K672" s="55"/>
      <c r="L672" s="55"/>
      <c r="M672" s="55"/>
      <c r="N672" s="55"/>
      <c r="O672" s="55"/>
      <c r="P672" s="55"/>
      <c r="Q672" s="51"/>
      <c r="R672" s="51"/>
      <c r="S672" s="51"/>
      <c r="T672" s="51"/>
      <c r="U672" s="51"/>
      <c r="V672" s="51"/>
      <c r="W672" s="51"/>
      <c r="X672" s="51"/>
      <c r="Y672" s="51"/>
      <c r="Z672" s="51"/>
      <c r="AA672" s="51"/>
      <c r="AB672" s="51"/>
      <c r="AC672" s="51"/>
      <c r="AD672" s="51" t="s">
        <v>2821</v>
      </c>
      <c r="AE672" s="51" t="s">
        <v>2822</v>
      </c>
      <c r="AF672" s="51" t="str">
        <f t="shared" si="9"/>
        <v>A679078</v>
      </c>
      <c r="AG672" s="51" t="str">
        <f>VLOOKUP(AF672,AKT!$C$4:$E$324,3,FALSE)</f>
        <v>0942</v>
      </c>
    </row>
    <row r="673" spans="1:33" ht="15.75" hidden="1" customHeight="1">
      <c r="A673" s="51"/>
      <c r="B673" s="51"/>
      <c r="C673" s="51"/>
      <c r="D673" s="51"/>
      <c r="E673" s="51"/>
      <c r="F673" s="51"/>
      <c r="G673" s="51"/>
      <c r="H673" s="55"/>
      <c r="I673" s="55"/>
      <c r="J673" s="55"/>
      <c r="K673" s="55"/>
      <c r="L673" s="55"/>
      <c r="M673" s="55"/>
      <c r="N673" s="55"/>
      <c r="O673" s="55"/>
      <c r="P673" s="55"/>
      <c r="Q673" s="51"/>
      <c r="R673" s="51"/>
      <c r="S673" s="51"/>
      <c r="T673" s="51"/>
      <c r="U673" s="51"/>
      <c r="V673" s="51"/>
      <c r="W673" s="51"/>
      <c r="X673" s="51"/>
      <c r="Y673" s="51"/>
      <c r="Z673" s="51"/>
      <c r="AA673" s="51"/>
      <c r="AB673" s="51"/>
      <c r="AC673" s="51"/>
      <c r="AD673" s="51" t="s">
        <v>2823</v>
      </c>
      <c r="AE673" s="51" t="s">
        <v>2824</v>
      </c>
      <c r="AF673" s="51" t="str">
        <f t="shared" si="9"/>
        <v>A679078</v>
      </c>
      <c r="AG673" s="51" t="str">
        <f>VLOOKUP(AF673,AKT!$C$4:$E$324,3,FALSE)</f>
        <v>0942</v>
      </c>
    </row>
    <row r="674" spans="1:33" ht="15.75" hidden="1" customHeight="1">
      <c r="A674" s="51"/>
      <c r="B674" s="51"/>
      <c r="C674" s="51"/>
      <c r="D674" s="51"/>
      <c r="E674" s="51"/>
      <c r="F674" s="51"/>
      <c r="G674" s="51"/>
      <c r="H674" s="55"/>
      <c r="I674" s="55"/>
      <c r="J674" s="55"/>
      <c r="K674" s="55"/>
      <c r="L674" s="55"/>
      <c r="M674" s="55"/>
      <c r="N674" s="55"/>
      <c r="O674" s="55"/>
      <c r="P674" s="55"/>
      <c r="Q674" s="51"/>
      <c r="R674" s="51"/>
      <c r="S674" s="51"/>
      <c r="T674" s="51"/>
      <c r="U674" s="51"/>
      <c r="V674" s="51"/>
      <c r="W674" s="51"/>
      <c r="X674" s="51"/>
      <c r="Y674" s="51"/>
      <c r="Z674" s="51"/>
      <c r="AA674" s="51"/>
      <c r="AB674" s="51"/>
      <c r="AC674" s="51"/>
      <c r="AD674" s="51" t="s">
        <v>2825</v>
      </c>
      <c r="AE674" s="51" t="s">
        <v>2826</v>
      </c>
      <c r="AF674" s="51" t="str">
        <f t="shared" si="9"/>
        <v>A679078</v>
      </c>
      <c r="AG674" s="51" t="str">
        <f>VLOOKUP(AF674,AKT!$C$4:$E$324,3,FALSE)</f>
        <v>0942</v>
      </c>
    </row>
    <row r="675" spans="1:33" ht="15.75" hidden="1" customHeight="1">
      <c r="A675" s="51"/>
      <c r="B675" s="51"/>
      <c r="C675" s="51"/>
      <c r="D675" s="51"/>
      <c r="E675" s="51"/>
      <c r="F675" s="51"/>
      <c r="G675" s="51"/>
      <c r="H675" s="55"/>
      <c r="I675" s="55"/>
      <c r="J675" s="55"/>
      <c r="K675" s="55"/>
      <c r="L675" s="55"/>
      <c r="M675" s="55"/>
      <c r="N675" s="55"/>
      <c r="O675" s="55"/>
      <c r="P675" s="55"/>
      <c r="Q675" s="51"/>
      <c r="R675" s="51"/>
      <c r="S675" s="51"/>
      <c r="T675" s="51"/>
      <c r="U675" s="51"/>
      <c r="V675" s="51"/>
      <c r="W675" s="51"/>
      <c r="X675" s="51"/>
      <c r="Y675" s="51"/>
      <c r="Z675" s="51"/>
      <c r="AA675" s="51"/>
      <c r="AB675" s="51"/>
      <c r="AC675" s="51"/>
      <c r="AD675" s="51" t="s">
        <v>2827</v>
      </c>
      <c r="AE675" s="51" t="s">
        <v>2828</v>
      </c>
      <c r="AF675" s="51" t="str">
        <f t="shared" si="9"/>
        <v>A679078</v>
      </c>
      <c r="AG675" s="51" t="str">
        <f>VLOOKUP(AF675,AKT!$C$4:$E$324,3,FALSE)</f>
        <v>0942</v>
      </c>
    </row>
    <row r="676" spans="1:33" ht="15.75" hidden="1" customHeight="1">
      <c r="A676" s="51"/>
      <c r="B676" s="51"/>
      <c r="C676" s="51"/>
      <c r="D676" s="51"/>
      <c r="E676" s="51"/>
      <c r="F676" s="51"/>
      <c r="G676" s="51"/>
      <c r="H676" s="55"/>
      <c r="I676" s="55"/>
      <c r="J676" s="55"/>
      <c r="K676" s="55"/>
      <c r="L676" s="55"/>
      <c r="M676" s="55"/>
      <c r="N676" s="55"/>
      <c r="O676" s="55"/>
      <c r="P676" s="55"/>
      <c r="Q676" s="51"/>
      <c r="R676" s="51"/>
      <c r="S676" s="51"/>
      <c r="T676" s="51"/>
      <c r="U676" s="51"/>
      <c r="V676" s="51"/>
      <c r="W676" s="51"/>
      <c r="X676" s="51"/>
      <c r="Y676" s="51"/>
      <c r="Z676" s="51"/>
      <c r="AA676" s="51"/>
      <c r="AB676" s="51"/>
      <c r="AC676" s="51"/>
      <c r="AD676" s="51" t="s">
        <v>2829</v>
      </c>
      <c r="AE676" s="51" t="s">
        <v>2830</v>
      </c>
      <c r="AF676" s="51" t="str">
        <f t="shared" si="9"/>
        <v>A679078</v>
      </c>
      <c r="AG676" s="51" t="str">
        <f>VLOOKUP(AF676,AKT!$C$4:$E$324,3,FALSE)</f>
        <v>0942</v>
      </c>
    </row>
    <row r="677" spans="1:33" ht="15.75" hidden="1" customHeight="1">
      <c r="A677" s="51"/>
      <c r="B677" s="51"/>
      <c r="C677" s="51"/>
      <c r="D677" s="51"/>
      <c r="E677" s="51"/>
      <c r="F677" s="51"/>
      <c r="G677" s="51"/>
      <c r="H677" s="55"/>
      <c r="I677" s="55"/>
      <c r="J677" s="55"/>
      <c r="K677" s="55"/>
      <c r="L677" s="55"/>
      <c r="M677" s="55"/>
      <c r="N677" s="55"/>
      <c r="O677" s="55"/>
      <c r="P677" s="55"/>
      <c r="Q677" s="51"/>
      <c r="R677" s="51"/>
      <c r="S677" s="51"/>
      <c r="T677" s="51"/>
      <c r="U677" s="51"/>
      <c r="V677" s="51"/>
      <c r="W677" s="51"/>
      <c r="X677" s="51"/>
      <c r="Y677" s="51"/>
      <c r="Z677" s="51"/>
      <c r="AA677" s="51"/>
      <c r="AB677" s="51"/>
      <c r="AC677" s="51"/>
      <c r="AD677" s="51" t="s">
        <v>2831</v>
      </c>
      <c r="AE677" s="51" t="s">
        <v>2832</v>
      </c>
      <c r="AF677" s="51" t="str">
        <f t="shared" si="9"/>
        <v>A679078</v>
      </c>
      <c r="AG677" s="51" t="str">
        <f>VLOOKUP(AF677,AKT!$C$4:$E$324,3,FALSE)</f>
        <v>0942</v>
      </c>
    </row>
    <row r="678" spans="1:33" ht="15.75" hidden="1" customHeight="1">
      <c r="A678" s="51"/>
      <c r="B678" s="51"/>
      <c r="C678" s="51"/>
      <c r="D678" s="51"/>
      <c r="E678" s="51"/>
      <c r="F678" s="51"/>
      <c r="G678" s="51"/>
      <c r="H678" s="55"/>
      <c r="I678" s="55"/>
      <c r="J678" s="55"/>
      <c r="K678" s="55"/>
      <c r="L678" s="55"/>
      <c r="M678" s="55"/>
      <c r="N678" s="55"/>
      <c r="O678" s="55"/>
      <c r="P678" s="55"/>
      <c r="Q678" s="51"/>
      <c r="R678" s="51"/>
      <c r="S678" s="51"/>
      <c r="T678" s="51"/>
      <c r="U678" s="51"/>
      <c r="V678" s="51"/>
      <c r="W678" s="51"/>
      <c r="X678" s="51"/>
      <c r="Y678" s="51"/>
      <c r="Z678" s="51"/>
      <c r="AA678" s="51"/>
      <c r="AB678" s="51"/>
      <c r="AC678" s="51"/>
      <c r="AD678" s="51" t="s">
        <v>2833</v>
      </c>
      <c r="AE678" s="51" t="s">
        <v>2834</v>
      </c>
      <c r="AF678" s="51" t="str">
        <f t="shared" si="9"/>
        <v>A679078</v>
      </c>
      <c r="AG678" s="51" t="str">
        <f>VLOOKUP(AF678,AKT!$C$4:$E$324,3,FALSE)</f>
        <v>0942</v>
      </c>
    </row>
    <row r="679" spans="1:33" ht="15.75" hidden="1" customHeight="1">
      <c r="A679" s="51"/>
      <c r="B679" s="51"/>
      <c r="C679" s="51"/>
      <c r="D679" s="51"/>
      <c r="E679" s="51"/>
      <c r="F679" s="51"/>
      <c r="G679" s="51"/>
      <c r="H679" s="55"/>
      <c r="I679" s="55"/>
      <c r="J679" s="55"/>
      <c r="K679" s="55"/>
      <c r="L679" s="55"/>
      <c r="M679" s="55"/>
      <c r="N679" s="55"/>
      <c r="O679" s="55"/>
      <c r="P679" s="55"/>
      <c r="Q679" s="51"/>
      <c r="R679" s="51"/>
      <c r="S679" s="51"/>
      <c r="T679" s="51"/>
      <c r="U679" s="51"/>
      <c r="V679" s="51"/>
      <c r="W679" s="51"/>
      <c r="X679" s="51"/>
      <c r="Y679" s="51"/>
      <c r="Z679" s="51"/>
      <c r="AA679" s="51"/>
      <c r="AB679" s="51"/>
      <c r="AC679" s="51"/>
      <c r="AD679" s="51" t="s">
        <v>2835</v>
      </c>
      <c r="AE679" s="51" t="s">
        <v>2836</v>
      </c>
      <c r="AF679" s="51" t="str">
        <f t="shared" si="9"/>
        <v>A679078</v>
      </c>
      <c r="AG679" s="51" t="str">
        <f>VLOOKUP(AF679,AKT!$C$4:$E$324,3,FALSE)</f>
        <v>0942</v>
      </c>
    </row>
    <row r="680" spans="1:33" ht="15.75" hidden="1" customHeight="1">
      <c r="A680" s="51"/>
      <c r="B680" s="51"/>
      <c r="C680" s="51"/>
      <c r="D680" s="51"/>
      <c r="E680" s="51"/>
      <c r="F680" s="51"/>
      <c r="G680" s="51"/>
      <c r="H680" s="55"/>
      <c r="I680" s="55"/>
      <c r="J680" s="55"/>
      <c r="K680" s="55"/>
      <c r="L680" s="55"/>
      <c r="M680" s="55"/>
      <c r="N680" s="55"/>
      <c r="O680" s="55"/>
      <c r="P680" s="55"/>
      <c r="Q680" s="51"/>
      <c r="R680" s="51"/>
      <c r="S680" s="51"/>
      <c r="T680" s="51"/>
      <c r="U680" s="51"/>
      <c r="V680" s="51"/>
      <c r="W680" s="51"/>
      <c r="X680" s="51"/>
      <c r="Y680" s="51"/>
      <c r="Z680" s="51"/>
      <c r="AA680" s="51"/>
      <c r="AB680" s="51"/>
      <c r="AC680" s="51"/>
      <c r="AD680" s="51" t="s">
        <v>2837</v>
      </c>
      <c r="AE680" s="51" t="s">
        <v>2838</v>
      </c>
      <c r="AF680" s="51" t="str">
        <f t="shared" si="9"/>
        <v>A679078</v>
      </c>
      <c r="AG680" s="51" t="str">
        <f>VLOOKUP(AF680,AKT!$C$4:$E$324,3,FALSE)</f>
        <v>0942</v>
      </c>
    </row>
    <row r="681" spans="1:33" ht="15.75" hidden="1" customHeight="1">
      <c r="A681" s="51"/>
      <c r="B681" s="51"/>
      <c r="C681" s="51"/>
      <c r="D681" s="51"/>
      <c r="E681" s="51"/>
      <c r="F681" s="51"/>
      <c r="G681" s="51"/>
      <c r="H681" s="55"/>
      <c r="I681" s="55"/>
      <c r="J681" s="55"/>
      <c r="K681" s="55"/>
      <c r="L681" s="55"/>
      <c r="M681" s="55"/>
      <c r="N681" s="55"/>
      <c r="O681" s="55"/>
      <c r="P681" s="55"/>
      <c r="Q681" s="51"/>
      <c r="R681" s="51"/>
      <c r="S681" s="51"/>
      <c r="T681" s="51"/>
      <c r="U681" s="51"/>
      <c r="V681" s="51"/>
      <c r="W681" s="51"/>
      <c r="X681" s="51"/>
      <c r="Y681" s="51"/>
      <c r="Z681" s="51"/>
      <c r="AA681" s="51"/>
      <c r="AB681" s="51"/>
      <c r="AC681" s="51"/>
      <c r="AD681" s="51" t="s">
        <v>2839</v>
      </c>
      <c r="AE681" s="51" t="s">
        <v>2840</v>
      </c>
      <c r="AF681" s="51" t="str">
        <f t="shared" si="9"/>
        <v>A679078</v>
      </c>
      <c r="AG681" s="51" t="str">
        <f>VLOOKUP(AF681,AKT!$C$4:$E$324,3,FALSE)</f>
        <v>0942</v>
      </c>
    </row>
    <row r="682" spans="1:33" ht="15.75" hidden="1" customHeight="1">
      <c r="A682" s="51"/>
      <c r="B682" s="51"/>
      <c r="C682" s="51"/>
      <c r="D682" s="51"/>
      <c r="E682" s="51"/>
      <c r="F682" s="51"/>
      <c r="G682" s="51"/>
      <c r="H682" s="55"/>
      <c r="I682" s="55"/>
      <c r="J682" s="55"/>
      <c r="K682" s="55"/>
      <c r="L682" s="55"/>
      <c r="M682" s="55"/>
      <c r="N682" s="55"/>
      <c r="O682" s="55"/>
      <c r="P682" s="55"/>
      <c r="Q682" s="51"/>
      <c r="R682" s="51"/>
      <c r="S682" s="51"/>
      <c r="T682" s="51"/>
      <c r="U682" s="51"/>
      <c r="V682" s="51"/>
      <c r="W682" s="51"/>
      <c r="X682" s="51"/>
      <c r="Y682" s="51"/>
      <c r="Z682" s="51"/>
      <c r="AA682" s="51"/>
      <c r="AB682" s="51"/>
      <c r="AC682" s="51"/>
      <c r="AD682" s="51" t="s">
        <v>2841</v>
      </c>
      <c r="AE682" s="51" t="s">
        <v>2842</v>
      </c>
      <c r="AF682" s="51" t="str">
        <f t="shared" si="9"/>
        <v>A679078</v>
      </c>
      <c r="AG682" s="51" t="str">
        <f>VLOOKUP(AF682,AKT!$C$4:$E$324,3,FALSE)</f>
        <v>0942</v>
      </c>
    </row>
    <row r="683" spans="1:33" ht="15.75" hidden="1" customHeight="1">
      <c r="A683" s="51"/>
      <c r="B683" s="51"/>
      <c r="C683" s="51"/>
      <c r="D683" s="51"/>
      <c r="E683" s="51"/>
      <c r="F683" s="51"/>
      <c r="G683" s="51"/>
      <c r="H683" s="55"/>
      <c r="I683" s="55"/>
      <c r="J683" s="55"/>
      <c r="K683" s="55"/>
      <c r="L683" s="55"/>
      <c r="M683" s="55"/>
      <c r="N683" s="55"/>
      <c r="O683" s="55"/>
      <c r="P683" s="55"/>
      <c r="Q683" s="51"/>
      <c r="R683" s="51"/>
      <c r="S683" s="51"/>
      <c r="T683" s="51"/>
      <c r="U683" s="51"/>
      <c r="V683" s="51"/>
      <c r="W683" s="51"/>
      <c r="X683" s="51"/>
      <c r="Y683" s="51"/>
      <c r="Z683" s="51"/>
      <c r="AA683" s="51"/>
      <c r="AB683" s="51"/>
      <c r="AC683" s="51"/>
      <c r="AD683" s="51" t="s">
        <v>2843</v>
      </c>
      <c r="AE683" s="51" t="s">
        <v>2844</v>
      </c>
      <c r="AF683" s="51" t="str">
        <f t="shared" si="9"/>
        <v>A679078</v>
      </c>
      <c r="AG683" s="51" t="str">
        <f>VLOOKUP(AF683,AKT!$C$4:$E$324,3,FALSE)</f>
        <v>0942</v>
      </c>
    </row>
    <row r="684" spans="1:33" ht="15.75" hidden="1" customHeight="1">
      <c r="A684" s="51"/>
      <c r="B684" s="51"/>
      <c r="C684" s="51"/>
      <c r="D684" s="51"/>
      <c r="E684" s="51"/>
      <c r="F684" s="51"/>
      <c r="G684" s="51"/>
      <c r="H684" s="55"/>
      <c r="I684" s="55"/>
      <c r="J684" s="55"/>
      <c r="K684" s="55"/>
      <c r="L684" s="55"/>
      <c r="M684" s="55"/>
      <c r="N684" s="55"/>
      <c r="O684" s="55"/>
      <c r="P684" s="55"/>
      <c r="Q684" s="51"/>
      <c r="R684" s="51"/>
      <c r="S684" s="51"/>
      <c r="T684" s="51"/>
      <c r="U684" s="51"/>
      <c r="V684" s="51"/>
      <c r="W684" s="51"/>
      <c r="X684" s="51"/>
      <c r="Y684" s="51"/>
      <c r="Z684" s="51"/>
      <c r="AA684" s="51"/>
      <c r="AB684" s="51"/>
      <c r="AC684" s="51"/>
      <c r="AD684" s="51" t="s">
        <v>2845</v>
      </c>
      <c r="AE684" s="51" t="s">
        <v>2846</v>
      </c>
      <c r="AF684" s="51" t="str">
        <f t="shared" si="9"/>
        <v>A679078</v>
      </c>
      <c r="AG684" s="51" t="str">
        <f>VLOOKUP(AF684,AKT!$C$4:$E$324,3,FALSE)</f>
        <v>0942</v>
      </c>
    </row>
    <row r="685" spans="1:33" ht="15.75" hidden="1" customHeight="1">
      <c r="A685" s="51"/>
      <c r="B685" s="51"/>
      <c r="C685" s="51"/>
      <c r="D685" s="51"/>
      <c r="E685" s="51"/>
      <c r="F685" s="51"/>
      <c r="G685" s="51"/>
      <c r="H685" s="55"/>
      <c r="I685" s="55"/>
      <c r="J685" s="55"/>
      <c r="K685" s="55"/>
      <c r="L685" s="55"/>
      <c r="M685" s="55"/>
      <c r="N685" s="55"/>
      <c r="O685" s="55"/>
      <c r="P685" s="55"/>
      <c r="Q685" s="51"/>
      <c r="R685" s="51"/>
      <c r="S685" s="51"/>
      <c r="T685" s="51"/>
      <c r="U685" s="51"/>
      <c r="V685" s="51"/>
      <c r="W685" s="51"/>
      <c r="X685" s="51"/>
      <c r="Y685" s="51"/>
      <c r="Z685" s="51"/>
      <c r="AA685" s="51"/>
      <c r="AB685" s="51"/>
      <c r="AC685" s="51"/>
      <c r="AD685" s="51" t="s">
        <v>2847</v>
      </c>
      <c r="AE685" s="51" t="s">
        <v>2848</v>
      </c>
      <c r="AF685" s="51" t="str">
        <f t="shared" si="9"/>
        <v>A679078</v>
      </c>
      <c r="AG685" s="51" t="str">
        <f>VLOOKUP(AF685,AKT!$C$4:$E$324,3,FALSE)</f>
        <v>0942</v>
      </c>
    </row>
    <row r="686" spans="1:33" ht="15.75" hidden="1" customHeight="1">
      <c r="A686" s="51"/>
      <c r="B686" s="51"/>
      <c r="C686" s="51"/>
      <c r="D686" s="51"/>
      <c r="E686" s="51"/>
      <c r="F686" s="51"/>
      <c r="G686" s="51"/>
      <c r="H686" s="55"/>
      <c r="I686" s="55"/>
      <c r="J686" s="55"/>
      <c r="K686" s="55"/>
      <c r="L686" s="55"/>
      <c r="M686" s="55"/>
      <c r="N686" s="55"/>
      <c r="O686" s="55"/>
      <c r="P686" s="55"/>
      <c r="Q686" s="51"/>
      <c r="R686" s="51"/>
      <c r="S686" s="51"/>
      <c r="T686" s="51"/>
      <c r="U686" s="51"/>
      <c r="V686" s="51"/>
      <c r="W686" s="51"/>
      <c r="X686" s="51"/>
      <c r="Y686" s="51"/>
      <c r="Z686" s="51"/>
      <c r="AA686" s="51"/>
      <c r="AB686" s="51"/>
      <c r="AC686" s="51"/>
      <c r="AD686" s="51" t="s">
        <v>2849</v>
      </c>
      <c r="AE686" s="51" t="s">
        <v>2850</v>
      </c>
      <c r="AF686" s="51" t="str">
        <f t="shared" si="9"/>
        <v>A679078</v>
      </c>
      <c r="AG686" s="51" t="str">
        <f>VLOOKUP(AF686,AKT!$C$4:$E$324,3,FALSE)</f>
        <v>0942</v>
      </c>
    </row>
    <row r="687" spans="1:33" ht="15.75" hidden="1" customHeight="1">
      <c r="A687" s="51"/>
      <c r="B687" s="51"/>
      <c r="C687" s="51"/>
      <c r="D687" s="51"/>
      <c r="E687" s="51"/>
      <c r="F687" s="51"/>
      <c r="G687" s="51"/>
      <c r="H687" s="55"/>
      <c r="I687" s="55"/>
      <c r="J687" s="55"/>
      <c r="K687" s="55"/>
      <c r="L687" s="55"/>
      <c r="M687" s="55"/>
      <c r="N687" s="55"/>
      <c r="O687" s="55"/>
      <c r="P687" s="55"/>
      <c r="Q687" s="51"/>
      <c r="R687" s="51"/>
      <c r="S687" s="51"/>
      <c r="T687" s="51"/>
      <c r="U687" s="51"/>
      <c r="V687" s="51"/>
      <c r="W687" s="51"/>
      <c r="X687" s="51"/>
      <c r="Y687" s="51"/>
      <c r="Z687" s="51"/>
      <c r="AA687" s="51"/>
      <c r="AB687" s="51"/>
      <c r="AC687" s="51"/>
      <c r="AD687" s="51" t="s">
        <v>2851</v>
      </c>
      <c r="AE687" s="51" t="s">
        <v>2852</v>
      </c>
      <c r="AF687" s="51" t="str">
        <f t="shared" si="9"/>
        <v>A679078</v>
      </c>
      <c r="AG687" s="51" t="str">
        <f>VLOOKUP(AF687,AKT!$C$4:$E$324,3,FALSE)</f>
        <v>0942</v>
      </c>
    </row>
    <row r="688" spans="1:33" ht="15.75" hidden="1" customHeight="1">
      <c r="A688" s="51"/>
      <c r="B688" s="51"/>
      <c r="C688" s="51"/>
      <c r="D688" s="51"/>
      <c r="E688" s="51"/>
      <c r="F688" s="51"/>
      <c r="G688" s="51"/>
      <c r="H688" s="55"/>
      <c r="I688" s="55"/>
      <c r="J688" s="55"/>
      <c r="K688" s="55"/>
      <c r="L688" s="55"/>
      <c r="M688" s="55"/>
      <c r="N688" s="55"/>
      <c r="O688" s="55"/>
      <c r="P688" s="55"/>
      <c r="Q688" s="51"/>
      <c r="R688" s="51"/>
      <c r="S688" s="51"/>
      <c r="T688" s="51"/>
      <c r="U688" s="51"/>
      <c r="V688" s="51"/>
      <c r="W688" s="51"/>
      <c r="X688" s="51"/>
      <c r="Y688" s="51"/>
      <c r="Z688" s="51"/>
      <c r="AA688" s="51"/>
      <c r="AB688" s="51"/>
      <c r="AC688" s="51"/>
      <c r="AD688" s="51" t="s">
        <v>2853</v>
      </c>
      <c r="AE688" s="51" t="s">
        <v>2854</v>
      </c>
      <c r="AF688" s="51" t="str">
        <f t="shared" si="9"/>
        <v>A679078</v>
      </c>
      <c r="AG688" s="51" t="str">
        <f>VLOOKUP(AF688,AKT!$C$4:$E$324,3,FALSE)</f>
        <v>0942</v>
      </c>
    </row>
    <row r="689" spans="1:33" ht="15.75" hidden="1" customHeight="1">
      <c r="A689" s="51"/>
      <c r="B689" s="51"/>
      <c r="C689" s="51"/>
      <c r="D689" s="51"/>
      <c r="E689" s="51"/>
      <c r="F689" s="51"/>
      <c r="G689" s="51"/>
      <c r="H689" s="55"/>
      <c r="I689" s="55"/>
      <c r="J689" s="55"/>
      <c r="K689" s="55"/>
      <c r="L689" s="55"/>
      <c r="M689" s="55"/>
      <c r="N689" s="55"/>
      <c r="O689" s="55"/>
      <c r="P689" s="55"/>
      <c r="Q689" s="51"/>
      <c r="R689" s="51"/>
      <c r="S689" s="51"/>
      <c r="T689" s="51"/>
      <c r="U689" s="51"/>
      <c r="V689" s="51"/>
      <c r="W689" s="51"/>
      <c r="X689" s="51"/>
      <c r="Y689" s="51"/>
      <c r="Z689" s="51"/>
      <c r="AA689" s="51"/>
      <c r="AB689" s="51"/>
      <c r="AC689" s="51"/>
      <c r="AD689" s="51" t="s">
        <v>2855</v>
      </c>
      <c r="AE689" s="51" t="s">
        <v>2856</v>
      </c>
      <c r="AF689" s="51" t="str">
        <f t="shared" si="9"/>
        <v>A679078</v>
      </c>
      <c r="AG689" s="51" t="str">
        <f>VLOOKUP(AF689,AKT!$C$4:$E$324,3,FALSE)</f>
        <v>0942</v>
      </c>
    </row>
    <row r="690" spans="1:33" ht="15.75" hidden="1" customHeight="1">
      <c r="A690" s="51"/>
      <c r="B690" s="51"/>
      <c r="C690" s="51"/>
      <c r="D690" s="51"/>
      <c r="E690" s="51"/>
      <c r="F690" s="51"/>
      <c r="G690" s="51"/>
      <c r="H690" s="55"/>
      <c r="I690" s="55"/>
      <c r="J690" s="55"/>
      <c r="K690" s="55"/>
      <c r="L690" s="55"/>
      <c r="M690" s="55"/>
      <c r="N690" s="55"/>
      <c r="O690" s="55"/>
      <c r="P690" s="55"/>
      <c r="Q690" s="51"/>
      <c r="R690" s="51"/>
      <c r="S690" s="51"/>
      <c r="T690" s="51"/>
      <c r="U690" s="51"/>
      <c r="V690" s="51"/>
      <c r="W690" s="51"/>
      <c r="X690" s="51"/>
      <c r="Y690" s="51"/>
      <c r="Z690" s="51"/>
      <c r="AA690" s="51"/>
      <c r="AB690" s="51"/>
      <c r="AC690" s="51"/>
      <c r="AD690" s="51" t="s">
        <v>2857</v>
      </c>
      <c r="AE690" s="51" t="s">
        <v>2858</v>
      </c>
      <c r="AF690" s="51" t="str">
        <f t="shared" si="9"/>
        <v>A679078</v>
      </c>
      <c r="AG690" s="51" t="str">
        <f>VLOOKUP(AF690,AKT!$C$4:$E$324,3,FALSE)</f>
        <v>0942</v>
      </c>
    </row>
    <row r="691" spans="1:33" ht="15.75" hidden="1" customHeight="1">
      <c r="A691" s="51"/>
      <c r="B691" s="51"/>
      <c r="C691" s="51"/>
      <c r="D691" s="51"/>
      <c r="E691" s="51"/>
      <c r="F691" s="51"/>
      <c r="G691" s="51"/>
      <c r="H691" s="55"/>
      <c r="I691" s="55"/>
      <c r="J691" s="55"/>
      <c r="K691" s="55"/>
      <c r="L691" s="55"/>
      <c r="M691" s="55"/>
      <c r="N691" s="55"/>
      <c r="O691" s="55"/>
      <c r="P691" s="55"/>
      <c r="Q691" s="51"/>
      <c r="R691" s="51"/>
      <c r="S691" s="51"/>
      <c r="T691" s="51"/>
      <c r="U691" s="51"/>
      <c r="V691" s="51"/>
      <c r="W691" s="51"/>
      <c r="X691" s="51"/>
      <c r="Y691" s="51"/>
      <c r="Z691" s="51"/>
      <c r="AA691" s="51"/>
      <c r="AB691" s="51"/>
      <c r="AC691" s="51"/>
      <c r="AD691" s="51" t="s">
        <v>2859</v>
      </c>
      <c r="AE691" s="51" t="s">
        <v>2860</v>
      </c>
      <c r="AF691" s="51" t="str">
        <f t="shared" si="9"/>
        <v>A679078</v>
      </c>
      <c r="AG691" s="51" t="str">
        <f>VLOOKUP(AF691,AKT!$C$4:$E$324,3,FALSE)</f>
        <v>0942</v>
      </c>
    </row>
    <row r="692" spans="1:33" ht="15.75" hidden="1" customHeight="1">
      <c r="A692" s="51"/>
      <c r="B692" s="51"/>
      <c r="C692" s="51"/>
      <c r="D692" s="51"/>
      <c r="E692" s="51"/>
      <c r="F692" s="51"/>
      <c r="G692" s="51"/>
      <c r="H692" s="55"/>
      <c r="I692" s="55"/>
      <c r="J692" s="55"/>
      <c r="K692" s="55"/>
      <c r="L692" s="55"/>
      <c r="M692" s="55"/>
      <c r="N692" s="55"/>
      <c r="O692" s="55"/>
      <c r="P692" s="55"/>
      <c r="Q692" s="51"/>
      <c r="R692" s="51"/>
      <c r="S692" s="51"/>
      <c r="T692" s="51"/>
      <c r="U692" s="51"/>
      <c r="V692" s="51"/>
      <c r="W692" s="51"/>
      <c r="X692" s="51"/>
      <c r="Y692" s="51"/>
      <c r="Z692" s="51"/>
      <c r="AA692" s="51"/>
      <c r="AB692" s="51"/>
      <c r="AC692" s="51"/>
      <c r="AD692" s="51" t="s">
        <v>2861</v>
      </c>
      <c r="AE692" s="51" t="s">
        <v>2862</v>
      </c>
      <c r="AF692" s="51" t="str">
        <f t="shared" si="9"/>
        <v>A679078</v>
      </c>
      <c r="AG692" s="51" t="str">
        <f>VLOOKUP(AF692,AKT!$C$4:$E$324,3,FALSE)</f>
        <v>0942</v>
      </c>
    </row>
    <row r="693" spans="1:33" ht="15.75" hidden="1" customHeight="1">
      <c r="A693" s="51"/>
      <c r="B693" s="51"/>
      <c r="C693" s="51"/>
      <c r="D693" s="51"/>
      <c r="E693" s="51"/>
      <c r="F693" s="51"/>
      <c r="G693" s="51"/>
      <c r="H693" s="55"/>
      <c r="I693" s="55"/>
      <c r="J693" s="55"/>
      <c r="K693" s="55"/>
      <c r="L693" s="55"/>
      <c r="M693" s="55"/>
      <c r="N693" s="55"/>
      <c r="O693" s="55"/>
      <c r="P693" s="55"/>
      <c r="Q693" s="51"/>
      <c r="R693" s="51"/>
      <c r="S693" s="51"/>
      <c r="T693" s="51"/>
      <c r="U693" s="51"/>
      <c r="V693" s="51"/>
      <c r="W693" s="51"/>
      <c r="X693" s="51"/>
      <c r="Y693" s="51"/>
      <c r="Z693" s="51"/>
      <c r="AA693" s="51"/>
      <c r="AB693" s="51"/>
      <c r="AC693" s="51"/>
      <c r="AD693" s="51" t="s">
        <v>2863</v>
      </c>
      <c r="AE693" s="51" t="s">
        <v>2864</v>
      </c>
      <c r="AF693" s="51" t="str">
        <f t="shared" si="9"/>
        <v>A679078</v>
      </c>
      <c r="AG693" s="51" t="str">
        <f>VLOOKUP(AF693,AKT!$C$4:$E$324,3,FALSE)</f>
        <v>0942</v>
      </c>
    </row>
    <row r="694" spans="1:33" ht="15.75" hidden="1" customHeight="1">
      <c r="A694" s="51"/>
      <c r="B694" s="51"/>
      <c r="C694" s="51"/>
      <c r="D694" s="51"/>
      <c r="E694" s="51"/>
      <c r="F694" s="51"/>
      <c r="G694" s="51"/>
      <c r="H694" s="55"/>
      <c r="I694" s="55"/>
      <c r="J694" s="55"/>
      <c r="K694" s="55"/>
      <c r="L694" s="55"/>
      <c r="M694" s="55"/>
      <c r="N694" s="55"/>
      <c r="O694" s="55"/>
      <c r="P694" s="55"/>
      <c r="Q694" s="51"/>
      <c r="R694" s="51"/>
      <c r="S694" s="51"/>
      <c r="T694" s="51"/>
      <c r="U694" s="51"/>
      <c r="V694" s="51"/>
      <c r="W694" s="51"/>
      <c r="X694" s="51"/>
      <c r="Y694" s="51"/>
      <c r="Z694" s="51"/>
      <c r="AA694" s="51"/>
      <c r="AB694" s="51"/>
      <c r="AC694" s="51"/>
      <c r="AD694" s="51" t="s">
        <v>2865</v>
      </c>
      <c r="AE694" s="51" t="s">
        <v>2866</v>
      </c>
      <c r="AF694" s="51" t="str">
        <f t="shared" si="9"/>
        <v>A679078</v>
      </c>
      <c r="AG694" s="51" t="str">
        <f>VLOOKUP(AF694,AKT!$C$4:$E$324,3,FALSE)</f>
        <v>0942</v>
      </c>
    </row>
    <row r="695" spans="1:33" ht="15.75" hidden="1" customHeight="1">
      <c r="A695" s="51"/>
      <c r="B695" s="51"/>
      <c r="C695" s="51"/>
      <c r="D695" s="51"/>
      <c r="E695" s="51"/>
      <c r="F695" s="51"/>
      <c r="G695" s="51"/>
      <c r="H695" s="55"/>
      <c r="I695" s="55"/>
      <c r="J695" s="55"/>
      <c r="K695" s="55"/>
      <c r="L695" s="55"/>
      <c r="M695" s="55"/>
      <c r="N695" s="55"/>
      <c r="O695" s="55"/>
      <c r="P695" s="55"/>
      <c r="Q695" s="51"/>
      <c r="R695" s="51"/>
      <c r="S695" s="51"/>
      <c r="T695" s="51"/>
      <c r="U695" s="51"/>
      <c r="V695" s="51"/>
      <c r="W695" s="51"/>
      <c r="X695" s="51"/>
      <c r="Y695" s="51"/>
      <c r="Z695" s="51"/>
      <c r="AA695" s="51"/>
      <c r="AB695" s="51"/>
      <c r="AC695" s="51"/>
      <c r="AD695" s="51" t="s">
        <v>2867</v>
      </c>
      <c r="AE695" s="51" t="s">
        <v>2868</v>
      </c>
      <c r="AF695" s="51" t="str">
        <f t="shared" si="9"/>
        <v>A679078</v>
      </c>
      <c r="AG695" s="51" t="str">
        <f>VLOOKUP(AF695,AKT!$C$4:$E$324,3,FALSE)</f>
        <v>0942</v>
      </c>
    </row>
    <row r="696" spans="1:33" ht="15.75" hidden="1" customHeight="1">
      <c r="A696" s="51"/>
      <c r="B696" s="51"/>
      <c r="C696" s="51"/>
      <c r="D696" s="51"/>
      <c r="E696" s="51"/>
      <c r="F696" s="51"/>
      <c r="G696" s="51"/>
      <c r="H696" s="55"/>
      <c r="I696" s="55"/>
      <c r="J696" s="55"/>
      <c r="K696" s="55"/>
      <c r="L696" s="55"/>
      <c r="M696" s="55"/>
      <c r="N696" s="55"/>
      <c r="O696" s="55"/>
      <c r="P696" s="55"/>
      <c r="Q696" s="51"/>
      <c r="R696" s="51"/>
      <c r="S696" s="51"/>
      <c r="T696" s="51"/>
      <c r="U696" s="51"/>
      <c r="V696" s="51"/>
      <c r="W696" s="51"/>
      <c r="X696" s="51"/>
      <c r="Y696" s="51"/>
      <c r="Z696" s="51"/>
      <c r="AA696" s="51"/>
      <c r="AB696" s="51"/>
      <c r="AC696" s="51"/>
      <c r="AD696" s="51" t="s">
        <v>2869</v>
      </c>
      <c r="AE696" s="51" t="s">
        <v>2870</v>
      </c>
      <c r="AF696" s="51" t="str">
        <f t="shared" si="9"/>
        <v>A679078</v>
      </c>
      <c r="AG696" s="51" t="str">
        <f>VLOOKUP(AF696,AKT!$C$4:$E$324,3,FALSE)</f>
        <v>0942</v>
      </c>
    </row>
    <row r="697" spans="1:33" ht="15.75" hidden="1" customHeight="1">
      <c r="A697" s="51"/>
      <c r="B697" s="51"/>
      <c r="C697" s="51"/>
      <c r="D697" s="51"/>
      <c r="E697" s="51"/>
      <c r="F697" s="51"/>
      <c r="G697" s="51"/>
      <c r="H697" s="55"/>
      <c r="I697" s="55"/>
      <c r="J697" s="55"/>
      <c r="K697" s="55"/>
      <c r="L697" s="55"/>
      <c r="M697" s="55"/>
      <c r="N697" s="55"/>
      <c r="O697" s="55"/>
      <c r="P697" s="55"/>
      <c r="Q697" s="51"/>
      <c r="R697" s="51"/>
      <c r="S697" s="51"/>
      <c r="T697" s="51"/>
      <c r="U697" s="51"/>
      <c r="V697" s="51"/>
      <c r="W697" s="51"/>
      <c r="X697" s="51"/>
      <c r="Y697" s="51"/>
      <c r="Z697" s="51"/>
      <c r="AA697" s="51"/>
      <c r="AB697" s="51"/>
      <c r="AC697" s="51"/>
      <c r="AD697" s="51" t="s">
        <v>2871</v>
      </c>
      <c r="AE697" s="51" t="s">
        <v>2872</v>
      </c>
      <c r="AF697" s="51" t="str">
        <f t="shared" si="9"/>
        <v>A679078</v>
      </c>
      <c r="AG697" s="51" t="str">
        <f>VLOOKUP(AF697,AKT!$C$4:$E$324,3,FALSE)</f>
        <v>0942</v>
      </c>
    </row>
    <row r="698" spans="1:33" ht="15.75" hidden="1" customHeight="1">
      <c r="A698" s="51"/>
      <c r="B698" s="51"/>
      <c r="C698" s="51"/>
      <c r="D698" s="51"/>
      <c r="E698" s="51"/>
      <c r="F698" s="51"/>
      <c r="G698" s="51"/>
      <c r="H698" s="55"/>
      <c r="I698" s="55"/>
      <c r="J698" s="55"/>
      <c r="K698" s="55"/>
      <c r="L698" s="55"/>
      <c r="M698" s="55"/>
      <c r="N698" s="55"/>
      <c r="O698" s="55"/>
      <c r="P698" s="55"/>
      <c r="Q698" s="51"/>
      <c r="R698" s="51"/>
      <c r="S698" s="51"/>
      <c r="T698" s="51"/>
      <c r="U698" s="51"/>
      <c r="V698" s="51"/>
      <c r="W698" s="51"/>
      <c r="X698" s="51"/>
      <c r="Y698" s="51"/>
      <c r="Z698" s="51"/>
      <c r="AA698" s="51"/>
      <c r="AB698" s="51"/>
      <c r="AC698" s="51"/>
      <c r="AD698" s="51" t="s">
        <v>2873</v>
      </c>
      <c r="AE698" s="51" t="s">
        <v>2874</v>
      </c>
      <c r="AF698" s="51" t="str">
        <f t="shared" si="9"/>
        <v>A679078</v>
      </c>
      <c r="AG698" s="51" t="str">
        <f>VLOOKUP(AF698,AKT!$C$4:$E$324,3,FALSE)</f>
        <v>0942</v>
      </c>
    </row>
    <row r="699" spans="1:33" ht="15.75" hidden="1" customHeight="1">
      <c r="A699" s="51"/>
      <c r="B699" s="51"/>
      <c r="C699" s="51"/>
      <c r="D699" s="51"/>
      <c r="E699" s="51"/>
      <c r="F699" s="51"/>
      <c r="G699" s="51"/>
      <c r="H699" s="55"/>
      <c r="I699" s="55"/>
      <c r="J699" s="55"/>
      <c r="K699" s="55"/>
      <c r="L699" s="55"/>
      <c r="M699" s="55"/>
      <c r="N699" s="55"/>
      <c r="O699" s="55"/>
      <c r="P699" s="55"/>
      <c r="Q699" s="51"/>
      <c r="R699" s="51"/>
      <c r="S699" s="51"/>
      <c r="T699" s="51"/>
      <c r="U699" s="51"/>
      <c r="V699" s="51"/>
      <c r="W699" s="51"/>
      <c r="X699" s="51"/>
      <c r="Y699" s="51"/>
      <c r="Z699" s="51"/>
      <c r="AA699" s="51"/>
      <c r="AB699" s="51"/>
      <c r="AC699" s="51"/>
      <c r="AD699" s="51" t="s">
        <v>2875</v>
      </c>
      <c r="AE699" s="51" t="s">
        <v>2876</v>
      </c>
      <c r="AF699" s="51" t="str">
        <f t="shared" si="9"/>
        <v>A679078</v>
      </c>
      <c r="AG699" s="51" t="str">
        <f>VLOOKUP(AF699,AKT!$C$4:$E$324,3,FALSE)</f>
        <v>0942</v>
      </c>
    </row>
    <row r="700" spans="1:33" ht="15.75" hidden="1" customHeight="1">
      <c r="A700" s="51"/>
      <c r="B700" s="51"/>
      <c r="C700" s="51"/>
      <c r="D700" s="51"/>
      <c r="E700" s="51"/>
      <c r="F700" s="51"/>
      <c r="G700" s="51"/>
      <c r="H700" s="55"/>
      <c r="I700" s="55"/>
      <c r="J700" s="55"/>
      <c r="K700" s="55"/>
      <c r="L700" s="55"/>
      <c r="M700" s="55"/>
      <c r="N700" s="55"/>
      <c r="O700" s="55"/>
      <c r="P700" s="55"/>
      <c r="Q700" s="51"/>
      <c r="R700" s="51"/>
      <c r="S700" s="51"/>
      <c r="T700" s="51"/>
      <c r="U700" s="51"/>
      <c r="V700" s="51"/>
      <c r="W700" s="51"/>
      <c r="X700" s="51"/>
      <c r="Y700" s="51"/>
      <c r="Z700" s="51"/>
      <c r="AA700" s="51"/>
      <c r="AB700" s="51"/>
      <c r="AC700" s="51"/>
      <c r="AD700" s="51" t="s">
        <v>2877</v>
      </c>
      <c r="AE700" s="51" t="s">
        <v>2878</v>
      </c>
      <c r="AF700" s="51" t="str">
        <f t="shared" si="9"/>
        <v>A679078</v>
      </c>
      <c r="AG700" s="51" t="str">
        <f>VLOOKUP(AF700,AKT!$C$4:$E$324,3,FALSE)</f>
        <v>0942</v>
      </c>
    </row>
    <row r="701" spans="1:33" ht="15.75" hidden="1" customHeight="1">
      <c r="A701" s="51"/>
      <c r="B701" s="51"/>
      <c r="C701" s="51"/>
      <c r="D701" s="51"/>
      <c r="E701" s="51"/>
      <c r="F701" s="51"/>
      <c r="G701" s="51"/>
      <c r="H701" s="55"/>
      <c r="I701" s="55"/>
      <c r="J701" s="55"/>
      <c r="K701" s="55"/>
      <c r="L701" s="55"/>
      <c r="M701" s="55"/>
      <c r="N701" s="55"/>
      <c r="O701" s="55"/>
      <c r="P701" s="55"/>
      <c r="Q701" s="51"/>
      <c r="R701" s="51"/>
      <c r="S701" s="51"/>
      <c r="T701" s="51"/>
      <c r="U701" s="51"/>
      <c r="V701" s="51"/>
      <c r="W701" s="51"/>
      <c r="X701" s="51"/>
      <c r="Y701" s="51"/>
      <c r="Z701" s="51"/>
      <c r="AA701" s="51"/>
      <c r="AB701" s="51"/>
      <c r="AC701" s="51"/>
      <c r="AD701" s="51" t="s">
        <v>2879</v>
      </c>
      <c r="AE701" s="51" t="s">
        <v>2880</v>
      </c>
      <c r="AF701" s="51" t="str">
        <f t="shared" si="9"/>
        <v>A679078</v>
      </c>
      <c r="AG701" s="51" t="str">
        <f>VLOOKUP(AF701,AKT!$C$4:$E$324,3,FALSE)</f>
        <v>0942</v>
      </c>
    </row>
    <row r="702" spans="1:33" ht="15.75" hidden="1" customHeight="1">
      <c r="A702" s="51"/>
      <c r="B702" s="51"/>
      <c r="C702" s="51"/>
      <c r="D702" s="51"/>
      <c r="E702" s="51"/>
      <c r="F702" s="51"/>
      <c r="G702" s="51"/>
      <c r="H702" s="55"/>
      <c r="I702" s="55"/>
      <c r="J702" s="55"/>
      <c r="K702" s="55"/>
      <c r="L702" s="55"/>
      <c r="M702" s="55"/>
      <c r="N702" s="55"/>
      <c r="O702" s="55"/>
      <c r="P702" s="55"/>
      <c r="Q702" s="51"/>
      <c r="R702" s="51"/>
      <c r="S702" s="51"/>
      <c r="T702" s="51"/>
      <c r="U702" s="51"/>
      <c r="V702" s="51"/>
      <c r="W702" s="51"/>
      <c r="X702" s="51"/>
      <c r="Y702" s="51"/>
      <c r="Z702" s="51"/>
      <c r="AA702" s="51"/>
      <c r="AB702" s="51"/>
      <c r="AC702" s="51"/>
      <c r="AD702" s="51" t="s">
        <v>2881</v>
      </c>
      <c r="AE702" s="51" t="s">
        <v>2882</v>
      </c>
      <c r="AF702" s="51" t="str">
        <f t="shared" si="9"/>
        <v>A679078</v>
      </c>
      <c r="AG702" s="51" t="str">
        <f>VLOOKUP(AF702,AKT!$C$4:$E$324,3,FALSE)</f>
        <v>0942</v>
      </c>
    </row>
    <row r="703" spans="1:33" ht="15.75" hidden="1" customHeight="1">
      <c r="A703" s="51"/>
      <c r="B703" s="51"/>
      <c r="C703" s="51"/>
      <c r="D703" s="51"/>
      <c r="E703" s="51"/>
      <c r="F703" s="51"/>
      <c r="G703" s="51"/>
      <c r="H703" s="55"/>
      <c r="I703" s="55"/>
      <c r="J703" s="55"/>
      <c r="K703" s="55"/>
      <c r="L703" s="55"/>
      <c r="M703" s="55"/>
      <c r="N703" s="55"/>
      <c r="O703" s="55"/>
      <c r="P703" s="55"/>
      <c r="Q703" s="51"/>
      <c r="R703" s="51"/>
      <c r="S703" s="51"/>
      <c r="T703" s="51"/>
      <c r="U703" s="51"/>
      <c r="V703" s="51"/>
      <c r="W703" s="51"/>
      <c r="X703" s="51"/>
      <c r="Y703" s="51"/>
      <c r="Z703" s="51"/>
      <c r="AA703" s="51"/>
      <c r="AB703" s="51"/>
      <c r="AC703" s="51"/>
      <c r="AD703" s="51" t="s">
        <v>2883</v>
      </c>
      <c r="AE703" s="51" t="s">
        <v>2884</v>
      </c>
      <c r="AF703" s="51" t="str">
        <f t="shared" si="9"/>
        <v>A679078</v>
      </c>
      <c r="AG703" s="51" t="str">
        <f>VLOOKUP(AF703,AKT!$C$4:$E$324,3,FALSE)</f>
        <v>0942</v>
      </c>
    </row>
    <row r="704" spans="1:33" ht="15.75" hidden="1" customHeight="1">
      <c r="A704" s="51"/>
      <c r="B704" s="51"/>
      <c r="C704" s="51"/>
      <c r="D704" s="51"/>
      <c r="E704" s="51"/>
      <c r="F704" s="51"/>
      <c r="G704" s="51"/>
      <c r="H704" s="55"/>
      <c r="I704" s="55"/>
      <c r="J704" s="55"/>
      <c r="K704" s="55"/>
      <c r="L704" s="55"/>
      <c r="M704" s="55"/>
      <c r="N704" s="55"/>
      <c r="O704" s="55"/>
      <c r="P704" s="55"/>
      <c r="Q704" s="51"/>
      <c r="R704" s="51"/>
      <c r="S704" s="51"/>
      <c r="T704" s="51"/>
      <c r="U704" s="51"/>
      <c r="V704" s="51"/>
      <c r="W704" s="51"/>
      <c r="X704" s="51"/>
      <c r="Y704" s="51"/>
      <c r="Z704" s="51"/>
      <c r="AA704" s="51"/>
      <c r="AB704" s="51"/>
      <c r="AC704" s="51"/>
      <c r="AD704" s="51" t="s">
        <v>2885</v>
      </c>
      <c r="AE704" s="51" t="s">
        <v>2886</v>
      </c>
      <c r="AF704" s="51" t="str">
        <f t="shared" si="9"/>
        <v>A679078</v>
      </c>
      <c r="AG704" s="51" t="str">
        <f>VLOOKUP(AF704,AKT!$C$4:$E$324,3,FALSE)</f>
        <v>0942</v>
      </c>
    </row>
    <row r="705" spans="1:33" ht="15.75" hidden="1" customHeight="1">
      <c r="A705" s="51"/>
      <c r="B705" s="51"/>
      <c r="C705" s="51"/>
      <c r="D705" s="51"/>
      <c r="E705" s="51"/>
      <c r="F705" s="51"/>
      <c r="G705" s="51"/>
      <c r="H705" s="55"/>
      <c r="I705" s="55"/>
      <c r="J705" s="55"/>
      <c r="K705" s="55"/>
      <c r="L705" s="55"/>
      <c r="M705" s="55"/>
      <c r="N705" s="55"/>
      <c r="O705" s="55"/>
      <c r="P705" s="55"/>
      <c r="Q705" s="51"/>
      <c r="R705" s="51"/>
      <c r="S705" s="51"/>
      <c r="T705" s="51"/>
      <c r="U705" s="51"/>
      <c r="V705" s="51"/>
      <c r="W705" s="51"/>
      <c r="X705" s="51"/>
      <c r="Y705" s="51"/>
      <c r="Z705" s="51"/>
      <c r="AA705" s="51"/>
      <c r="AB705" s="51"/>
      <c r="AC705" s="51"/>
      <c r="AD705" s="51" t="s">
        <v>2887</v>
      </c>
      <c r="AE705" s="51" t="s">
        <v>2888</v>
      </c>
      <c r="AF705" s="51" t="str">
        <f t="shared" si="9"/>
        <v>A679078</v>
      </c>
      <c r="AG705" s="51" t="str">
        <f>VLOOKUP(AF705,AKT!$C$4:$E$324,3,FALSE)</f>
        <v>0942</v>
      </c>
    </row>
    <row r="706" spans="1:33" ht="15.75" hidden="1" customHeight="1">
      <c r="A706" s="51"/>
      <c r="B706" s="51"/>
      <c r="C706" s="51"/>
      <c r="D706" s="51"/>
      <c r="E706" s="51"/>
      <c r="F706" s="51"/>
      <c r="G706" s="51"/>
      <c r="H706" s="55"/>
      <c r="I706" s="55"/>
      <c r="J706" s="55"/>
      <c r="K706" s="55"/>
      <c r="L706" s="55"/>
      <c r="M706" s="55"/>
      <c r="N706" s="55"/>
      <c r="O706" s="55"/>
      <c r="P706" s="55"/>
      <c r="Q706" s="51"/>
      <c r="R706" s="51"/>
      <c r="S706" s="51"/>
      <c r="T706" s="51"/>
      <c r="U706" s="51"/>
      <c r="V706" s="51"/>
      <c r="W706" s="51"/>
      <c r="X706" s="51"/>
      <c r="Y706" s="51"/>
      <c r="Z706" s="51"/>
      <c r="AA706" s="51"/>
      <c r="AB706" s="51"/>
      <c r="AC706" s="51"/>
      <c r="AD706" s="51" t="s">
        <v>2889</v>
      </c>
      <c r="AE706" s="51" t="s">
        <v>2890</v>
      </c>
      <c r="AF706" s="51" t="str">
        <f t="shared" si="9"/>
        <v>A679078</v>
      </c>
      <c r="AG706" s="51" t="str">
        <f>VLOOKUP(AF706,AKT!$C$4:$E$324,3,FALSE)</f>
        <v>0942</v>
      </c>
    </row>
    <row r="707" spans="1:33" ht="15.75" hidden="1" customHeight="1">
      <c r="A707" s="51"/>
      <c r="B707" s="51"/>
      <c r="C707" s="51"/>
      <c r="D707" s="51"/>
      <c r="E707" s="51"/>
      <c r="F707" s="51"/>
      <c r="G707" s="51"/>
      <c r="H707" s="55"/>
      <c r="I707" s="55"/>
      <c r="J707" s="55"/>
      <c r="K707" s="55"/>
      <c r="L707" s="55"/>
      <c r="M707" s="55"/>
      <c r="N707" s="55"/>
      <c r="O707" s="55"/>
      <c r="P707" s="55"/>
      <c r="Q707" s="51"/>
      <c r="R707" s="51"/>
      <c r="S707" s="51"/>
      <c r="T707" s="51"/>
      <c r="U707" s="51"/>
      <c r="V707" s="51"/>
      <c r="W707" s="51"/>
      <c r="X707" s="51"/>
      <c r="Y707" s="51"/>
      <c r="Z707" s="51"/>
      <c r="AA707" s="51"/>
      <c r="AB707" s="51"/>
      <c r="AC707" s="51"/>
      <c r="AD707" s="51" t="s">
        <v>2891</v>
      </c>
      <c r="AE707" s="51" t="s">
        <v>2892</v>
      </c>
      <c r="AF707" s="51" t="str">
        <f t="shared" si="9"/>
        <v>A679078</v>
      </c>
      <c r="AG707" s="51" t="str">
        <f>VLOOKUP(AF707,AKT!$C$4:$E$324,3,FALSE)</f>
        <v>0942</v>
      </c>
    </row>
    <row r="708" spans="1:33" ht="15.75" hidden="1" customHeight="1">
      <c r="A708" s="51"/>
      <c r="B708" s="51"/>
      <c r="C708" s="51"/>
      <c r="D708" s="51"/>
      <c r="E708" s="51"/>
      <c r="F708" s="51"/>
      <c r="G708" s="51"/>
      <c r="H708" s="55"/>
      <c r="I708" s="55"/>
      <c r="J708" s="55"/>
      <c r="K708" s="55"/>
      <c r="L708" s="55"/>
      <c r="M708" s="55"/>
      <c r="N708" s="55"/>
      <c r="O708" s="55"/>
      <c r="P708" s="55"/>
      <c r="Q708" s="51"/>
      <c r="R708" s="51"/>
      <c r="S708" s="51"/>
      <c r="T708" s="51"/>
      <c r="U708" s="51"/>
      <c r="V708" s="51"/>
      <c r="W708" s="51"/>
      <c r="X708" s="51"/>
      <c r="Y708" s="51"/>
      <c r="Z708" s="51"/>
      <c r="AA708" s="51"/>
      <c r="AB708" s="51"/>
      <c r="AC708" s="51"/>
      <c r="AD708" s="51" t="s">
        <v>2893</v>
      </c>
      <c r="AE708" s="51" t="s">
        <v>2894</v>
      </c>
      <c r="AF708" s="51" t="str">
        <f t="shared" si="9"/>
        <v>A679078</v>
      </c>
      <c r="AG708" s="51" t="str">
        <f>VLOOKUP(AF708,AKT!$C$4:$E$324,3,FALSE)</f>
        <v>0942</v>
      </c>
    </row>
    <row r="709" spans="1:33" ht="15.75" hidden="1" customHeight="1">
      <c r="A709" s="51"/>
      <c r="B709" s="51"/>
      <c r="C709" s="51"/>
      <c r="D709" s="51"/>
      <c r="E709" s="51"/>
      <c r="F709" s="51"/>
      <c r="G709" s="51"/>
      <c r="H709" s="55"/>
      <c r="I709" s="55"/>
      <c r="J709" s="55"/>
      <c r="K709" s="55"/>
      <c r="L709" s="55"/>
      <c r="M709" s="55"/>
      <c r="N709" s="55"/>
      <c r="O709" s="55"/>
      <c r="P709" s="55"/>
      <c r="Q709" s="51"/>
      <c r="R709" s="51"/>
      <c r="S709" s="51"/>
      <c r="T709" s="51"/>
      <c r="U709" s="51"/>
      <c r="V709" s="51"/>
      <c r="W709" s="51"/>
      <c r="X709" s="51"/>
      <c r="Y709" s="51"/>
      <c r="Z709" s="51"/>
      <c r="AA709" s="51"/>
      <c r="AB709" s="51"/>
      <c r="AC709" s="51"/>
      <c r="AD709" s="51" t="s">
        <v>2895</v>
      </c>
      <c r="AE709" s="51" t="s">
        <v>2896</v>
      </c>
      <c r="AF709" s="51" t="str">
        <f t="shared" si="9"/>
        <v>A679078</v>
      </c>
      <c r="AG709" s="51" t="str">
        <f>VLOOKUP(AF709,AKT!$C$4:$E$324,3,FALSE)</f>
        <v>0942</v>
      </c>
    </row>
    <row r="710" spans="1:33" ht="15.75" hidden="1" customHeight="1">
      <c r="A710" s="51"/>
      <c r="B710" s="51"/>
      <c r="C710" s="51"/>
      <c r="D710" s="51"/>
      <c r="E710" s="51"/>
      <c r="F710" s="51"/>
      <c r="G710" s="51"/>
      <c r="H710" s="55"/>
      <c r="I710" s="55"/>
      <c r="J710" s="55"/>
      <c r="K710" s="55"/>
      <c r="L710" s="55"/>
      <c r="M710" s="55"/>
      <c r="N710" s="55"/>
      <c r="O710" s="55"/>
      <c r="P710" s="55"/>
      <c r="Q710" s="51"/>
      <c r="R710" s="51"/>
      <c r="S710" s="51"/>
      <c r="T710" s="51"/>
      <c r="U710" s="51"/>
      <c r="V710" s="51"/>
      <c r="W710" s="51"/>
      <c r="X710" s="51"/>
      <c r="Y710" s="51"/>
      <c r="Z710" s="51"/>
      <c r="AA710" s="51"/>
      <c r="AB710" s="51"/>
      <c r="AC710" s="51"/>
      <c r="AD710" s="51" t="s">
        <v>2897</v>
      </c>
      <c r="AE710" s="51" t="s">
        <v>2898</v>
      </c>
      <c r="AF710" s="51" t="str">
        <f t="shared" si="9"/>
        <v>A679078</v>
      </c>
      <c r="AG710" s="51" t="str">
        <f>VLOOKUP(AF710,AKT!$C$4:$E$324,3,FALSE)</f>
        <v>0942</v>
      </c>
    </row>
    <row r="711" spans="1:33" ht="15.75" hidden="1" customHeight="1">
      <c r="A711" s="51"/>
      <c r="B711" s="51"/>
      <c r="C711" s="51"/>
      <c r="D711" s="51"/>
      <c r="E711" s="51"/>
      <c r="F711" s="51"/>
      <c r="G711" s="51"/>
      <c r="H711" s="55"/>
      <c r="I711" s="55"/>
      <c r="J711" s="55"/>
      <c r="K711" s="55"/>
      <c r="L711" s="55"/>
      <c r="M711" s="55"/>
      <c r="N711" s="55"/>
      <c r="O711" s="55"/>
      <c r="P711" s="55"/>
      <c r="Q711" s="51"/>
      <c r="R711" s="51"/>
      <c r="S711" s="51"/>
      <c r="T711" s="51"/>
      <c r="U711" s="51"/>
      <c r="V711" s="51"/>
      <c r="W711" s="51"/>
      <c r="X711" s="51"/>
      <c r="Y711" s="51"/>
      <c r="Z711" s="51"/>
      <c r="AA711" s="51"/>
      <c r="AB711" s="51"/>
      <c r="AC711" s="51"/>
      <c r="AD711" s="51" t="s">
        <v>2899</v>
      </c>
      <c r="AE711" s="51" t="s">
        <v>2900</v>
      </c>
      <c r="AF711" s="51" t="str">
        <f t="shared" si="9"/>
        <v>A679078</v>
      </c>
      <c r="AG711" s="51" t="str">
        <f>VLOOKUP(AF711,AKT!$C$4:$E$324,3,FALSE)</f>
        <v>0942</v>
      </c>
    </row>
    <row r="712" spans="1:33" ht="15.75" hidden="1" customHeight="1">
      <c r="A712" s="51"/>
      <c r="B712" s="51"/>
      <c r="C712" s="51"/>
      <c r="D712" s="51"/>
      <c r="E712" s="51"/>
      <c r="F712" s="51"/>
      <c r="G712" s="51"/>
      <c r="H712" s="55"/>
      <c r="I712" s="55"/>
      <c r="J712" s="55"/>
      <c r="K712" s="55"/>
      <c r="L712" s="55"/>
      <c r="M712" s="55"/>
      <c r="N712" s="55"/>
      <c r="O712" s="55"/>
      <c r="P712" s="55"/>
      <c r="Q712" s="51"/>
      <c r="R712" s="51"/>
      <c r="S712" s="51"/>
      <c r="T712" s="51"/>
      <c r="U712" s="51"/>
      <c r="V712" s="51"/>
      <c r="W712" s="51"/>
      <c r="X712" s="51"/>
      <c r="Y712" s="51"/>
      <c r="Z712" s="51"/>
      <c r="AA712" s="51"/>
      <c r="AB712" s="51"/>
      <c r="AC712" s="51"/>
      <c r="AD712" s="51" t="s">
        <v>2901</v>
      </c>
      <c r="AE712" s="51" t="s">
        <v>2902</v>
      </c>
      <c r="AF712" s="51" t="str">
        <f t="shared" si="9"/>
        <v>A679078</v>
      </c>
      <c r="AG712" s="51" t="str">
        <f>VLOOKUP(AF712,AKT!$C$4:$E$324,3,FALSE)</f>
        <v>0942</v>
      </c>
    </row>
    <row r="713" spans="1:33" ht="15.75" hidden="1" customHeight="1">
      <c r="A713" s="51"/>
      <c r="B713" s="51"/>
      <c r="C713" s="51"/>
      <c r="D713" s="51"/>
      <c r="E713" s="51"/>
      <c r="F713" s="51"/>
      <c r="G713" s="51"/>
      <c r="H713" s="55"/>
      <c r="I713" s="55"/>
      <c r="J713" s="55"/>
      <c r="K713" s="55"/>
      <c r="L713" s="55"/>
      <c r="M713" s="55"/>
      <c r="N713" s="55"/>
      <c r="O713" s="55"/>
      <c r="P713" s="55"/>
      <c r="Q713" s="51"/>
      <c r="R713" s="51"/>
      <c r="S713" s="51"/>
      <c r="T713" s="51"/>
      <c r="U713" s="51"/>
      <c r="V713" s="51"/>
      <c r="W713" s="51"/>
      <c r="X713" s="51"/>
      <c r="Y713" s="51"/>
      <c r="Z713" s="51"/>
      <c r="AA713" s="51"/>
      <c r="AB713" s="51"/>
      <c r="AC713" s="51"/>
      <c r="AD713" s="51" t="s">
        <v>2903</v>
      </c>
      <c r="AE713" s="51" t="s">
        <v>2904</v>
      </c>
      <c r="AF713" s="51" t="str">
        <f t="shared" si="9"/>
        <v>A679078</v>
      </c>
      <c r="AG713" s="51" t="str">
        <f>VLOOKUP(AF713,AKT!$C$4:$E$324,3,FALSE)</f>
        <v>0942</v>
      </c>
    </row>
    <row r="714" spans="1:33" ht="15.75" hidden="1" customHeight="1">
      <c r="A714" s="51"/>
      <c r="B714" s="51"/>
      <c r="C714" s="51"/>
      <c r="D714" s="51"/>
      <c r="E714" s="51"/>
      <c r="F714" s="51"/>
      <c r="G714" s="51"/>
      <c r="H714" s="55"/>
      <c r="I714" s="55"/>
      <c r="J714" s="55"/>
      <c r="K714" s="55"/>
      <c r="L714" s="55"/>
      <c r="M714" s="55"/>
      <c r="N714" s="55"/>
      <c r="O714" s="55"/>
      <c r="P714" s="55"/>
      <c r="Q714" s="51"/>
      <c r="R714" s="51"/>
      <c r="S714" s="51"/>
      <c r="T714" s="51"/>
      <c r="U714" s="51"/>
      <c r="V714" s="51"/>
      <c r="W714" s="51"/>
      <c r="X714" s="51"/>
      <c r="Y714" s="51"/>
      <c r="Z714" s="51"/>
      <c r="AA714" s="51"/>
      <c r="AB714" s="51"/>
      <c r="AC714" s="51"/>
      <c r="AD714" s="51" t="s">
        <v>2905</v>
      </c>
      <c r="AE714" s="51" t="s">
        <v>2906</v>
      </c>
      <c r="AF714" s="51" t="str">
        <f t="shared" si="9"/>
        <v>A679078</v>
      </c>
      <c r="AG714" s="51" t="str">
        <f>VLOOKUP(AF714,AKT!$C$4:$E$324,3,FALSE)</f>
        <v>0942</v>
      </c>
    </row>
    <row r="715" spans="1:33" ht="15.75" hidden="1" customHeight="1">
      <c r="A715" s="51"/>
      <c r="B715" s="51"/>
      <c r="C715" s="51"/>
      <c r="D715" s="51"/>
      <c r="E715" s="51"/>
      <c r="F715" s="51"/>
      <c r="G715" s="51"/>
      <c r="H715" s="55"/>
      <c r="I715" s="55"/>
      <c r="J715" s="55"/>
      <c r="K715" s="55"/>
      <c r="L715" s="55"/>
      <c r="M715" s="55"/>
      <c r="N715" s="55"/>
      <c r="O715" s="55"/>
      <c r="P715" s="55"/>
      <c r="Q715" s="51"/>
      <c r="R715" s="51"/>
      <c r="S715" s="51"/>
      <c r="T715" s="51"/>
      <c r="U715" s="51"/>
      <c r="V715" s="51"/>
      <c r="W715" s="51"/>
      <c r="X715" s="51"/>
      <c r="Y715" s="51"/>
      <c r="Z715" s="51"/>
      <c r="AA715" s="51"/>
      <c r="AB715" s="51"/>
      <c r="AC715" s="51"/>
      <c r="AD715" s="51" t="s">
        <v>2907</v>
      </c>
      <c r="AE715" s="51" t="s">
        <v>2908</v>
      </c>
      <c r="AF715" s="51" t="str">
        <f t="shared" si="9"/>
        <v>A679078</v>
      </c>
      <c r="AG715" s="51" t="str">
        <f>VLOOKUP(AF715,AKT!$C$4:$E$324,3,FALSE)</f>
        <v>0942</v>
      </c>
    </row>
    <row r="716" spans="1:33" ht="15.75" hidden="1" customHeight="1">
      <c r="A716" s="51"/>
      <c r="B716" s="51"/>
      <c r="C716" s="51"/>
      <c r="D716" s="51"/>
      <c r="E716" s="51"/>
      <c r="F716" s="51"/>
      <c r="G716" s="51"/>
      <c r="H716" s="55"/>
      <c r="I716" s="55"/>
      <c r="J716" s="55"/>
      <c r="K716" s="55"/>
      <c r="L716" s="55"/>
      <c r="M716" s="55"/>
      <c r="N716" s="55"/>
      <c r="O716" s="55"/>
      <c r="P716" s="55"/>
      <c r="Q716" s="51"/>
      <c r="R716" s="51"/>
      <c r="S716" s="51"/>
      <c r="T716" s="51"/>
      <c r="U716" s="51"/>
      <c r="V716" s="51"/>
      <c r="W716" s="51"/>
      <c r="X716" s="51"/>
      <c r="Y716" s="51"/>
      <c r="Z716" s="51"/>
      <c r="AA716" s="51"/>
      <c r="AB716" s="51"/>
      <c r="AC716" s="51"/>
      <c r="AD716" s="51" t="s">
        <v>2909</v>
      </c>
      <c r="AE716" s="51" t="s">
        <v>2910</v>
      </c>
      <c r="AF716" s="51" t="str">
        <f t="shared" si="9"/>
        <v>A679078</v>
      </c>
      <c r="AG716" s="51" t="str">
        <f>VLOOKUP(AF716,AKT!$C$4:$E$324,3,FALSE)</f>
        <v>0942</v>
      </c>
    </row>
    <row r="717" spans="1:33" ht="15.75" hidden="1" customHeight="1">
      <c r="A717" s="51"/>
      <c r="B717" s="51"/>
      <c r="C717" s="51"/>
      <c r="D717" s="51"/>
      <c r="E717" s="51"/>
      <c r="F717" s="51"/>
      <c r="G717" s="51"/>
      <c r="H717" s="55"/>
      <c r="I717" s="55"/>
      <c r="J717" s="55"/>
      <c r="K717" s="55"/>
      <c r="L717" s="55"/>
      <c r="M717" s="55"/>
      <c r="N717" s="55"/>
      <c r="O717" s="55"/>
      <c r="P717" s="55"/>
      <c r="Q717" s="51"/>
      <c r="R717" s="51"/>
      <c r="S717" s="51"/>
      <c r="T717" s="51"/>
      <c r="U717" s="51"/>
      <c r="V717" s="51"/>
      <c r="W717" s="51"/>
      <c r="X717" s="51"/>
      <c r="Y717" s="51"/>
      <c r="Z717" s="51"/>
      <c r="AA717" s="51"/>
      <c r="AB717" s="51"/>
      <c r="AC717" s="51"/>
      <c r="AD717" s="51" t="s">
        <v>2911</v>
      </c>
      <c r="AE717" s="51" t="s">
        <v>2912</v>
      </c>
      <c r="AF717" s="51" t="str">
        <f t="shared" si="9"/>
        <v>A679078</v>
      </c>
      <c r="AG717" s="51" t="str">
        <f>VLOOKUP(AF717,AKT!$C$4:$E$324,3,FALSE)</f>
        <v>0942</v>
      </c>
    </row>
    <row r="718" spans="1:33" ht="15.75" hidden="1" customHeight="1">
      <c r="A718" s="51"/>
      <c r="B718" s="51"/>
      <c r="C718" s="51"/>
      <c r="D718" s="51"/>
      <c r="E718" s="51"/>
      <c r="F718" s="51"/>
      <c r="G718" s="51"/>
      <c r="H718" s="55"/>
      <c r="I718" s="55"/>
      <c r="J718" s="55"/>
      <c r="K718" s="55"/>
      <c r="L718" s="55"/>
      <c r="M718" s="55"/>
      <c r="N718" s="55"/>
      <c r="O718" s="55"/>
      <c r="P718" s="55"/>
      <c r="Q718" s="51"/>
      <c r="R718" s="51"/>
      <c r="S718" s="51"/>
      <c r="T718" s="51"/>
      <c r="U718" s="51"/>
      <c r="V718" s="51"/>
      <c r="W718" s="51"/>
      <c r="X718" s="51"/>
      <c r="Y718" s="51"/>
      <c r="Z718" s="51"/>
      <c r="AA718" s="51"/>
      <c r="AB718" s="51"/>
      <c r="AC718" s="51"/>
      <c r="AD718" s="51" t="s">
        <v>2913</v>
      </c>
      <c r="AE718" s="51" t="s">
        <v>2914</v>
      </c>
      <c r="AF718" s="51" t="str">
        <f t="shared" si="9"/>
        <v>A679078</v>
      </c>
      <c r="AG718" s="51" t="str">
        <f>VLOOKUP(AF718,AKT!$C$4:$E$324,3,FALSE)</f>
        <v>0942</v>
      </c>
    </row>
    <row r="719" spans="1:33" ht="15.75" hidden="1" customHeight="1">
      <c r="A719" s="51"/>
      <c r="B719" s="51"/>
      <c r="C719" s="51"/>
      <c r="D719" s="51"/>
      <c r="E719" s="51"/>
      <c r="F719" s="51"/>
      <c r="G719" s="51"/>
      <c r="H719" s="55"/>
      <c r="I719" s="55"/>
      <c r="J719" s="55"/>
      <c r="K719" s="55"/>
      <c r="L719" s="55"/>
      <c r="M719" s="55"/>
      <c r="N719" s="55"/>
      <c r="O719" s="55"/>
      <c r="P719" s="55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 t="s">
        <v>2915</v>
      </c>
      <c r="AE719" s="51" t="s">
        <v>2916</v>
      </c>
      <c r="AF719" s="51" t="str">
        <f t="shared" si="9"/>
        <v>A679078</v>
      </c>
      <c r="AG719" s="51" t="str">
        <f>VLOOKUP(AF719,AKT!$C$4:$E$324,3,FALSE)</f>
        <v>0942</v>
      </c>
    </row>
    <row r="720" spans="1:33" ht="15.75" hidden="1" customHeight="1">
      <c r="A720" s="51"/>
      <c r="B720" s="51"/>
      <c r="C720" s="51"/>
      <c r="D720" s="51"/>
      <c r="E720" s="51"/>
      <c r="F720" s="51"/>
      <c r="G720" s="51"/>
      <c r="H720" s="55"/>
      <c r="I720" s="55"/>
      <c r="J720" s="55"/>
      <c r="K720" s="55"/>
      <c r="L720" s="55"/>
      <c r="M720" s="55"/>
      <c r="N720" s="55"/>
      <c r="O720" s="55"/>
      <c r="P720" s="55"/>
      <c r="Q720" s="51"/>
      <c r="R720" s="51"/>
      <c r="S720" s="51"/>
      <c r="T720" s="51"/>
      <c r="U720" s="51"/>
      <c r="V720" s="51"/>
      <c r="W720" s="51"/>
      <c r="X720" s="51"/>
      <c r="Y720" s="51"/>
      <c r="Z720" s="51"/>
      <c r="AA720" s="51"/>
      <c r="AB720" s="51"/>
      <c r="AC720" s="51"/>
      <c r="AD720" s="51" t="s">
        <v>2917</v>
      </c>
      <c r="AE720" s="51" t="s">
        <v>2918</v>
      </c>
      <c r="AF720" s="51" t="str">
        <f t="shared" si="9"/>
        <v>A679078</v>
      </c>
      <c r="AG720" s="51" t="str">
        <f>VLOOKUP(AF720,AKT!$C$4:$E$324,3,FALSE)</f>
        <v>0942</v>
      </c>
    </row>
    <row r="721" spans="1:33" ht="15.75" hidden="1" customHeight="1">
      <c r="A721" s="51"/>
      <c r="B721" s="51"/>
      <c r="C721" s="51"/>
      <c r="D721" s="51"/>
      <c r="E721" s="51"/>
      <c r="F721" s="51"/>
      <c r="G721" s="51"/>
      <c r="H721" s="55"/>
      <c r="I721" s="55"/>
      <c r="J721" s="55"/>
      <c r="K721" s="55"/>
      <c r="L721" s="55"/>
      <c r="M721" s="55"/>
      <c r="N721" s="55"/>
      <c r="O721" s="55"/>
      <c r="P721" s="55"/>
      <c r="Q721" s="51"/>
      <c r="R721" s="51"/>
      <c r="S721" s="51"/>
      <c r="T721" s="51"/>
      <c r="U721" s="51"/>
      <c r="V721" s="51"/>
      <c r="W721" s="51"/>
      <c r="X721" s="51"/>
      <c r="Y721" s="51"/>
      <c r="Z721" s="51"/>
      <c r="AA721" s="51"/>
      <c r="AB721" s="51"/>
      <c r="AC721" s="51"/>
      <c r="AD721" s="51" t="s">
        <v>2919</v>
      </c>
      <c r="AE721" s="51" t="s">
        <v>2920</v>
      </c>
      <c r="AF721" s="51" t="str">
        <f t="shared" si="9"/>
        <v>A679078</v>
      </c>
      <c r="AG721" s="51" t="str">
        <f>VLOOKUP(AF721,AKT!$C$4:$E$324,3,FALSE)</f>
        <v>0942</v>
      </c>
    </row>
    <row r="722" spans="1:33" ht="15.75" hidden="1" customHeight="1">
      <c r="A722" s="51"/>
      <c r="B722" s="51"/>
      <c r="C722" s="51"/>
      <c r="D722" s="51"/>
      <c r="E722" s="51"/>
      <c r="F722" s="51"/>
      <c r="G722" s="51"/>
      <c r="H722" s="55"/>
      <c r="I722" s="55"/>
      <c r="J722" s="55"/>
      <c r="K722" s="55"/>
      <c r="L722" s="55"/>
      <c r="M722" s="55"/>
      <c r="N722" s="55"/>
      <c r="O722" s="55"/>
      <c r="P722" s="55"/>
      <c r="Q722" s="51"/>
      <c r="R722" s="51"/>
      <c r="S722" s="51"/>
      <c r="T722" s="51"/>
      <c r="U722" s="51"/>
      <c r="V722" s="51"/>
      <c r="W722" s="51"/>
      <c r="X722" s="51"/>
      <c r="Y722" s="51"/>
      <c r="Z722" s="51"/>
      <c r="AA722" s="51"/>
      <c r="AB722" s="51"/>
      <c r="AC722" s="51"/>
      <c r="AD722" s="51" t="s">
        <v>2921</v>
      </c>
      <c r="AE722" s="51" t="s">
        <v>2922</v>
      </c>
      <c r="AF722" s="51" t="str">
        <f t="shared" si="9"/>
        <v>A679078</v>
      </c>
      <c r="AG722" s="51" t="str">
        <f>VLOOKUP(AF722,AKT!$C$4:$E$324,3,FALSE)</f>
        <v>0942</v>
      </c>
    </row>
    <row r="723" spans="1:33" ht="15.75" hidden="1" customHeight="1">
      <c r="A723" s="51"/>
      <c r="B723" s="51"/>
      <c r="C723" s="51"/>
      <c r="D723" s="51"/>
      <c r="E723" s="51"/>
      <c r="F723" s="51"/>
      <c r="G723" s="51"/>
      <c r="H723" s="55"/>
      <c r="I723" s="55"/>
      <c r="J723" s="55"/>
      <c r="K723" s="55"/>
      <c r="L723" s="55"/>
      <c r="M723" s="55"/>
      <c r="N723" s="55"/>
      <c r="O723" s="55"/>
      <c r="P723" s="55"/>
      <c r="Q723" s="51"/>
      <c r="R723" s="51"/>
      <c r="S723" s="51"/>
      <c r="T723" s="51"/>
      <c r="U723" s="51"/>
      <c r="V723" s="51"/>
      <c r="W723" s="51"/>
      <c r="X723" s="51"/>
      <c r="Y723" s="51"/>
      <c r="Z723" s="51"/>
      <c r="AA723" s="51"/>
      <c r="AB723" s="51"/>
      <c r="AC723" s="51"/>
      <c r="AD723" s="51" t="s">
        <v>2923</v>
      </c>
      <c r="AE723" s="51" t="s">
        <v>2924</v>
      </c>
      <c r="AF723" s="51" t="str">
        <f t="shared" si="9"/>
        <v>A679078</v>
      </c>
      <c r="AG723" s="51" t="str">
        <f>VLOOKUP(AF723,AKT!$C$4:$E$324,3,FALSE)</f>
        <v>0942</v>
      </c>
    </row>
    <row r="724" spans="1:33" ht="15.75" hidden="1" customHeight="1">
      <c r="A724" s="51"/>
      <c r="B724" s="51"/>
      <c r="C724" s="51"/>
      <c r="D724" s="51"/>
      <c r="E724" s="51"/>
      <c r="F724" s="51"/>
      <c r="G724" s="51"/>
      <c r="H724" s="55"/>
      <c r="I724" s="55"/>
      <c r="J724" s="55"/>
      <c r="K724" s="55"/>
      <c r="L724" s="55"/>
      <c r="M724" s="55"/>
      <c r="N724" s="55"/>
      <c r="O724" s="55"/>
      <c r="P724" s="55"/>
      <c r="Q724" s="51"/>
      <c r="R724" s="51"/>
      <c r="S724" s="51"/>
      <c r="T724" s="51"/>
      <c r="U724" s="51"/>
      <c r="V724" s="51"/>
      <c r="W724" s="51"/>
      <c r="X724" s="51"/>
      <c r="Y724" s="51"/>
      <c r="Z724" s="51"/>
      <c r="AA724" s="51"/>
      <c r="AB724" s="51"/>
      <c r="AC724" s="51"/>
      <c r="AD724" s="51" t="s">
        <v>2925</v>
      </c>
      <c r="AE724" s="51" t="s">
        <v>2926</v>
      </c>
      <c r="AF724" s="51" t="str">
        <f t="shared" si="9"/>
        <v>A679078</v>
      </c>
      <c r="AG724" s="51" t="str">
        <f>VLOOKUP(AF724,AKT!$C$4:$E$324,3,FALSE)</f>
        <v>0942</v>
      </c>
    </row>
    <row r="725" spans="1:33" ht="15.75" hidden="1" customHeight="1">
      <c r="A725" s="51"/>
      <c r="B725" s="51"/>
      <c r="C725" s="51"/>
      <c r="D725" s="51"/>
      <c r="E725" s="51"/>
      <c r="F725" s="51"/>
      <c r="G725" s="51"/>
      <c r="H725" s="55"/>
      <c r="I725" s="55"/>
      <c r="J725" s="55"/>
      <c r="K725" s="55"/>
      <c r="L725" s="55"/>
      <c r="M725" s="55"/>
      <c r="N725" s="55"/>
      <c r="O725" s="55"/>
      <c r="P725" s="55"/>
      <c r="Q725" s="51"/>
      <c r="R725" s="51"/>
      <c r="S725" s="51"/>
      <c r="T725" s="51"/>
      <c r="U725" s="51"/>
      <c r="V725" s="51"/>
      <c r="W725" s="51"/>
      <c r="X725" s="51"/>
      <c r="Y725" s="51"/>
      <c r="Z725" s="51"/>
      <c r="AA725" s="51"/>
      <c r="AB725" s="51"/>
      <c r="AC725" s="51"/>
      <c r="AD725" s="51" t="s">
        <v>2927</v>
      </c>
      <c r="AE725" s="51" t="s">
        <v>2928</v>
      </c>
      <c r="AF725" s="51" t="str">
        <f t="shared" si="9"/>
        <v>A679078</v>
      </c>
      <c r="AG725" s="51" t="str">
        <f>VLOOKUP(AF725,AKT!$C$4:$E$324,3,FALSE)</f>
        <v>0942</v>
      </c>
    </row>
    <row r="726" spans="1:33" ht="15.75" hidden="1" customHeight="1">
      <c r="A726" s="51"/>
      <c r="B726" s="51"/>
      <c r="C726" s="51"/>
      <c r="D726" s="51"/>
      <c r="E726" s="51"/>
      <c r="F726" s="51"/>
      <c r="G726" s="51"/>
      <c r="H726" s="55"/>
      <c r="I726" s="55"/>
      <c r="J726" s="55"/>
      <c r="K726" s="55"/>
      <c r="L726" s="55"/>
      <c r="M726" s="55"/>
      <c r="N726" s="55"/>
      <c r="O726" s="55"/>
      <c r="P726" s="55"/>
      <c r="Q726" s="51"/>
      <c r="R726" s="51"/>
      <c r="S726" s="51"/>
      <c r="T726" s="51"/>
      <c r="U726" s="51"/>
      <c r="V726" s="51"/>
      <c r="W726" s="51"/>
      <c r="X726" s="51"/>
      <c r="Y726" s="51"/>
      <c r="Z726" s="51"/>
      <c r="AA726" s="51"/>
      <c r="AB726" s="51"/>
      <c r="AC726" s="51"/>
      <c r="AD726" s="51" t="s">
        <v>2929</v>
      </c>
      <c r="AE726" s="51" t="s">
        <v>2930</v>
      </c>
      <c r="AF726" s="51" t="str">
        <f t="shared" si="9"/>
        <v>A679078</v>
      </c>
      <c r="AG726" s="51" t="str">
        <f>VLOOKUP(AF726,AKT!$C$4:$E$324,3,FALSE)</f>
        <v>0942</v>
      </c>
    </row>
    <row r="727" spans="1:33" ht="15.75" hidden="1" customHeight="1">
      <c r="A727" s="51"/>
      <c r="B727" s="51"/>
      <c r="C727" s="51"/>
      <c r="D727" s="51"/>
      <c r="E727" s="51"/>
      <c r="F727" s="51"/>
      <c r="G727" s="51"/>
      <c r="H727" s="55"/>
      <c r="I727" s="55"/>
      <c r="J727" s="55"/>
      <c r="K727" s="55"/>
      <c r="L727" s="55"/>
      <c r="M727" s="55"/>
      <c r="N727" s="55"/>
      <c r="O727" s="55"/>
      <c r="P727" s="55"/>
      <c r="Q727" s="51"/>
      <c r="R727" s="51"/>
      <c r="S727" s="51"/>
      <c r="T727" s="51"/>
      <c r="U727" s="51"/>
      <c r="V727" s="51"/>
      <c r="W727" s="51"/>
      <c r="X727" s="51"/>
      <c r="Y727" s="51"/>
      <c r="Z727" s="51"/>
      <c r="AA727" s="51"/>
      <c r="AB727" s="51"/>
      <c r="AC727" s="51"/>
      <c r="AD727" s="51" t="s">
        <v>2931</v>
      </c>
      <c r="AE727" s="51" t="s">
        <v>2932</v>
      </c>
      <c r="AF727" s="51" t="str">
        <f t="shared" si="9"/>
        <v>A679078</v>
      </c>
      <c r="AG727" s="51" t="str">
        <f>VLOOKUP(AF727,AKT!$C$4:$E$324,3,FALSE)</f>
        <v>0942</v>
      </c>
    </row>
    <row r="728" spans="1:33" ht="15.75" hidden="1" customHeight="1">
      <c r="A728" s="51"/>
      <c r="B728" s="51"/>
      <c r="C728" s="51"/>
      <c r="D728" s="51"/>
      <c r="E728" s="51"/>
      <c r="F728" s="51"/>
      <c r="G728" s="51"/>
      <c r="H728" s="55"/>
      <c r="I728" s="55"/>
      <c r="J728" s="55"/>
      <c r="K728" s="55"/>
      <c r="L728" s="55"/>
      <c r="M728" s="55"/>
      <c r="N728" s="55"/>
      <c r="O728" s="55"/>
      <c r="P728" s="55"/>
      <c r="Q728" s="51"/>
      <c r="R728" s="51"/>
      <c r="S728" s="51"/>
      <c r="T728" s="51"/>
      <c r="U728" s="51"/>
      <c r="V728" s="51"/>
      <c r="W728" s="51"/>
      <c r="X728" s="51"/>
      <c r="Y728" s="51"/>
      <c r="Z728" s="51"/>
      <c r="AA728" s="51"/>
      <c r="AB728" s="51"/>
      <c r="AC728" s="51"/>
      <c r="AD728" s="51" t="s">
        <v>2933</v>
      </c>
      <c r="AE728" s="51" t="s">
        <v>2934</v>
      </c>
      <c r="AF728" s="51" t="str">
        <f t="shared" si="9"/>
        <v>A679078</v>
      </c>
      <c r="AG728" s="51" t="str">
        <f>VLOOKUP(AF728,AKT!$C$4:$E$324,3,FALSE)</f>
        <v>0942</v>
      </c>
    </row>
    <row r="729" spans="1:33" ht="15.75" hidden="1" customHeight="1">
      <c r="A729" s="51"/>
      <c r="B729" s="51"/>
      <c r="C729" s="51"/>
      <c r="D729" s="51"/>
      <c r="E729" s="51"/>
      <c r="F729" s="51"/>
      <c r="G729" s="51"/>
      <c r="H729" s="55"/>
      <c r="I729" s="55"/>
      <c r="J729" s="55"/>
      <c r="K729" s="55"/>
      <c r="L729" s="55"/>
      <c r="M729" s="55"/>
      <c r="N729" s="55"/>
      <c r="O729" s="55"/>
      <c r="P729" s="55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 t="s">
        <v>2935</v>
      </c>
      <c r="AE729" s="51" t="s">
        <v>2936</v>
      </c>
      <c r="AF729" s="51" t="str">
        <f t="shared" si="9"/>
        <v>A679078</v>
      </c>
      <c r="AG729" s="51" t="str">
        <f>VLOOKUP(AF729,AKT!$C$4:$E$324,3,FALSE)</f>
        <v>0942</v>
      </c>
    </row>
    <row r="730" spans="1:33" ht="15.75" hidden="1" customHeight="1">
      <c r="A730" s="51"/>
      <c r="B730" s="51"/>
      <c r="C730" s="51"/>
      <c r="D730" s="51"/>
      <c r="E730" s="51"/>
      <c r="F730" s="51"/>
      <c r="G730" s="51"/>
      <c r="H730" s="55"/>
      <c r="I730" s="55"/>
      <c r="J730" s="55"/>
      <c r="K730" s="55"/>
      <c r="L730" s="55"/>
      <c r="M730" s="55"/>
      <c r="N730" s="55"/>
      <c r="O730" s="55"/>
      <c r="P730" s="55"/>
      <c r="Q730" s="51"/>
      <c r="R730" s="51"/>
      <c r="S730" s="51"/>
      <c r="T730" s="51"/>
      <c r="U730" s="51"/>
      <c r="V730" s="51"/>
      <c r="W730" s="51"/>
      <c r="X730" s="51"/>
      <c r="Y730" s="51"/>
      <c r="Z730" s="51"/>
      <c r="AA730" s="51"/>
      <c r="AB730" s="51"/>
      <c r="AC730" s="51"/>
      <c r="AD730" s="51" t="s">
        <v>2937</v>
      </c>
      <c r="AE730" s="51" t="s">
        <v>2938</v>
      </c>
      <c r="AF730" s="51" t="str">
        <f t="shared" si="9"/>
        <v>A679078</v>
      </c>
      <c r="AG730" s="51" t="str">
        <f>VLOOKUP(AF730,AKT!$C$4:$E$324,3,FALSE)</f>
        <v>0942</v>
      </c>
    </row>
    <row r="731" spans="1:33" ht="15.75" hidden="1" customHeight="1">
      <c r="A731" s="51"/>
      <c r="B731" s="51"/>
      <c r="C731" s="51"/>
      <c r="D731" s="51"/>
      <c r="E731" s="51"/>
      <c r="F731" s="51"/>
      <c r="G731" s="51"/>
      <c r="H731" s="55"/>
      <c r="I731" s="55"/>
      <c r="J731" s="55"/>
      <c r="K731" s="55"/>
      <c r="L731" s="55"/>
      <c r="M731" s="55"/>
      <c r="N731" s="55"/>
      <c r="O731" s="55"/>
      <c r="P731" s="55"/>
      <c r="Q731" s="51"/>
      <c r="R731" s="51"/>
      <c r="S731" s="51"/>
      <c r="T731" s="51"/>
      <c r="U731" s="51"/>
      <c r="V731" s="51"/>
      <c r="W731" s="51"/>
      <c r="X731" s="51"/>
      <c r="Y731" s="51"/>
      <c r="Z731" s="51"/>
      <c r="AA731" s="51"/>
      <c r="AB731" s="51"/>
      <c r="AC731" s="51"/>
      <c r="AD731" s="51" t="s">
        <v>2939</v>
      </c>
      <c r="AE731" s="51" t="s">
        <v>2940</v>
      </c>
      <c r="AF731" s="51" t="str">
        <f t="shared" si="9"/>
        <v>A679078</v>
      </c>
      <c r="AG731" s="51" t="str">
        <f>VLOOKUP(AF731,AKT!$C$4:$E$324,3,FALSE)</f>
        <v>0942</v>
      </c>
    </row>
    <row r="732" spans="1:33" ht="15.75" hidden="1" customHeight="1">
      <c r="A732" s="51"/>
      <c r="B732" s="51"/>
      <c r="C732" s="51"/>
      <c r="D732" s="51"/>
      <c r="E732" s="51"/>
      <c r="F732" s="51"/>
      <c r="G732" s="51"/>
      <c r="H732" s="55"/>
      <c r="I732" s="55"/>
      <c r="J732" s="55"/>
      <c r="K732" s="55"/>
      <c r="L732" s="55"/>
      <c r="M732" s="55"/>
      <c r="N732" s="55"/>
      <c r="O732" s="55"/>
      <c r="P732" s="55"/>
      <c r="Q732" s="51"/>
      <c r="R732" s="51"/>
      <c r="S732" s="51"/>
      <c r="T732" s="51"/>
      <c r="U732" s="51"/>
      <c r="V732" s="51"/>
      <c r="W732" s="51"/>
      <c r="X732" s="51"/>
      <c r="Y732" s="51"/>
      <c r="Z732" s="51"/>
      <c r="AA732" s="51"/>
      <c r="AB732" s="51"/>
      <c r="AC732" s="51"/>
      <c r="AD732" s="51" t="s">
        <v>2941</v>
      </c>
      <c r="AE732" s="51" t="s">
        <v>2942</v>
      </c>
      <c r="AF732" s="51" t="str">
        <f t="shared" si="9"/>
        <v>A679078</v>
      </c>
      <c r="AG732" s="51" t="str">
        <f>VLOOKUP(AF732,AKT!$C$4:$E$324,3,FALSE)</f>
        <v>0942</v>
      </c>
    </row>
    <row r="733" spans="1:33" ht="15.75" hidden="1" customHeight="1">
      <c r="A733" s="51"/>
      <c r="B733" s="51"/>
      <c r="C733" s="51"/>
      <c r="D733" s="51"/>
      <c r="E733" s="51"/>
      <c r="F733" s="51"/>
      <c r="G733" s="51"/>
      <c r="H733" s="55"/>
      <c r="I733" s="55"/>
      <c r="J733" s="55"/>
      <c r="K733" s="55"/>
      <c r="L733" s="55"/>
      <c r="M733" s="55"/>
      <c r="N733" s="55"/>
      <c r="O733" s="55"/>
      <c r="P733" s="55"/>
      <c r="Q733" s="51"/>
      <c r="R733" s="51"/>
      <c r="S733" s="51"/>
      <c r="T733" s="51"/>
      <c r="U733" s="51"/>
      <c r="V733" s="51"/>
      <c r="W733" s="51"/>
      <c r="X733" s="51"/>
      <c r="Y733" s="51"/>
      <c r="Z733" s="51"/>
      <c r="AA733" s="51"/>
      <c r="AB733" s="51"/>
      <c r="AC733" s="51"/>
      <c r="AD733" s="51" t="s">
        <v>2943</v>
      </c>
      <c r="AE733" s="51" t="s">
        <v>2944</v>
      </c>
      <c r="AF733" s="51" t="str">
        <f t="shared" si="9"/>
        <v>A679078</v>
      </c>
      <c r="AG733" s="51" t="str">
        <f>VLOOKUP(AF733,AKT!$C$4:$E$324,3,FALSE)</f>
        <v>0942</v>
      </c>
    </row>
    <row r="734" spans="1:33" ht="15.75" hidden="1" customHeight="1">
      <c r="A734" s="51"/>
      <c r="B734" s="51"/>
      <c r="C734" s="51"/>
      <c r="D734" s="51"/>
      <c r="E734" s="51"/>
      <c r="F734" s="51"/>
      <c r="G734" s="51"/>
      <c r="H734" s="55"/>
      <c r="I734" s="55"/>
      <c r="J734" s="55"/>
      <c r="K734" s="55"/>
      <c r="L734" s="55"/>
      <c r="M734" s="55"/>
      <c r="N734" s="55"/>
      <c r="O734" s="55"/>
      <c r="P734" s="55"/>
      <c r="Q734" s="51"/>
      <c r="R734" s="51"/>
      <c r="S734" s="51"/>
      <c r="T734" s="51"/>
      <c r="U734" s="51"/>
      <c r="V734" s="51"/>
      <c r="W734" s="51"/>
      <c r="X734" s="51"/>
      <c r="Y734" s="51"/>
      <c r="Z734" s="51"/>
      <c r="AA734" s="51"/>
      <c r="AB734" s="51"/>
      <c r="AC734" s="51"/>
      <c r="AD734" s="51" t="s">
        <v>2945</v>
      </c>
      <c r="AE734" s="51" t="s">
        <v>2946</v>
      </c>
      <c r="AF734" s="51" t="str">
        <f t="shared" si="9"/>
        <v>A679078</v>
      </c>
      <c r="AG734" s="51" t="str">
        <f>VLOOKUP(AF734,AKT!$C$4:$E$324,3,FALSE)</f>
        <v>0942</v>
      </c>
    </row>
    <row r="735" spans="1:33" ht="15.75" hidden="1" customHeight="1">
      <c r="A735" s="51"/>
      <c r="B735" s="51"/>
      <c r="C735" s="51"/>
      <c r="D735" s="51"/>
      <c r="E735" s="51"/>
      <c r="F735" s="51"/>
      <c r="G735" s="51"/>
      <c r="H735" s="55"/>
      <c r="I735" s="55"/>
      <c r="J735" s="55"/>
      <c r="K735" s="55"/>
      <c r="L735" s="55"/>
      <c r="M735" s="55"/>
      <c r="N735" s="55"/>
      <c r="O735" s="55"/>
      <c r="P735" s="55"/>
      <c r="Q735" s="51"/>
      <c r="R735" s="51"/>
      <c r="S735" s="51"/>
      <c r="T735" s="51"/>
      <c r="U735" s="51"/>
      <c r="V735" s="51"/>
      <c r="W735" s="51"/>
      <c r="X735" s="51"/>
      <c r="Y735" s="51"/>
      <c r="Z735" s="51"/>
      <c r="AA735" s="51"/>
      <c r="AB735" s="51"/>
      <c r="AC735" s="51"/>
      <c r="AD735" s="51" t="s">
        <v>2947</v>
      </c>
      <c r="AE735" s="51" t="s">
        <v>2948</v>
      </c>
      <c r="AF735" s="51" t="str">
        <f t="shared" si="9"/>
        <v>A679078</v>
      </c>
      <c r="AG735" s="51" t="str">
        <f>VLOOKUP(AF735,AKT!$C$4:$E$324,3,FALSE)</f>
        <v>0942</v>
      </c>
    </row>
    <row r="736" spans="1:33" ht="15.75" hidden="1" customHeight="1">
      <c r="A736" s="51"/>
      <c r="B736" s="51"/>
      <c r="C736" s="51"/>
      <c r="D736" s="51"/>
      <c r="E736" s="51"/>
      <c r="F736" s="51"/>
      <c r="G736" s="51"/>
      <c r="H736" s="55"/>
      <c r="I736" s="55"/>
      <c r="J736" s="55"/>
      <c r="K736" s="55"/>
      <c r="L736" s="55"/>
      <c r="M736" s="55"/>
      <c r="N736" s="55"/>
      <c r="O736" s="55"/>
      <c r="P736" s="55"/>
      <c r="Q736" s="51"/>
      <c r="R736" s="51"/>
      <c r="S736" s="51"/>
      <c r="T736" s="51"/>
      <c r="U736" s="51"/>
      <c r="V736" s="51"/>
      <c r="W736" s="51"/>
      <c r="X736" s="51"/>
      <c r="Y736" s="51"/>
      <c r="Z736" s="51"/>
      <c r="AA736" s="51"/>
      <c r="AB736" s="51"/>
      <c r="AC736" s="51"/>
      <c r="AD736" s="51" t="s">
        <v>2949</v>
      </c>
      <c r="AE736" s="51" t="s">
        <v>2950</v>
      </c>
      <c r="AF736" s="51" t="str">
        <f t="shared" si="9"/>
        <v>A679078</v>
      </c>
      <c r="AG736" s="51" t="str">
        <f>VLOOKUP(AF736,AKT!$C$4:$E$324,3,FALSE)</f>
        <v>0942</v>
      </c>
    </row>
    <row r="737" spans="1:33" ht="15.75" hidden="1" customHeight="1">
      <c r="A737" s="51"/>
      <c r="B737" s="51"/>
      <c r="C737" s="51"/>
      <c r="D737" s="51"/>
      <c r="E737" s="51"/>
      <c r="F737" s="51"/>
      <c r="G737" s="51"/>
      <c r="H737" s="55"/>
      <c r="I737" s="55"/>
      <c r="J737" s="55"/>
      <c r="K737" s="55"/>
      <c r="L737" s="55"/>
      <c r="M737" s="55"/>
      <c r="N737" s="55"/>
      <c r="O737" s="55"/>
      <c r="P737" s="55"/>
      <c r="Q737" s="51"/>
      <c r="R737" s="51"/>
      <c r="S737" s="51"/>
      <c r="T737" s="51"/>
      <c r="U737" s="51"/>
      <c r="V737" s="51"/>
      <c r="W737" s="51"/>
      <c r="X737" s="51"/>
      <c r="Y737" s="51"/>
      <c r="Z737" s="51"/>
      <c r="AA737" s="51"/>
      <c r="AB737" s="51"/>
      <c r="AC737" s="51"/>
      <c r="AD737" s="51" t="s">
        <v>2951</v>
      </c>
      <c r="AE737" s="51" t="s">
        <v>2952</v>
      </c>
      <c r="AF737" s="51" t="str">
        <f t="shared" si="9"/>
        <v>A679078</v>
      </c>
      <c r="AG737" s="51" t="str">
        <f>VLOOKUP(AF737,AKT!$C$4:$E$324,3,FALSE)</f>
        <v>0942</v>
      </c>
    </row>
    <row r="738" spans="1:33" ht="15.75" hidden="1" customHeight="1">
      <c r="A738" s="51"/>
      <c r="B738" s="51"/>
      <c r="C738" s="51"/>
      <c r="D738" s="51"/>
      <c r="E738" s="51"/>
      <c r="F738" s="51"/>
      <c r="G738" s="51"/>
      <c r="H738" s="55"/>
      <c r="I738" s="55"/>
      <c r="J738" s="55"/>
      <c r="K738" s="55"/>
      <c r="L738" s="55"/>
      <c r="M738" s="55"/>
      <c r="N738" s="55"/>
      <c r="O738" s="55"/>
      <c r="P738" s="55"/>
      <c r="Q738" s="51"/>
      <c r="R738" s="51"/>
      <c r="S738" s="51"/>
      <c r="T738" s="51"/>
      <c r="U738" s="51"/>
      <c r="V738" s="51"/>
      <c r="W738" s="51"/>
      <c r="X738" s="51"/>
      <c r="Y738" s="51"/>
      <c r="Z738" s="51"/>
      <c r="AA738" s="51"/>
      <c r="AB738" s="51"/>
      <c r="AC738" s="51"/>
      <c r="AD738" s="51" t="s">
        <v>2953</v>
      </c>
      <c r="AE738" s="51" t="s">
        <v>2213</v>
      </c>
      <c r="AF738" s="51" t="str">
        <f t="shared" si="9"/>
        <v>A679078</v>
      </c>
      <c r="AG738" s="51" t="str">
        <f>VLOOKUP(AF738,AKT!$C$4:$E$324,3,FALSE)</f>
        <v>0942</v>
      </c>
    </row>
    <row r="739" spans="1:33" ht="15.75" hidden="1" customHeight="1">
      <c r="A739" s="51"/>
      <c r="B739" s="51"/>
      <c r="C739" s="51"/>
      <c r="D739" s="51"/>
      <c r="E739" s="51"/>
      <c r="F739" s="51"/>
      <c r="G739" s="51"/>
      <c r="H739" s="55"/>
      <c r="I739" s="55"/>
      <c r="J739" s="55"/>
      <c r="K739" s="55"/>
      <c r="L739" s="55"/>
      <c r="M739" s="55"/>
      <c r="N739" s="55"/>
      <c r="O739" s="55"/>
      <c r="P739" s="55"/>
      <c r="Q739" s="51"/>
      <c r="R739" s="51"/>
      <c r="S739" s="51"/>
      <c r="T739" s="51"/>
      <c r="U739" s="51"/>
      <c r="V739" s="51"/>
      <c r="W739" s="51"/>
      <c r="X739" s="51"/>
      <c r="Y739" s="51"/>
      <c r="Z739" s="51"/>
      <c r="AA739" s="51"/>
      <c r="AB739" s="51"/>
      <c r="AC739" s="51"/>
      <c r="AD739" s="51" t="s">
        <v>2954</v>
      </c>
      <c r="AE739" s="51" t="s">
        <v>2955</v>
      </c>
      <c r="AF739" s="51" t="str">
        <f t="shared" si="9"/>
        <v>A679078</v>
      </c>
      <c r="AG739" s="51" t="str">
        <f>VLOOKUP(AF739,AKT!$C$4:$E$324,3,FALSE)</f>
        <v>0942</v>
      </c>
    </row>
    <row r="740" spans="1:33" ht="15.75" hidden="1" customHeight="1">
      <c r="A740" s="51"/>
      <c r="B740" s="51"/>
      <c r="C740" s="51"/>
      <c r="D740" s="51"/>
      <c r="E740" s="51"/>
      <c r="F740" s="51"/>
      <c r="G740" s="51"/>
      <c r="H740" s="55"/>
      <c r="I740" s="55"/>
      <c r="J740" s="55"/>
      <c r="K740" s="55"/>
      <c r="L740" s="55"/>
      <c r="M740" s="55"/>
      <c r="N740" s="55"/>
      <c r="O740" s="55"/>
      <c r="P740" s="55"/>
      <c r="Q740" s="51"/>
      <c r="R740" s="51"/>
      <c r="S740" s="51"/>
      <c r="T740" s="51"/>
      <c r="U740" s="51"/>
      <c r="V740" s="51"/>
      <c r="W740" s="51"/>
      <c r="X740" s="51"/>
      <c r="Y740" s="51"/>
      <c r="Z740" s="51"/>
      <c r="AA740" s="51"/>
      <c r="AB740" s="51"/>
      <c r="AC740" s="51"/>
      <c r="AD740" s="51" t="s">
        <v>2956</v>
      </c>
      <c r="AE740" s="51" t="s">
        <v>2957</v>
      </c>
      <c r="AF740" s="51" t="str">
        <f t="shared" si="9"/>
        <v>A679078</v>
      </c>
      <c r="AG740" s="51" t="str">
        <f>VLOOKUP(AF740,AKT!$C$4:$E$324,3,FALSE)</f>
        <v>0942</v>
      </c>
    </row>
    <row r="741" spans="1:33" ht="15.75" hidden="1" customHeight="1">
      <c r="A741" s="51"/>
      <c r="B741" s="51"/>
      <c r="C741" s="51"/>
      <c r="D741" s="51"/>
      <c r="E741" s="51"/>
      <c r="F741" s="51"/>
      <c r="G741" s="51"/>
      <c r="H741" s="55"/>
      <c r="I741" s="55"/>
      <c r="J741" s="55"/>
      <c r="K741" s="55"/>
      <c r="L741" s="55"/>
      <c r="M741" s="55"/>
      <c r="N741" s="55"/>
      <c r="O741" s="55"/>
      <c r="P741" s="55"/>
      <c r="Q741" s="51"/>
      <c r="R741" s="51"/>
      <c r="S741" s="51"/>
      <c r="T741" s="51"/>
      <c r="U741" s="51"/>
      <c r="V741" s="51"/>
      <c r="W741" s="51"/>
      <c r="X741" s="51"/>
      <c r="Y741" s="51"/>
      <c r="Z741" s="51"/>
      <c r="AA741" s="51"/>
      <c r="AB741" s="51"/>
      <c r="AC741" s="51"/>
      <c r="AD741" s="51" t="s">
        <v>2958</v>
      </c>
      <c r="AE741" s="51" t="s">
        <v>2959</v>
      </c>
      <c r="AF741" s="51" t="str">
        <f t="shared" si="9"/>
        <v>A679078</v>
      </c>
      <c r="AG741" s="51" t="str">
        <f>VLOOKUP(AF741,AKT!$C$4:$E$324,3,FALSE)</f>
        <v>0942</v>
      </c>
    </row>
    <row r="742" spans="1:33" ht="15.75" hidden="1" customHeight="1">
      <c r="A742" s="51"/>
      <c r="B742" s="51"/>
      <c r="C742" s="51"/>
      <c r="D742" s="51"/>
      <c r="E742" s="51"/>
      <c r="F742" s="51"/>
      <c r="G742" s="51"/>
      <c r="H742" s="55"/>
      <c r="I742" s="55"/>
      <c r="J742" s="55"/>
      <c r="K742" s="55"/>
      <c r="L742" s="55"/>
      <c r="M742" s="55"/>
      <c r="N742" s="55"/>
      <c r="O742" s="55"/>
      <c r="P742" s="55"/>
      <c r="Q742" s="51"/>
      <c r="R742" s="51"/>
      <c r="S742" s="51"/>
      <c r="T742" s="51"/>
      <c r="U742" s="51"/>
      <c r="V742" s="51"/>
      <c r="W742" s="51"/>
      <c r="X742" s="51"/>
      <c r="Y742" s="51"/>
      <c r="Z742" s="51"/>
      <c r="AA742" s="51"/>
      <c r="AB742" s="51"/>
      <c r="AC742" s="51"/>
      <c r="AD742" s="51" t="s">
        <v>2960</v>
      </c>
      <c r="AE742" s="51" t="s">
        <v>2961</v>
      </c>
      <c r="AF742" s="51" t="str">
        <f t="shared" si="9"/>
        <v>A679078</v>
      </c>
      <c r="AG742" s="51" t="str">
        <f>VLOOKUP(AF742,AKT!$C$4:$E$324,3,FALSE)</f>
        <v>0942</v>
      </c>
    </row>
    <row r="743" spans="1:33" ht="15.75" hidden="1" customHeight="1">
      <c r="A743" s="51"/>
      <c r="B743" s="51"/>
      <c r="C743" s="51"/>
      <c r="D743" s="51"/>
      <c r="E743" s="51"/>
      <c r="F743" s="51"/>
      <c r="G743" s="51"/>
      <c r="H743" s="55"/>
      <c r="I743" s="55"/>
      <c r="J743" s="55"/>
      <c r="K743" s="55"/>
      <c r="L743" s="55"/>
      <c r="M743" s="55"/>
      <c r="N743" s="55"/>
      <c r="O743" s="55"/>
      <c r="P743" s="55"/>
      <c r="Q743" s="51"/>
      <c r="R743" s="51"/>
      <c r="S743" s="51"/>
      <c r="T743" s="51"/>
      <c r="U743" s="51"/>
      <c r="V743" s="51"/>
      <c r="W743" s="51"/>
      <c r="X743" s="51"/>
      <c r="Y743" s="51"/>
      <c r="Z743" s="51"/>
      <c r="AA743" s="51"/>
      <c r="AB743" s="51"/>
      <c r="AC743" s="51"/>
      <c r="AD743" s="51" t="s">
        <v>2962</v>
      </c>
      <c r="AE743" s="51" t="s">
        <v>2963</v>
      </c>
      <c r="AF743" s="51" t="str">
        <f t="shared" si="9"/>
        <v>A679078</v>
      </c>
      <c r="AG743" s="51" t="str">
        <f>VLOOKUP(AF743,AKT!$C$4:$E$324,3,FALSE)</f>
        <v>0942</v>
      </c>
    </row>
    <row r="744" spans="1:33" ht="15.75" hidden="1" customHeight="1">
      <c r="A744" s="51"/>
      <c r="B744" s="51"/>
      <c r="C744" s="51"/>
      <c r="D744" s="51"/>
      <c r="E744" s="51"/>
      <c r="F744" s="51"/>
      <c r="G744" s="51"/>
      <c r="H744" s="55"/>
      <c r="I744" s="55"/>
      <c r="J744" s="55"/>
      <c r="K744" s="55"/>
      <c r="L744" s="55"/>
      <c r="M744" s="55"/>
      <c r="N744" s="55"/>
      <c r="O744" s="55"/>
      <c r="P744" s="55"/>
      <c r="Q744" s="51"/>
      <c r="R744" s="51"/>
      <c r="S744" s="51"/>
      <c r="T744" s="51"/>
      <c r="U744" s="51"/>
      <c r="V744" s="51"/>
      <c r="W744" s="51"/>
      <c r="X744" s="51"/>
      <c r="Y744" s="51"/>
      <c r="Z744" s="51"/>
      <c r="AA744" s="51"/>
      <c r="AB744" s="51"/>
      <c r="AC744" s="51"/>
      <c r="AD744" s="51" t="s">
        <v>2964</v>
      </c>
      <c r="AE744" s="51" t="s">
        <v>2965</v>
      </c>
      <c r="AF744" s="51" t="str">
        <f t="shared" si="9"/>
        <v>A679078</v>
      </c>
      <c r="AG744" s="51" t="str">
        <f>VLOOKUP(AF744,AKT!$C$4:$E$324,3,FALSE)</f>
        <v>0942</v>
      </c>
    </row>
    <row r="745" spans="1:33" ht="15.75" hidden="1" customHeight="1">
      <c r="A745" s="51"/>
      <c r="B745" s="51"/>
      <c r="C745" s="51"/>
      <c r="D745" s="51"/>
      <c r="E745" s="51"/>
      <c r="F745" s="51"/>
      <c r="G745" s="51"/>
      <c r="H745" s="55"/>
      <c r="I745" s="55"/>
      <c r="J745" s="55"/>
      <c r="K745" s="55"/>
      <c r="L745" s="55"/>
      <c r="M745" s="55"/>
      <c r="N745" s="55"/>
      <c r="O745" s="55"/>
      <c r="P745" s="55"/>
      <c r="Q745" s="51"/>
      <c r="R745" s="51"/>
      <c r="S745" s="51"/>
      <c r="T745" s="51"/>
      <c r="U745" s="51"/>
      <c r="V745" s="51"/>
      <c r="W745" s="51"/>
      <c r="X745" s="51"/>
      <c r="Y745" s="51"/>
      <c r="Z745" s="51"/>
      <c r="AA745" s="51"/>
      <c r="AB745" s="51"/>
      <c r="AC745" s="51"/>
      <c r="AD745" s="51" t="s">
        <v>2966</v>
      </c>
      <c r="AE745" s="51" t="s">
        <v>2967</v>
      </c>
      <c r="AF745" s="51" t="str">
        <f t="shared" si="9"/>
        <v>A679078</v>
      </c>
      <c r="AG745" s="51" t="str">
        <f>VLOOKUP(AF745,AKT!$C$4:$E$324,3,FALSE)</f>
        <v>0942</v>
      </c>
    </row>
    <row r="746" spans="1:33" ht="15.75" hidden="1" customHeight="1">
      <c r="A746" s="51"/>
      <c r="B746" s="51"/>
      <c r="C746" s="51"/>
      <c r="D746" s="51"/>
      <c r="E746" s="51"/>
      <c r="F746" s="51"/>
      <c r="G746" s="51"/>
      <c r="H746" s="55"/>
      <c r="I746" s="55"/>
      <c r="J746" s="55"/>
      <c r="K746" s="55"/>
      <c r="L746" s="55"/>
      <c r="M746" s="55"/>
      <c r="N746" s="55"/>
      <c r="O746" s="55"/>
      <c r="P746" s="55"/>
      <c r="Q746" s="51"/>
      <c r="R746" s="51"/>
      <c r="S746" s="51"/>
      <c r="T746" s="51"/>
      <c r="U746" s="51"/>
      <c r="V746" s="51"/>
      <c r="W746" s="51"/>
      <c r="X746" s="51"/>
      <c r="Y746" s="51"/>
      <c r="Z746" s="51"/>
      <c r="AA746" s="51"/>
      <c r="AB746" s="51"/>
      <c r="AC746" s="51"/>
      <c r="AD746" s="51" t="s">
        <v>2968</v>
      </c>
      <c r="AE746" s="51" t="s">
        <v>2969</v>
      </c>
      <c r="AF746" s="51" t="str">
        <f t="shared" si="9"/>
        <v>A679078</v>
      </c>
      <c r="AG746" s="51" t="str">
        <f>VLOOKUP(AF746,AKT!$C$4:$E$324,3,FALSE)</f>
        <v>0942</v>
      </c>
    </row>
    <row r="747" spans="1:33" ht="15.75" hidden="1" customHeight="1">
      <c r="A747" s="51"/>
      <c r="B747" s="51"/>
      <c r="C747" s="51"/>
      <c r="D747" s="51"/>
      <c r="E747" s="51"/>
      <c r="F747" s="51"/>
      <c r="G747" s="51"/>
      <c r="H747" s="55"/>
      <c r="I747" s="55"/>
      <c r="J747" s="55"/>
      <c r="K747" s="55"/>
      <c r="L747" s="55"/>
      <c r="M747" s="55"/>
      <c r="N747" s="55"/>
      <c r="O747" s="55"/>
      <c r="P747" s="55"/>
      <c r="Q747" s="51"/>
      <c r="R747" s="51"/>
      <c r="S747" s="51"/>
      <c r="T747" s="51"/>
      <c r="U747" s="51"/>
      <c r="V747" s="51"/>
      <c r="W747" s="51"/>
      <c r="X747" s="51"/>
      <c r="Y747" s="51"/>
      <c r="Z747" s="51"/>
      <c r="AA747" s="51"/>
      <c r="AB747" s="51"/>
      <c r="AC747" s="51"/>
      <c r="AD747" s="51" t="s">
        <v>2970</v>
      </c>
      <c r="AE747" s="51" t="s">
        <v>2971</v>
      </c>
      <c r="AF747" s="51" t="str">
        <f t="shared" si="9"/>
        <v>A679078</v>
      </c>
      <c r="AG747" s="51" t="str">
        <f>VLOOKUP(AF747,AKT!$C$4:$E$324,3,FALSE)</f>
        <v>0942</v>
      </c>
    </row>
    <row r="748" spans="1:33" ht="15.75" hidden="1" customHeight="1">
      <c r="A748" s="51"/>
      <c r="B748" s="51"/>
      <c r="C748" s="51"/>
      <c r="D748" s="51"/>
      <c r="E748" s="51"/>
      <c r="F748" s="51"/>
      <c r="G748" s="51"/>
      <c r="H748" s="55"/>
      <c r="I748" s="55"/>
      <c r="J748" s="55"/>
      <c r="K748" s="55"/>
      <c r="L748" s="55"/>
      <c r="M748" s="55"/>
      <c r="N748" s="55"/>
      <c r="O748" s="55"/>
      <c r="P748" s="55"/>
      <c r="Q748" s="51"/>
      <c r="R748" s="51"/>
      <c r="S748" s="51"/>
      <c r="T748" s="51"/>
      <c r="U748" s="51"/>
      <c r="V748" s="51"/>
      <c r="W748" s="51"/>
      <c r="X748" s="51"/>
      <c r="Y748" s="51"/>
      <c r="Z748" s="51"/>
      <c r="AA748" s="51"/>
      <c r="AB748" s="51"/>
      <c r="AC748" s="51"/>
      <c r="AD748" s="51" t="s">
        <v>2972</v>
      </c>
      <c r="AE748" s="51" t="s">
        <v>2973</v>
      </c>
      <c r="AF748" s="51" t="str">
        <f t="shared" si="9"/>
        <v>A679078</v>
      </c>
      <c r="AG748" s="51" t="str">
        <f>VLOOKUP(AF748,AKT!$C$4:$E$324,3,FALSE)</f>
        <v>0942</v>
      </c>
    </row>
    <row r="749" spans="1:33" ht="15.75" hidden="1" customHeight="1">
      <c r="A749" s="51"/>
      <c r="B749" s="51"/>
      <c r="C749" s="51"/>
      <c r="D749" s="51"/>
      <c r="E749" s="51"/>
      <c r="F749" s="51"/>
      <c r="G749" s="51"/>
      <c r="H749" s="55"/>
      <c r="I749" s="55"/>
      <c r="J749" s="55"/>
      <c r="K749" s="55"/>
      <c r="L749" s="55"/>
      <c r="M749" s="55"/>
      <c r="N749" s="55"/>
      <c r="O749" s="55"/>
      <c r="P749" s="55"/>
      <c r="Q749" s="51"/>
      <c r="R749" s="51"/>
      <c r="S749" s="51"/>
      <c r="T749" s="51"/>
      <c r="U749" s="51"/>
      <c r="V749" s="51"/>
      <c r="W749" s="51"/>
      <c r="X749" s="51"/>
      <c r="Y749" s="51"/>
      <c r="Z749" s="51"/>
      <c r="AA749" s="51"/>
      <c r="AB749" s="51"/>
      <c r="AC749" s="51"/>
      <c r="AD749" s="51" t="s">
        <v>2974</v>
      </c>
      <c r="AE749" s="51" t="s">
        <v>2975</v>
      </c>
      <c r="AF749" s="51" t="str">
        <f t="shared" si="9"/>
        <v>A679078</v>
      </c>
      <c r="AG749" s="51" t="str">
        <f>VLOOKUP(AF749,AKT!$C$4:$E$324,3,FALSE)</f>
        <v>0942</v>
      </c>
    </row>
    <row r="750" spans="1:33" ht="15.75" hidden="1" customHeight="1">
      <c r="A750" s="51"/>
      <c r="B750" s="51"/>
      <c r="C750" s="51"/>
      <c r="D750" s="51"/>
      <c r="E750" s="51"/>
      <c r="F750" s="51"/>
      <c r="G750" s="51"/>
      <c r="H750" s="55"/>
      <c r="I750" s="55"/>
      <c r="J750" s="55"/>
      <c r="K750" s="55"/>
      <c r="L750" s="55"/>
      <c r="M750" s="55"/>
      <c r="N750" s="55"/>
      <c r="O750" s="55"/>
      <c r="P750" s="55"/>
      <c r="Q750" s="51"/>
      <c r="R750" s="51"/>
      <c r="S750" s="51"/>
      <c r="T750" s="51"/>
      <c r="U750" s="51"/>
      <c r="V750" s="51"/>
      <c r="W750" s="51"/>
      <c r="X750" s="51"/>
      <c r="Y750" s="51"/>
      <c r="Z750" s="51"/>
      <c r="AA750" s="51"/>
      <c r="AB750" s="51"/>
      <c r="AC750" s="51"/>
      <c r="AD750" s="51" t="s">
        <v>2976</v>
      </c>
      <c r="AE750" s="51" t="s">
        <v>2977</v>
      </c>
      <c r="AF750" s="51" t="str">
        <f t="shared" si="9"/>
        <v>A679078</v>
      </c>
      <c r="AG750" s="51" t="str">
        <f>VLOOKUP(AF750,AKT!$C$4:$E$324,3,FALSE)</f>
        <v>0942</v>
      </c>
    </row>
    <row r="751" spans="1:33" ht="15.75" hidden="1" customHeight="1">
      <c r="A751" s="51"/>
      <c r="B751" s="51"/>
      <c r="C751" s="51"/>
      <c r="D751" s="51"/>
      <c r="E751" s="51"/>
      <c r="F751" s="51"/>
      <c r="G751" s="51"/>
      <c r="H751" s="55"/>
      <c r="I751" s="55"/>
      <c r="J751" s="55"/>
      <c r="K751" s="55"/>
      <c r="L751" s="55"/>
      <c r="M751" s="55"/>
      <c r="N751" s="55"/>
      <c r="O751" s="55"/>
      <c r="P751" s="55"/>
      <c r="Q751" s="51"/>
      <c r="R751" s="51"/>
      <c r="S751" s="51"/>
      <c r="T751" s="51"/>
      <c r="U751" s="51"/>
      <c r="V751" s="51"/>
      <c r="W751" s="51"/>
      <c r="X751" s="51"/>
      <c r="Y751" s="51"/>
      <c r="Z751" s="51"/>
      <c r="AA751" s="51"/>
      <c r="AB751" s="51"/>
      <c r="AC751" s="51"/>
      <c r="AD751" s="51" t="s">
        <v>2978</v>
      </c>
      <c r="AE751" s="51" t="s">
        <v>2979</v>
      </c>
      <c r="AF751" s="51" t="str">
        <f t="shared" si="9"/>
        <v>A679078</v>
      </c>
      <c r="AG751" s="51" t="str">
        <f>VLOOKUP(AF751,AKT!$C$4:$E$324,3,FALSE)</f>
        <v>0942</v>
      </c>
    </row>
    <row r="752" spans="1:33" ht="15.75" hidden="1" customHeight="1">
      <c r="A752" s="51"/>
      <c r="B752" s="51"/>
      <c r="C752" s="51"/>
      <c r="D752" s="51"/>
      <c r="E752" s="51"/>
      <c r="F752" s="51"/>
      <c r="G752" s="51"/>
      <c r="H752" s="55"/>
      <c r="I752" s="55"/>
      <c r="J752" s="55"/>
      <c r="K752" s="55"/>
      <c r="L752" s="55"/>
      <c r="M752" s="55"/>
      <c r="N752" s="55"/>
      <c r="O752" s="55"/>
      <c r="P752" s="55"/>
      <c r="Q752" s="51"/>
      <c r="R752" s="51"/>
      <c r="S752" s="51"/>
      <c r="T752" s="51"/>
      <c r="U752" s="51"/>
      <c r="V752" s="51"/>
      <c r="W752" s="51"/>
      <c r="X752" s="51"/>
      <c r="Y752" s="51"/>
      <c r="Z752" s="51"/>
      <c r="AA752" s="51"/>
      <c r="AB752" s="51"/>
      <c r="AC752" s="51"/>
      <c r="AD752" s="51" t="s">
        <v>2980</v>
      </c>
      <c r="AE752" s="51" t="s">
        <v>2981</v>
      </c>
      <c r="AF752" s="51" t="str">
        <f t="shared" si="9"/>
        <v>A679078</v>
      </c>
      <c r="AG752" s="51" t="str">
        <f>VLOOKUP(AF752,AKT!$C$4:$E$324,3,FALSE)</f>
        <v>0942</v>
      </c>
    </row>
    <row r="753" spans="1:33" ht="15.75" hidden="1" customHeight="1">
      <c r="A753" s="51"/>
      <c r="B753" s="51"/>
      <c r="C753" s="51"/>
      <c r="D753" s="51"/>
      <c r="E753" s="51"/>
      <c r="F753" s="51"/>
      <c r="G753" s="51"/>
      <c r="H753" s="55"/>
      <c r="I753" s="55"/>
      <c r="J753" s="55"/>
      <c r="K753" s="55"/>
      <c r="L753" s="55"/>
      <c r="M753" s="55"/>
      <c r="N753" s="55"/>
      <c r="O753" s="55"/>
      <c r="P753" s="55"/>
      <c r="Q753" s="51"/>
      <c r="R753" s="51"/>
      <c r="S753" s="51"/>
      <c r="T753" s="51"/>
      <c r="U753" s="51"/>
      <c r="V753" s="51"/>
      <c r="W753" s="51"/>
      <c r="X753" s="51"/>
      <c r="Y753" s="51"/>
      <c r="Z753" s="51"/>
      <c r="AA753" s="51"/>
      <c r="AB753" s="51"/>
      <c r="AC753" s="51"/>
      <c r="AD753" s="51" t="s">
        <v>2982</v>
      </c>
      <c r="AE753" s="51" t="s">
        <v>2983</v>
      </c>
      <c r="AF753" s="51" t="str">
        <f t="shared" si="9"/>
        <v>A679078</v>
      </c>
      <c r="AG753" s="51" t="str">
        <f>VLOOKUP(AF753,AKT!$C$4:$E$324,3,FALSE)</f>
        <v>0942</v>
      </c>
    </row>
    <row r="754" spans="1:33" ht="15.75" hidden="1" customHeight="1">
      <c r="A754" s="51"/>
      <c r="B754" s="51"/>
      <c r="C754" s="51"/>
      <c r="D754" s="51"/>
      <c r="E754" s="51"/>
      <c r="F754" s="51"/>
      <c r="G754" s="51"/>
      <c r="H754" s="55"/>
      <c r="I754" s="55"/>
      <c r="J754" s="55"/>
      <c r="K754" s="55"/>
      <c r="L754" s="55"/>
      <c r="M754" s="55"/>
      <c r="N754" s="55"/>
      <c r="O754" s="55"/>
      <c r="P754" s="55"/>
      <c r="Q754" s="51"/>
      <c r="R754" s="51"/>
      <c r="S754" s="51"/>
      <c r="T754" s="51"/>
      <c r="U754" s="51"/>
      <c r="V754" s="51"/>
      <c r="W754" s="51"/>
      <c r="X754" s="51"/>
      <c r="Y754" s="51"/>
      <c r="Z754" s="51"/>
      <c r="AA754" s="51"/>
      <c r="AB754" s="51"/>
      <c r="AC754" s="51"/>
      <c r="AD754" s="51" t="s">
        <v>2984</v>
      </c>
      <c r="AE754" s="51" t="s">
        <v>2985</v>
      </c>
      <c r="AF754" s="51" t="str">
        <f t="shared" si="9"/>
        <v>A679078</v>
      </c>
      <c r="AG754" s="51" t="str">
        <f>VLOOKUP(AF754,AKT!$C$4:$E$324,3,FALSE)</f>
        <v>0942</v>
      </c>
    </row>
    <row r="755" spans="1:33" ht="15.75" hidden="1" customHeight="1">
      <c r="A755" s="51"/>
      <c r="B755" s="51"/>
      <c r="C755" s="51"/>
      <c r="D755" s="51"/>
      <c r="E755" s="51"/>
      <c r="F755" s="51"/>
      <c r="G755" s="51"/>
      <c r="H755" s="55"/>
      <c r="I755" s="55"/>
      <c r="J755" s="55"/>
      <c r="K755" s="55"/>
      <c r="L755" s="55"/>
      <c r="M755" s="55"/>
      <c r="N755" s="55"/>
      <c r="O755" s="55"/>
      <c r="P755" s="55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 t="s">
        <v>2986</v>
      </c>
      <c r="AE755" s="51" t="s">
        <v>2987</v>
      </c>
      <c r="AF755" s="51" t="str">
        <f t="shared" si="9"/>
        <v>A679078</v>
      </c>
      <c r="AG755" s="51" t="str">
        <f>VLOOKUP(AF755,AKT!$C$4:$E$324,3,FALSE)</f>
        <v>0942</v>
      </c>
    </row>
    <row r="756" spans="1:33" ht="15.75" hidden="1" customHeight="1">
      <c r="A756" s="51"/>
      <c r="B756" s="51"/>
      <c r="C756" s="51"/>
      <c r="D756" s="51"/>
      <c r="E756" s="51"/>
      <c r="F756" s="51"/>
      <c r="G756" s="51"/>
      <c r="H756" s="55"/>
      <c r="I756" s="55"/>
      <c r="J756" s="55"/>
      <c r="K756" s="55"/>
      <c r="L756" s="55"/>
      <c r="M756" s="55"/>
      <c r="N756" s="55"/>
      <c r="O756" s="55"/>
      <c r="P756" s="55"/>
      <c r="Q756" s="51"/>
      <c r="R756" s="51"/>
      <c r="S756" s="51"/>
      <c r="T756" s="51"/>
      <c r="U756" s="51"/>
      <c r="V756" s="51"/>
      <c r="W756" s="51"/>
      <c r="X756" s="51"/>
      <c r="Y756" s="51"/>
      <c r="Z756" s="51"/>
      <c r="AA756" s="51"/>
      <c r="AB756" s="51"/>
      <c r="AC756" s="51"/>
      <c r="AD756" s="51" t="s">
        <v>2988</v>
      </c>
      <c r="AE756" s="51" t="s">
        <v>2989</v>
      </c>
      <c r="AF756" s="51" t="str">
        <f t="shared" si="9"/>
        <v>A679078</v>
      </c>
      <c r="AG756" s="51" t="str">
        <f>VLOOKUP(AF756,AKT!$C$4:$E$324,3,FALSE)</f>
        <v>0942</v>
      </c>
    </row>
    <row r="757" spans="1:33" ht="15.75" hidden="1" customHeight="1">
      <c r="A757" s="51"/>
      <c r="B757" s="51"/>
      <c r="C757" s="51"/>
      <c r="D757" s="51"/>
      <c r="E757" s="51"/>
      <c r="F757" s="51"/>
      <c r="G757" s="51"/>
      <c r="H757" s="55"/>
      <c r="I757" s="55"/>
      <c r="J757" s="55"/>
      <c r="K757" s="55"/>
      <c r="L757" s="55"/>
      <c r="M757" s="55"/>
      <c r="N757" s="55"/>
      <c r="O757" s="55"/>
      <c r="P757" s="55"/>
      <c r="Q757" s="51"/>
      <c r="R757" s="51"/>
      <c r="S757" s="51"/>
      <c r="T757" s="51"/>
      <c r="U757" s="51"/>
      <c r="V757" s="51"/>
      <c r="W757" s="51"/>
      <c r="X757" s="51"/>
      <c r="Y757" s="51"/>
      <c r="Z757" s="51"/>
      <c r="AA757" s="51"/>
      <c r="AB757" s="51"/>
      <c r="AC757" s="51"/>
      <c r="AD757" s="51" t="s">
        <v>2990</v>
      </c>
      <c r="AE757" s="51" t="s">
        <v>2991</v>
      </c>
      <c r="AF757" s="51" t="str">
        <f t="shared" si="9"/>
        <v>A679078</v>
      </c>
      <c r="AG757" s="51" t="str">
        <f>VLOOKUP(AF757,AKT!$C$4:$E$324,3,FALSE)</f>
        <v>0942</v>
      </c>
    </row>
    <row r="758" spans="1:33" ht="15.75" hidden="1" customHeight="1">
      <c r="A758" s="51"/>
      <c r="B758" s="51"/>
      <c r="C758" s="51"/>
      <c r="D758" s="51"/>
      <c r="E758" s="51"/>
      <c r="F758" s="51"/>
      <c r="G758" s="51"/>
      <c r="H758" s="55"/>
      <c r="I758" s="55"/>
      <c r="J758" s="55"/>
      <c r="K758" s="55"/>
      <c r="L758" s="55"/>
      <c r="M758" s="55"/>
      <c r="N758" s="55"/>
      <c r="O758" s="55"/>
      <c r="P758" s="55"/>
      <c r="Q758" s="51"/>
      <c r="R758" s="51"/>
      <c r="S758" s="51"/>
      <c r="T758" s="51"/>
      <c r="U758" s="51"/>
      <c r="V758" s="51"/>
      <c r="W758" s="51"/>
      <c r="X758" s="51"/>
      <c r="Y758" s="51"/>
      <c r="Z758" s="51"/>
      <c r="AA758" s="51"/>
      <c r="AB758" s="51"/>
      <c r="AC758" s="51"/>
      <c r="AD758" s="51" t="s">
        <v>2992</v>
      </c>
      <c r="AE758" s="51" t="s">
        <v>2993</v>
      </c>
      <c r="AF758" s="51" t="str">
        <f t="shared" si="9"/>
        <v>A679078</v>
      </c>
      <c r="AG758" s="51" t="str">
        <f>VLOOKUP(AF758,AKT!$C$4:$E$324,3,FALSE)</f>
        <v>0942</v>
      </c>
    </row>
    <row r="759" spans="1:33" ht="15.75" hidden="1" customHeight="1">
      <c r="A759" s="51"/>
      <c r="B759" s="51"/>
      <c r="C759" s="51"/>
      <c r="D759" s="51"/>
      <c r="E759" s="51"/>
      <c r="F759" s="51"/>
      <c r="G759" s="51"/>
      <c r="H759" s="55"/>
      <c r="I759" s="55"/>
      <c r="J759" s="55"/>
      <c r="K759" s="55"/>
      <c r="L759" s="55"/>
      <c r="M759" s="55"/>
      <c r="N759" s="55"/>
      <c r="O759" s="55"/>
      <c r="P759" s="55"/>
      <c r="Q759" s="51"/>
      <c r="R759" s="51"/>
      <c r="S759" s="51"/>
      <c r="T759" s="51"/>
      <c r="U759" s="51"/>
      <c r="V759" s="51"/>
      <c r="W759" s="51"/>
      <c r="X759" s="51"/>
      <c r="Y759" s="51"/>
      <c r="Z759" s="51"/>
      <c r="AA759" s="51"/>
      <c r="AB759" s="51"/>
      <c r="AC759" s="51"/>
      <c r="AD759" s="51" t="s">
        <v>2994</v>
      </c>
      <c r="AE759" s="51" t="s">
        <v>2995</v>
      </c>
      <c r="AF759" s="51" t="str">
        <f t="shared" si="9"/>
        <v>A679078</v>
      </c>
      <c r="AG759" s="51" t="str">
        <f>VLOOKUP(AF759,AKT!$C$4:$E$324,3,FALSE)</f>
        <v>0942</v>
      </c>
    </row>
    <row r="760" spans="1:33" ht="15.75" hidden="1" customHeight="1">
      <c r="A760" s="51"/>
      <c r="B760" s="51"/>
      <c r="C760" s="51"/>
      <c r="D760" s="51"/>
      <c r="E760" s="51"/>
      <c r="F760" s="51"/>
      <c r="G760" s="51"/>
      <c r="H760" s="55"/>
      <c r="I760" s="55"/>
      <c r="J760" s="55"/>
      <c r="K760" s="55"/>
      <c r="L760" s="55"/>
      <c r="M760" s="55"/>
      <c r="N760" s="55"/>
      <c r="O760" s="55"/>
      <c r="P760" s="55"/>
      <c r="Q760" s="51"/>
      <c r="R760" s="51"/>
      <c r="S760" s="51"/>
      <c r="T760" s="51"/>
      <c r="U760" s="51"/>
      <c r="V760" s="51"/>
      <c r="W760" s="51"/>
      <c r="X760" s="51"/>
      <c r="Y760" s="51"/>
      <c r="Z760" s="51"/>
      <c r="AA760" s="51"/>
      <c r="AB760" s="51"/>
      <c r="AC760" s="51"/>
      <c r="AD760" s="51" t="s">
        <v>1837</v>
      </c>
      <c r="AE760" s="51" t="s">
        <v>1838</v>
      </c>
      <c r="AF760" s="51" t="str">
        <f t="shared" si="9"/>
        <v>A679078</v>
      </c>
      <c r="AG760" s="51" t="str">
        <f>VLOOKUP(AF760,AKT!$C$4:$E$324,3,FALSE)</f>
        <v>0942</v>
      </c>
    </row>
    <row r="761" spans="1:33" ht="15.75" hidden="1" customHeight="1">
      <c r="A761" s="51"/>
      <c r="B761" s="51"/>
      <c r="C761" s="51"/>
      <c r="D761" s="51"/>
      <c r="E761" s="51"/>
      <c r="F761" s="51"/>
      <c r="G761" s="51"/>
      <c r="H761" s="55"/>
      <c r="I761" s="55"/>
      <c r="J761" s="55"/>
      <c r="K761" s="55"/>
      <c r="L761" s="55"/>
      <c r="M761" s="55"/>
      <c r="N761" s="55"/>
      <c r="O761" s="55"/>
      <c r="P761" s="55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51"/>
      <c r="AD761" s="51" t="s">
        <v>2996</v>
      </c>
      <c r="AE761" s="51" t="s">
        <v>2997</v>
      </c>
      <c r="AF761" s="51" t="str">
        <f t="shared" si="9"/>
        <v>A679078</v>
      </c>
      <c r="AG761" s="51" t="str">
        <f>VLOOKUP(AF761,AKT!$C$4:$E$324,3,FALSE)</f>
        <v>0942</v>
      </c>
    </row>
    <row r="762" spans="1:33" ht="15.75" hidden="1" customHeight="1">
      <c r="A762" s="51"/>
      <c r="B762" s="51"/>
      <c r="C762" s="51"/>
      <c r="D762" s="51"/>
      <c r="E762" s="51"/>
      <c r="F762" s="51"/>
      <c r="G762" s="51"/>
      <c r="H762" s="55"/>
      <c r="I762" s="55"/>
      <c r="J762" s="55"/>
      <c r="K762" s="55"/>
      <c r="L762" s="55"/>
      <c r="M762" s="55"/>
      <c r="N762" s="55"/>
      <c r="O762" s="55"/>
      <c r="P762" s="55"/>
      <c r="Q762" s="51"/>
      <c r="R762" s="51"/>
      <c r="S762" s="51"/>
      <c r="T762" s="51"/>
      <c r="U762" s="51"/>
      <c r="V762" s="51"/>
      <c r="W762" s="51"/>
      <c r="X762" s="51"/>
      <c r="Y762" s="51"/>
      <c r="Z762" s="51"/>
      <c r="AA762" s="51"/>
      <c r="AB762" s="51"/>
      <c r="AC762" s="51"/>
      <c r="AD762" s="51" t="s">
        <v>2998</v>
      </c>
      <c r="AE762" s="51" t="s">
        <v>2999</v>
      </c>
      <c r="AF762" s="51" t="str">
        <f t="shared" si="9"/>
        <v>A679078</v>
      </c>
      <c r="AG762" s="51" t="str">
        <f>VLOOKUP(AF762,AKT!$C$4:$E$324,3,FALSE)</f>
        <v>0942</v>
      </c>
    </row>
    <row r="763" spans="1:33" ht="15.75" hidden="1" customHeight="1">
      <c r="A763" s="51"/>
      <c r="B763" s="51"/>
      <c r="C763" s="51"/>
      <c r="D763" s="51"/>
      <c r="E763" s="51"/>
      <c r="F763" s="51"/>
      <c r="G763" s="51"/>
      <c r="H763" s="55"/>
      <c r="I763" s="55"/>
      <c r="J763" s="55"/>
      <c r="K763" s="55"/>
      <c r="L763" s="55"/>
      <c r="M763" s="55"/>
      <c r="N763" s="55"/>
      <c r="O763" s="55"/>
      <c r="P763" s="55"/>
      <c r="Q763" s="51"/>
      <c r="R763" s="51"/>
      <c r="S763" s="51"/>
      <c r="T763" s="51"/>
      <c r="U763" s="51"/>
      <c r="V763" s="51"/>
      <c r="W763" s="51"/>
      <c r="X763" s="51"/>
      <c r="Y763" s="51"/>
      <c r="Z763" s="51"/>
      <c r="AA763" s="51"/>
      <c r="AB763" s="51"/>
      <c r="AC763" s="51"/>
      <c r="AD763" s="51" t="s">
        <v>3000</v>
      </c>
      <c r="AE763" s="51" t="s">
        <v>3001</v>
      </c>
      <c r="AF763" s="51" t="str">
        <f t="shared" si="9"/>
        <v>A679078</v>
      </c>
      <c r="AG763" s="51" t="str">
        <f>VLOOKUP(AF763,AKT!$C$4:$E$324,3,FALSE)</f>
        <v>0942</v>
      </c>
    </row>
    <row r="764" spans="1:33" ht="15.75" hidden="1" customHeight="1">
      <c r="A764" s="51"/>
      <c r="B764" s="51"/>
      <c r="C764" s="51"/>
      <c r="D764" s="51"/>
      <c r="E764" s="51"/>
      <c r="F764" s="51"/>
      <c r="G764" s="51"/>
      <c r="H764" s="55"/>
      <c r="I764" s="55"/>
      <c r="J764" s="55"/>
      <c r="K764" s="55"/>
      <c r="L764" s="55"/>
      <c r="M764" s="55"/>
      <c r="N764" s="55"/>
      <c r="O764" s="55"/>
      <c r="P764" s="55"/>
      <c r="Q764" s="51"/>
      <c r="R764" s="51"/>
      <c r="S764" s="51"/>
      <c r="T764" s="51"/>
      <c r="U764" s="51"/>
      <c r="V764" s="51"/>
      <c r="W764" s="51"/>
      <c r="X764" s="51"/>
      <c r="Y764" s="51"/>
      <c r="Z764" s="51"/>
      <c r="AA764" s="51"/>
      <c r="AB764" s="51"/>
      <c r="AC764" s="51"/>
      <c r="AD764" s="51" t="s">
        <v>3002</v>
      </c>
      <c r="AE764" s="51" t="s">
        <v>3003</v>
      </c>
      <c r="AF764" s="51" t="str">
        <f t="shared" si="9"/>
        <v>A679078</v>
      </c>
      <c r="AG764" s="51" t="str">
        <f>VLOOKUP(AF764,AKT!$C$4:$E$324,3,FALSE)</f>
        <v>0942</v>
      </c>
    </row>
    <row r="765" spans="1:33" ht="15.75" hidden="1" customHeight="1">
      <c r="A765" s="51"/>
      <c r="B765" s="51"/>
      <c r="C765" s="51"/>
      <c r="D765" s="51"/>
      <c r="E765" s="51"/>
      <c r="F765" s="51"/>
      <c r="G765" s="51"/>
      <c r="H765" s="55"/>
      <c r="I765" s="55"/>
      <c r="J765" s="55"/>
      <c r="K765" s="55"/>
      <c r="L765" s="55"/>
      <c r="M765" s="55"/>
      <c r="N765" s="55"/>
      <c r="O765" s="55"/>
      <c r="P765" s="55"/>
      <c r="Q765" s="51"/>
      <c r="R765" s="51"/>
      <c r="S765" s="51"/>
      <c r="T765" s="51"/>
      <c r="U765" s="51"/>
      <c r="V765" s="51"/>
      <c r="W765" s="51"/>
      <c r="X765" s="51"/>
      <c r="Y765" s="51"/>
      <c r="Z765" s="51"/>
      <c r="AA765" s="51"/>
      <c r="AB765" s="51"/>
      <c r="AC765" s="51"/>
      <c r="AD765" s="51" t="s">
        <v>3004</v>
      </c>
      <c r="AE765" s="51" t="s">
        <v>3005</v>
      </c>
      <c r="AF765" s="51" t="str">
        <f t="shared" si="9"/>
        <v>A679078</v>
      </c>
      <c r="AG765" s="51" t="str">
        <f>VLOOKUP(AF765,AKT!$C$4:$E$324,3,FALSE)</f>
        <v>0942</v>
      </c>
    </row>
    <row r="766" spans="1:33" ht="15.75" hidden="1" customHeight="1">
      <c r="A766" s="51"/>
      <c r="B766" s="51"/>
      <c r="C766" s="51"/>
      <c r="D766" s="51"/>
      <c r="E766" s="51"/>
      <c r="F766" s="51"/>
      <c r="G766" s="51"/>
      <c r="H766" s="55"/>
      <c r="I766" s="55"/>
      <c r="J766" s="55"/>
      <c r="K766" s="55"/>
      <c r="L766" s="55"/>
      <c r="M766" s="55"/>
      <c r="N766" s="55"/>
      <c r="O766" s="55"/>
      <c r="P766" s="55"/>
      <c r="Q766" s="51"/>
      <c r="R766" s="51"/>
      <c r="S766" s="51"/>
      <c r="T766" s="51"/>
      <c r="U766" s="51"/>
      <c r="V766" s="51"/>
      <c r="W766" s="51"/>
      <c r="X766" s="51"/>
      <c r="Y766" s="51"/>
      <c r="Z766" s="51"/>
      <c r="AA766" s="51"/>
      <c r="AB766" s="51"/>
      <c r="AC766" s="51"/>
      <c r="AD766" s="51" t="s">
        <v>3006</v>
      </c>
      <c r="AE766" s="51" t="s">
        <v>3007</v>
      </c>
      <c r="AF766" s="51" t="str">
        <f t="shared" si="9"/>
        <v>A679078</v>
      </c>
      <c r="AG766" s="51" t="str">
        <f>VLOOKUP(AF766,AKT!$C$4:$E$324,3,FALSE)</f>
        <v>0942</v>
      </c>
    </row>
    <row r="767" spans="1:33" ht="15.75" hidden="1" customHeight="1">
      <c r="A767" s="51"/>
      <c r="B767" s="51"/>
      <c r="C767" s="51"/>
      <c r="D767" s="51"/>
      <c r="E767" s="51"/>
      <c r="F767" s="51"/>
      <c r="G767" s="51"/>
      <c r="H767" s="55"/>
      <c r="I767" s="55"/>
      <c r="J767" s="55"/>
      <c r="K767" s="55"/>
      <c r="L767" s="55"/>
      <c r="M767" s="55"/>
      <c r="N767" s="55"/>
      <c r="O767" s="55"/>
      <c r="P767" s="55"/>
      <c r="Q767" s="51"/>
      <c r="R767" s="51"/>
      <c r="S767" s="51"/>
      <c r="T767" s="51"/>
      <c r="U767" s="51"/>
      <c r="V767" s="51"/>
      <c r="W767" s="51"/>
      <c r="X767" s="51"/>
      <c r="Y767" s="51"/>
      <c r="Z767" s="51"/>
      <c r="AA767" s="51"/>
      <c r="AB767" s="51"/>
      <c r="AC767" s="51"/>
      <c r="AD767" s="51" t="s">
        <v>3008</v>
      </c>
      <c r="AE767" s="51" t="s">
        <v>3009</v>
      </c>
      <c r="AF767" s="51" t="str">
        <f t="shared" si="9"/>
        <v>A679078</v>
      </c>
      <c r="AG767" s="51" t="str">
        <f>VLOOKUP(AF767,AKT!$C$4:$E$324,3,FALSE)</f>
        <v>0942</v>
      </c>
    </row>
    <row r="768" spans="1:33" ht="15.75" hidden="1" customHeight="1">
      <c r="A768" s="51"/>
      <c r="B768" s="51"/>
      <c r="C768" s="51"/>
      <c r="D768" s="51"/>
      <c r="E768" s="51"/>
      <c r="F768" s="51"/>
      <c r="G768" s="51"/>
      <c r="H768" s="55"/>
      <c r="I768" s="55"/>
      <c r="J768" s="55"/>
      <c r="K768" s="55"/>
      <c r="L768" s="55"/>
      <c r="M768" s="55"/>
      <c r="N768" s="55"/>
      <c r="O768" s="55"/>
      <c r="P768" s="55"/>
      <c r="Q768" s="51"/>
      <c r="R768" s="51"/>
      <c r="S768" s="51"/>
      <c r="T768" s="51"/>
      <c r="U768" s="51"/>
      <c r="V768" s="51"/>
      <c r="W768" s="51"/>
      <c r="X768" s="51"/>
      <c r="Y768" s="51"/>
      <c r="Z768" s="51"/>
      <c r="AA768" s="51"/>
      <c r="AB768" s="51"/>
      <c r="AC768" s="51"/>
      <c r="AD768" s="51" t="s">
        <v>3010</v>
      </c>
      <c r="AE768" s="51" t="s">
        <v>3011</v>
      </c>
      <c r="AF768" s="51" t="str">
        <f t="shared" si="9"/>
        <v>A679078</v>
      </c>
      <c r="AG768" s="51" t="str">
        <f>VLOOKUP(AF768,AKT!$C$4:$E$324,3,FALSE)</f>
        <v>0942</v>
      </c>
    </row>
    <row r="769" spans="1:33" ht="15.75" hidden="1" customHeight="1">
      <c r="A769" s="51"/>
      <c r="B769" s="51"/>
      <c r="C769" s="51"/>
      <c r="D769" s="51"/>
      <c r="E769" s="51"/>
      <c r="F769" s="51"/>
      <c r="G769" s="51"/>
      <c r="H769" s="55"/>
      <c r="I769" s="55"/>
      <c r="J769" s="55"/>
      <c r="K769" s="55"/>
      <c r="L769" s="55"/>
      <c r="M769" s="55"/>
      <c r="N769" s="55"/>
      <c r="O769" s="55"/>
      <c r="P769" s="55"/>
      <c r="Q769" s="51"/>
      <c r="R769" s="51"/>
      <c r="S769" s="51"/>
      <c r="T769" s="51"/>
      <c r="U769" s="51"/>
      <c r="V769" s="51"/>
      <c r="W769" s="51"/>
      <c r="X769" s="51"/>
      <c r="Y769" s="51"/>
      <c r="Z769" s="51"/>
      <c r="AA769" s="51"/>
      <c r="AB769" s="51"/>
      <c r="AC769" s="51"/>
      <c r="AD769" s="51" t="s">
        <v>1887</v>
      </c>
      <c r="AE769" s="51" t="s">
        <v>1890</v>
      </c>
      <c r="AF769" s="51" t="str">
        <f t="shared" si="9"/>
        <v>A679078</v>
      </c>
      <c r="AG769" s="51" t="str">
        <f>VLOOKUP(AF769,AKT!$C$4:$E$324,3,FALSE)</f>
        <v>0942</v>
      </c>
    </row>
    <row r="770" spans="1:33" ht="15.75" hidden="1" customHeight="1">
      <c r="A770" s="51"/>
      <c r="B770" s="51"/>
      <c r="C770" s="51"/>
      <c r="D770" s="51"/>
      <c r="E770" s="51"/>
      <c r="F770" s="51"/>
      <c r="G770" s="51"/>
      <c r="H770" s="55"/>
      <c r="I770" s="55"/>
      <c r="J770" s="55"/>
      <c r="K770" s="55"/>
      <c r="L770" s="55"/>
      <c r="M770" s="55"/>
      <c r="N770" s="55"/>
      <c r="O770" s="55"/>
      <c r="P770" s="55"/>
      <c r="Q770" s="51"/>
      <c r="R770" s="51"/>
      <c r="S770" s="51"/>
      <c r="T770" s="51"/>
      <c r="U770" s="51"/>
      <c r="V770" s="51"/>
      <c r="W770" s="51"/>
      <c r="X770" s="51"/>
      <c r="Y770" s="51"/>
      <c r="Z770" s="51"/>
      <c r="AA770" s="51"/>
      <c r="AB770" s="51"/>
      <c r="AC770" s="51"/>
      <c r="AD770" s="51" t="s">
        <v>3012</v>
      </c>
      <c r="AE770" s="51" t="s">
        <v>3013</v>
      </c>
      <c r="AF770" s="51" t="str">
        <f t="shared" si="9"/>
        <v>A679078</v>
      </c>
      <c r="AG770" s="51" t="str">
        <f>VLOOKUP(AF770,AKT!$C$4:$E$324,3,FALSE)</f>
        <v>0942</v>
      </c>
    </row>
    <row r="771" spans="1:33" ht="15.75" hidden="1" customHeight="1">
      <c r="A771" s="51"/>
      <c r="B771" s="51"/>
      <c r="C771" s="51"/>
      <c r="D771" s="51"/>
      <c r="E771" s="51"/>
      <c r="F771" s="51"/>
      <c r="G771" s="51"/>
      <c r="H771" s="55"/>
      <c r="I771" s="55"/>
      <c r="J771" s="55"/>
      <c r="K771" s="55"/>
      <c r="L771" s="55"/>
      <c r="M771" s="55"/>
      <c r="N771" s="55"/>
      <c r="O771" s="55"/>
      <c r="P771" s="55"/>
      <c r="Q771" s="51"/>
      <c r="R771" s="51"/>
      <c r="S771" s="51"/>
      <c r="T771" s="51"/>
      <c r="U771" s="51"/>
      <c r="V771" s="51"/>
      <c r="W771" s="51"/>
      <c r="X771" s="51"/>
      <c r="Y771" s="51"/>
      <c r="Z771" s="51"/>
      <c r="AA771" s="51"/>
      <c r="AB771" s="51"/>
      <c r="AC771" s="51"/>
      <c r="AD771" s="51" t="s">
        <v>3014</v>
      </c>
      <c r="AE771" s="51" t="s">
        <v>3015</v>
      </c>
      <c r="AF771" s="51" t="str">
        <f t="shared" si="9"/>
        <v>A679078</v>
      </c>
      <c r="AG771" s="51" t="str">
        <f>VLOOKUP(AF771,AKT!$C$4:$E$324,3,FALSE)</f>
        <v>0942</v>
      </c>
    </row>
    <row r="772" spans="1:33" ht="15.75" hidden="1" customHeight="1">
      <c r="A772" s="51"/>
      <c r="B772" s="51"/>
      <c r="C772" s="51"/>
      <c r="D772" s="51"/>
      <c r="E772" s="51"/>
      <c r="F772" s="51"/>
      <c r="G772" s="51"/>
      <c r="H772" s="55"/>
      <c r="I772" s="55"/>
      <c r="J772" s="55"/>
      <c r="K772" s="55"/>
      <c r="L772" s="55"/>
      <c r="M772" s="55"/>
      <c r="N772" s="55"/>
      <c r="O772" s="55"/>
      <c r="P772" s="55"/>
      <c r="Q772" s="51"/>
      <c r="R772" s="51"/>
      <c r="S772" s="51"/>
      <c r="T772" s="51"/>
      <c r="U772" s="51"/>
      <c r="V772" s="51"/>
      <c r="W772" s="51"/>
      <c r="X772" s="51"/>
      <c r="Y772" s="51"/>
      <c r="Z772" s="51"/>
      <c r="AA772" s="51"/>
      <c r="AB772" s="51"/>
      <c r="AC772" s="51"/>
      <c r="AD772" s="51" t="s">
        <v>3016</v>
      </c>
      <c r="AE772" s="51" t="s">
        <v>2963</v>
      </c>
      <c r="AF772" s="51" t="str">
        <f t="shared" si="9"/>
        <v>A679078</v>
      </c>
      <c r="AG772" s="51" t="str">
        <f>VLOOKUP(AF772,AKT!$C$4:$E$324,3,FALSE)</f>
        <v>0942</v>
      </c>
    </row>
    <row r="773" spans="1:33" ht="15.75" hidden="1" customHeight="1">
      <c r="A773" s="51"/>
      <c r="B773" s="51"/>
      <c r="C773" s="51"/>
      <c r="D773" s="51"/>
      <c r="E773" s="51"/>
      <c r="F773" s="51"/>
      <c r="G773" s="51"/>
      <c r="H773" s="55"/>
      <c r="I773" s="55"/>
      <c r="J773" s="55"/>
      <c r="K773" s="55"/>
      <c r="L773" s="55"/>
      <c r="M773" s="55"/>
      <c r="N773" s="55"/>
      <c r="O773" s="55"/>
      <c r="P773" s="55"/>
      <c r="Q773" s="51"/>
      <c r="R773" s="51"/>
      <c r="S773" s="51"/>
      <c r="T773" s="51"/>
      <c r="U773" s="51"/>
      <c r="V773" s="51"/>
      <c r="W773" s="51"/>
      <c r="X773" s="51"/>
      <c r="Y773" s="51"/>
      <c r="Z773" s="51"/>
      <c r="AA773" s="51"/>
      <c r="AB773" s="51"/>
      <c r="AC773" s="51"/>
      <c r="AD773" s="51" t="s">
        <v>2037</v>
      </c>
      <c r="AE773" s="51" t="s">
        <v>2969</v>
      </c>
      <c r="AF773" s="51" t="str">
        <f t="shared" si="9"/>
        <v>A679078</v>
      </c>
      <c r="AG773" s="51" t="str">
        <f>VLOOKUP(AF773,AKT!$C$4:$E$324,3,FALSE)</f>
        <v>0942</v>
      </c>
    </row>
    <row r="774" spans="1:33" ht="15.75" hidden="1" customHeight="1">
      <c r="A774" s="51"/>
      <c r="B774" s="51"/>
      <c r="C774" s="51"/>
      <c r="D774" s="51"/>
      <c r="E774" s="51"/>
      <c r="F774" s="51"/>
      <c r="G774" s="51"/>
      <c r="H774" s="55"/>
      <c r="I774" s="55"/>
      <c r="J774" s="55"/>
      <c r="K774" s="55"/>
      <c r="L774" s="55"/>
      <c r="M774" s="55"/>
      <c r="N774" s="55"/>
      <c r="O774" s="55"/>
      <c r="P774" s="55"/>
      <c r="Q774" s="51"/>
      <c r="R774" s="51"/>
      <c r="S774" s="51"/>
      <c r="T774" s="51"/>
      <c r="U774" s="51"/>
      <c r="V774" s="51"/>
      <c r="W774" s="51"/>
      <c r="X774" s="51"/>
      <c r="Y774" s="51"/>
      <c r="Z774" s="51"/>
      <c r="AA774" s="51"/>
      <c r="AB774" s="51"/>
      <c r="AC774" s="51"/>
      <c r="AD774" s="51" t="s">
        <v>3017</v>
      </c>
      <c r="AE774" s="51" t="s">
        <v>3018</v>
      </c>
      <c r="AF774" s="51" t="str">
        <f t="shared" si="9"/>
        <v>A679078</v>
      </c>
      <c r="AG774" s="51" t="str">
        <f>VLOOKUP(AF774,AKT!$C$4:$E$324,3,FALSE)</f>
        <v>0942</v>
      </c>
    </row>
    <row r="775" spans="1:33" ht="15.75" hidden="1" customHeight="1">
      <c r="A775" s="51"/>
      <c r="B775" s="51"/>
      <c r="C775" s="51"/>
      <c r="D775" s="51"/>
      <c r="E775" s="51"/>
      <c r="F775" s="51"/>
      <c r="G775" s="51"/>
      <c r="H775" s="55"/>
      <c r="I775" s="55"/>
      <c r="J775" s="55"/>
      <c r="K775" s="55"/>
      <c r="L775" s="55"/>
      <c r="M775" s="55"/>
      <c r="N775" s="55"/>
      <c r="O775" s="55"/>
      <c r="P775" s="55"/>
      <c r="Q775" s="51"/>
      <c r="R775" s="51"/>
      <c r="S775" s="51"/>
      <c r="T775" s="51"/>
      <c r="U775" s="51"/>
      <c r="V775" s="51"/>
      <c r="W775" s="51"/>
      <c r="X775" s="51"/>
      <c r="Y775" s="51"/>
      <c r="Z775" s="51"/>
      <c r="AA775" s="51"/>
      <c r="AB775" s="51"/>
      <c r="AC775" s="51"/>
      <c r="AD775" s="51" t="s">
        <v>3019</v>
      </c>
      <c r="AE775" s="51" t="s">
        <v>3020</v>
      </c>
      <c r="AF775" s="51" t="str">
        <f t="shared" si="9"/>
        <v>A679078</v>
      </c>
      <c r="AG775" s="51" t="str">
        <f>VLOOKUP(AF775,AKT!$C$4:$E$324,3,FALSE)</f>
        <v>0942</v>
      </c>
    </row>
    <row r="776" spans="1:33" ht="15.75" hidden="1" customHeight="1">
      <c r="A776" s="51"/>
      <c r="B776" s="51"/>
      <c r="C776" s="51"/>
      <c r="D776" s="51"/>
      <c r="E776" s="51"/>
      <c r="F776" s="51"/>
      <c r="G776" s="51"/>
      <c r="H776" s="55"/>
      <c r="I776" s="55"/>
      <c r="J776" s="55"/>
      <c r="K776" s="55"/>
      <c r="L776" s="55"/>
      <c r="M776" s="55"/>
      <c r="N776" s="55"/>
      <c r="O776" s="55"/>
      <c r="P776" s="55"/>
      <c r="Q776" s="51"/>
      <c r="R776" s="51"/>
      <c r="S776" s="51"/>
      <c r="T776" s="51"/>
      <c r="U776" s="51"/>
      <c r="V776" s="51"/>
      <c r="W776" s="51"/>
      <c r="X776" s="51"/>
      <c r="Y776" s="51"/>
      <c r="Z776" s="51"/>
      <c r="AA776" s="51"/>
      <c r="AB776" s="51"/>
      <c r="AC776" s="51"/>
      <c r="AD776" s="51" t="s">
        <v>3021</v>
      </c>
      <c r="AE776" s="51" t="s">
        <v>3022</v>
      </c>
      <c r="AF776" s="51" t="str">
        <f t="shared" si="9"/>
        <v>A679078</v>
      </c>
      <c r="AG776" s="51" t="str">
        <f>VLOOKUP(AF776,AKT!$C$4:$E$324,3,FALSE)</f>
        <v>0942</v>
      </c>
    </row>
    <row r="777" spans="1:33" ht="15.75" hidden="1" customHeight="1">
      <c r="A777" s="51"/>
      <c r="B777" s="51"/>
      <c r="C777" s="51"/>
      <c r="D777" s="51"/>
      <c r="E777" s="51"/>
      <c r="F777" s="51"/>
      <c r="G777" s="51"/>
      <c r="H777" s="55"/>
      <c r="I777" s="55"/>
      <c r="J777" s="55"/>
      <c r="K777" s="55"/>
      <c r="L777" s="55"/>
      <c r="M777" s="55"/>
      <c r="N777" s="55"/>
      <c r="O777" s="55"/>
      <c r="P777" s="55"/>
      <c r="Q777" s="51"/>
      <c r="R777" s="51"/>
      <c r="S777" s="51"/>
      <c r="T777" s="51"/>
      <c r="U777" s="51"/>
      <c r="V777" s="51"/>
      <c r="W777" s="51"/>
      <c r="X777" s="51"/>
      <c r="Y777" s="51"/>
      <c r="Z777" s="51"/>
      <c r="AA777" s="51"/>
      <c r="AB777" s="51"/>
      <c r="AC777" s="51"/>
      <c r="AD777" s="51" t="s">
        <v>3023</v>
      </c>
      <c r="AE777" s="51" t="s">
        <v>3024</v>
      </c>
      <c r="AF777" s="51" t="str">
        <f t="shared" si="9"/>
        <v>A679078</v>
      </c>
      <c r="AG777" s="51" t="str">
        <f>VLOOKUP(AF777,AKT!$C$4:$E$324,3,FALSE)</f>
        <v>0942</v>
      </c>
    </row>
    <row r="778" spans="1:33" ht="15.75" hidden="1" customHeight="1">
      <c r="A778" s="51"/>
      <c r="B778" s="51"/>
      <c r="C778" s="51"/>
      <c r="D778" s="51"/>
      <c r="E778" s="51"/>
      <c r="F778" s="51"/>
      <c r="G778" s="51"/>
      <c r="H778" s="55"/>
      <c r="I778" s="55"/>
      <c r="J778" s="55"/>
      <c r="K778" s="55"/>
      <c r="L778" s="55"/>
      <c r="M778" s="55"/>
      <c r="N778" s="55"/>
      <c r="O778" s="55"/>
      <c r="P778" s="55"/>
      <c r="Q778" s="51"/>
      <c r="R778" s="51"/>
      <c r="S778" s="51"/>
      <c r="T778" s="51"/>
      <c r="U778" s="51"/>
      <c r="V778" s="51"/>
      <c r="W778" s="51"/>
      <c r="X778" s="51"/>
      <c r="Y778" s="51"/>
      <c r="Z778" s="51"/>
      <c r="AA778" s="51"/>
      <c r="AB778" s="51"/>
      <c r="AC778" s="51"/>
      <c r="AD778" s="51" t="s">
        <v>3025</v>
      </c>
      <c r="AE778" s="51" t="s">
        <v>3026</v>
      </c>
      <c r="AF778" s="51" t="str">
        <f t="shared" si="9"/>
        <v>A679078</v>
      </c>
      <c r="AG778" s="51" t="str">
        <f>VLOOKUP(AF778,AKT!$C$4:$E$324,3,FALSE)</f>
        <v>0942</v>
      </c>
    </row>
    <row r="779" spans="1:33" ht="15.75" hidden="1" customHeight="1">
      <c r="A779" s="51"/>
      <c r="B779" s="51"/>
      <c r="C779" s="51"/>
      <c r="D779" s="51"/>
      <c r="E779" s="51"/>
      <c r="F779" s="51"/>
      <c r="G779" s="51"/>
      <c r="H779" s="55"/>
      <c r="I779" s="55"/>
      <c r="J779" s="55"/>
      <c r="K779" s="55"/>
      <c r="L779" s="55"/>
      <c r="M779" s="55"/>
      <c r="N779" s="55"/>
      <c r="O779" s="55"/>
      <c r="P779" s="55"/>
      <c r="Q779" s="51"/>
      <c r="R779" s="51"/>
      <c r="S779" s="51"/>
      <c r="T779" s="51"/>
      <c r="U779" s="51"/>
      <c r="V779" s="51"/>
      <c r="W779" s="51"/>
      <c r="X779" s="51"/>
      <c r="Y779" s="51"/>
      <c r="Z779" s="51"/>
      <c r="AA779" s="51"/>
      <c r="AB779" s="51"/>
      <c r="AC779" s="51"/>
      <c r="AD779" s="51" t="s">
        <v>3027</v>
      </c>
      <c r="AE779" s="51" t="s">
        <v>3028</v>
      </c>
      <c r="AF779" s="51" t="str">
        <f t="shared" si="9"/>
        <v>A679078</v>
      </c>
      <c r="AG779" s="51" t="str">
        <f>VLOOKUP(AF779,AKT!$C$4:$E$324,3,FALSE)</f>
        <v>0942</v>
      </c>
    </row>
    <row r="780" spans="1:33" ht="15.75" hidden="1" customHeight="1">
      <c r="A780" s="51"/>
      <c r="B780" s="51"/>
      <c r="C780" s="51"/>
      <c r="D780" s="51"/>
      <c r="E780" s="51"/>
      <c r="F780" s="51"/>
      <c r="G780" s="51"/>
      <c r="H780" s="55"/>
      <c r="I780" s="55"/>
      <c r="J780" s="55"/>
      <c r="K780" s="55"/>
      <c r="L780" s="55"/>
      <c r="M780" s="55"/>
      <c r="N780" s="55"/>
      <c r="O780" s="55"/>
      <c r="P780" s="55"/>
      <c r="Q780" s="51"/>
      <c r="R780" s="51"/>
      <c r="S780" s="51"/>
      <c r="T780" s="51"/>
      <c r="U780" s="51"/>
      <c r="V780" s="51"/>
      <c r="W780" s="51"/>
      <c r="X780" s="51"/>
      <c r="Y780" s="51"/>
      <c r="Z780" s="51"/>
      <c r="AA780" s="51"/>
      <c r="AB780" s="51"/>
      <c r="AC780" s="51"/>
      <c r="AD780" s="51" t="s">
        <v>3029</v>
      </c>
      <c r="AE780" s="51" t="s">
        <v>3030</v>
      </c>
      <c r="AF780" s="51" t="str">
        <f t="shared" si="9"/>
        <v>A679078</v>
      </c>
      <c r="AG780" s="51" t="str">
        <f>VLOOKUP(AF780,AKT!$C$4:$E$324,3,FALSE)</f>
        <v>0942</v>
      </c>
    </row>
    <row r="781" spans="1:33" ht="15.75" hidden="1" customHeight="1">
      <c r="A781" s="51"/>
      <c r="B781" s="51"/>
      <c r="C781" s="51"/>
      <c r="D781" s="51"/>
      <c r="E781" s="51"/>
      <c r="F781" s="51"/>
      <c r="G781" s="51"/>
      <c r="H781" s="55"/>
      <c r="I781" s="55"/>
      <c r="J781" s="55"/>
      <c r="K781" s="55"/>
      <c r="L781" s="55"/>
      <c r="M781" s="55"/>
      <c r="N781" s="55"/>
      <c r="O781" s="55"/>
      <c r="P781" s="55"/>
      <c r="Q781" s="51"/>
      <c r="R781" s="51"/>
      <c r="S781" s="51"/>
      <c r="T781" s="51"/>
      <c r="U781" s="51"/>
      <c r="V781" s="51"/>
      <c r="W781" s="51"/>
      <c r="X781" s="51"/>
      <c r="Y781" s="51"/>
      <c r="Z781" s="51"/>
      <c r="AA781" s="51"/>
      <c r="AB781" s="51"/>
      <c r="AC781" s="51"/>
      <c r="AD781" s="51" t="s">
        <v>3031</v>
      </c>
      <c r="AE781" s="51" t="s">
        <v>3032</v>
      </c>
      <c r="AF781" s="51" t="str">
        <f t="shared" si="9"/>
        <v>A679078</v>
      </c>
      <c r="AG781" s="51" t="str">
        <f>VLOOKUP(AF781,AKT!$C$4:$E$324,3,FALSE)</f>
        <v>0942</v>
      </c>
    </row>
    <row r="782" spans="1:33" ht="15.75" hidden="1" customHeight="1">
      <c r="A782" s="51"/>
      <c r="B782" s="51"/>
      <c r="C782" s="51"/>
      <c r="D782" s="51"/>
      <c r="E782" s="51"/>
      <c r="F782" s="51"/>
      <c r="G782" s="51"/>
      <c r="H782" s="55"/>
      <c r="I782" s="55"/>
      <c r="J782" s="55"/>
      <c r="K782" s="55"/>
      <c r="L782" s="55"/>
      <c r="M782" s="55"/>
      <c r="N782" s="55"/>
      <c r="O782" s="55"/>
      <c r="P782" s="55"/>
      <c r="Q782" s="51"/>
      <c r="R782" s="51"/>
      <c r="S782" s="51"/>
      <c r="T782" s="51"/>
      <c r="U782" s="51"/>
      <c r="V782" s="51"/>
      <c r="W782" s="51"/>
      <c r="X782" s="51"/>
      <c r="Y782" s="51"/>
      <c r="Z782" s="51"/>
      <c r="AA782" s="51"/>
      <c r="AB782" s="51"/>
      <c r="AC782" s="51"/>
      <c r="AD782" s="51" t="s">
        <v>3033</v>
      </c>
      <c r="AE782" s="51" t="s">
        <v>3034</v>
      </c>
      <c r="AF782" s="51" t="str">
        <f t="shared" si="9"/>
        <v>A679078</v>
      </c>
      <c r="AG782" s="51" t="str">
        <f>VLOOKUP(AF782,AKT!$C$4:$E$324,3,FALSE)</f>
        <v>0942</v>
      </c>
    </row>
    <row r="783" spans="1:33" ht="15.75" hidden="1" customHeight="1">
      <c r="A783" s="51"/>
      <c r="B783" s="51"/>
      <c r="C783" s="51"/>
      <c r="D783" s="51"/>
      <c r="E783" s="51"/>
      <c r="F783" s="51"/>
      <c r="G783" s="51"/>
      <c r="H783" s="55"/>
      <c r="I783" s="55"/>
      <c r="J783" s="55"/>
      <c r="K783" s="55"/>
      <c r="L783" s="55"/>
      <c r="M783" s="55"/>
      <c r="N783" s="55"/>
      <c r="O783" s="55"/>
      <c r="P783" s="55"/>
      <c r="Q783" s="51"/>
      <c r="R783" s="51"/>
      <c r="S783" s="51"/>
      <c r="T783" s="51"/>
      <c r="U783" s="51"/>
      <c r="V783" s="51"/>
      <c r="W783" s="51"/>
      <c r="X783" s="51"/>
      <c r="Y783" s="51"/>
      <c r="Z783" s="51"/>
      <c r="AA783" s="51"/>
      <c r="AB783" s="51"/>
      <c r="AC783" s="51"/>
      <c r="AD783" s="51" t="s">
        <v>3035</v>
      </c>
      <c r="AE783" s="51" t="s">
        <v>3036</v>
      </c>
      <c r="AF783" s="51" t="str">
        <f t="shared" si="9"/>
        <v>A679078</v>
      </c>
      <c r="AG783" s="51" t="str">
        <f>VLOOKUP(AF783,AKT!$C$4:$E$324,3,FALSE)</f>
        <v>0942</v>
      </c>
    </row>
    <row r="784" spans="1:33" ht="15.75" hidden="1" customHeight="1">
      <c r="A784" s="51"/>
      <c r="B784" s="51"/>
      <c r="C784" s="51"/>
      <c r="D784" s="51"/>
      <c r="E784" s="51"/>
      <c r="F784" s="51"/>
      <c r="G784" s="51"/>
      <c r="H784" s="55"/>
      <c r="I784" s="55"/>
      <c r="J784" s="55"/>
      <c r="K784" s="55"/>
      <c r="L784" s="55"/>
      <c r="M784" s="55"/>
      <c r="N784" s="55"/>
      <c r="O784" s="55"/>
      <c r="P784" s="55"/>
      <c r="Q784" s="51"/>
      <c r="R784" s="51"/>
      <c r="S784" s="51"/>
      <c r="T784" s="51"/>
      <c r="U784" s="51"/>
      <c r="V784" s="51"/>
      <c r="W784" s="51"/>
      <c r="X784" s="51"/>
      <c r="Y784" s="51"/>
      <c r="Z784" s="51"/>
      <c r="AA784" s="51"/>
      <c r="AB784" s="51"/>
      <c r="AC784" s="51"/>
      <c r="AD784" s="51" t="s">
        <v>3037</v>
      </c>
      <c r="AE784" s="51" t="s">
        <v>3038</v>
      </c>
      <c r="AF784" s="51" t="str">
        <f t="shared" si="9"/>
        <v>A679078</v>
      </c>
      <c r="AG784" s="51" t="str">
        <f>VLOOKUP(AF784,AKT!$C$4:$E$324,3,FALSE)</f>
        <v>0942</v>
      </c>
    </row>
    <row r="785" spans="1:33" ht="15.75" hidden="1" customHeight="1">
      <c r="A785" s="51"/>
      <c r="B785" s="51"/>
      <c r="C785" s="51"/>
      <c r="D785" s="51"/>
      <c r="E785" s="51"/>
      <c r="F785" s="51"/>
      <c r="G785" s="51"/>
      <c r="H785" s="55"/>
      <c r="I785" s="55"/>
      <c r="J785" s="55"/>
      <c r="K785" s="55"/>
      <c r="L785" s="55"/>
      <c r="M785" s="55"/>
      <c r="N785" s="55"/>
      <c r="O785" s="55"/>
      <c r="P785" s="55"/>
      <c r="Q785" s="51"/>
      <c r="R785" s="51"/>
      <c r="S785" s="51"/>
      <c r="T785" s="51"/>
      <c r="U785" s="51"/>
      <c r="V785" s="51"/>
      <c r="W785" s="51"/>
      <c r="X785" s="51"/>
      <c r="Y785" s="51"/>
      <c r="Z785" s="51"/>
      <c r="AA785" s="51"/>
      <c r="AB785" s="51"/>
      <c r="AC785" s="51"/>
      <c r="AD785" s="51" t="s">
        <v>3039</v>
      </c>
      <c r="AE785" s="51" t="s">
        <v>3040</v>
      </c>
      <c r="AF785" s="51" t="str">
        <f t="shared" si="9"/>
        <v>A679078</v>
      </c>
      <c r="AG785" s="51" t="str">
        <f>VLOOKUP(AF785,AKT!$C$4:$E$324,3,FALSE)</f>
        <v>0942</v>
      </c>
    </row>
    <row r="786" spans="1:33" ht="15.75" hidden="1" customHeight="1">
      <c r="A786" s="51"/>
      <c r="B786" s="51"/>
      <c r="C786" s="51"/>
      <c r="D786" s="51"/>
      <c r="E786" s="51"/>
      <c r="F786" s="51"/>
      <c r="G786" s="51"/>
      <c r="H786" s="55"/>
      <c r="I786" s="55"/>
      <c r="J786" s="55"/>
      <c r="K786" s="55"/>
      <c r="L786" s="55"/>
      <c r="M786" s="55"/>
      <c r="N786" s="55"/>
      <c r="O786" s="55"/>
      <c r="P786" s="55"/>
      <c r="Q786" s="51"/>
      <c r="R786" s="51"/>
      <c r="S786" s="51"/>
      <c r="T786" s="51"/>
      <c r="U786" s="51"/>
      <c r="V786" s="51"/>
      <c r="W786" s="51"/>
      <c r="X786" s="51"/>
      <c r="Y786" s="51"/>
      <c r="Z786" s="51"/>
      <c r="AA786" s="51"/>
      <c r="AB786" s="51"/>
      <c r="AC786" s="51"/>
      <c r="AD786" s="51" t="s">
        <v>3041</v>
      </c>
      <c r="AE786" s="51" t="s">
        <v>3042</v>
      </c>
      <c r="AF786" s="51" t="str">
        <f t="shared" si="9"/>
        <v>A679078</v>
      </c>
      <c r="AG786" s="51" t="str">
        <f>VLOOKUP(AF786,AKT!$C$4:$E$324,3,FALSE)</f>
        <v>0942</v>
      </c>
    </row>
    <row r="787" spans="1:33" ht="15.75" hidden="1" customHeight="1">
      <c r="A787" s="51"/>
      <c r="B787" s="51"/>
      <c r="C787" s="51"/>
      <c r="D787" s="51"/>
      <c r="E787" s="51"/>
      <c r="F787" s="51"/>
      <c r="G787" s="51"/>
      <c r="H787" s="55"/>
      <c r="I787" s="55"/>
      <c r="J787" s="55"/>
      <c r="K787" s="55"/>
      <c r="L787" s="55"/>
      <c r="M787" s="55"/>
      <c r="N787" s="55"/>
      <c r="O787" s="55"/>
      <c r="P787" s="55"/>
      <c r="Q787" s="51"/>
      <c r="R787" s="51"/>
      <c r="S787" s="51"/>
      <c r="T787" s="51"/>
      <c r="U787" s="51"/>
      <c r="V787" s="51"/>
      <c r="W787" s="51"/>
      <c r="X787" s="51"/>
      <c r="Y787" s="51"/>
      <c r="Z787" s="51"/>
      <c r="AA787" s="51"/>
      <c r="AB787" s="51"/>
      <c r="AC787" s="51"/>
      <c r="AD787" s="51" t="s">
        <v>3043</v>
      </c>
      <c r="AE787" s="51" t="s">
        <v>3044</v>
      </c>
      <c r="AF787" s="51" t="str">
        <f t="shared" si="9"/>
        <v>A679078</v>
      </c>
      <c r="AG787" s="51" t="str">
        <f>VLOOKUP(AF787,AKT!$C$4:$E$324,3,FALSE)</f>
        <v>0942</v>
      </c>
    </row>
    <row r="788" spans="1:33" ht="15.75" hidden="1" customHeight="1">
      <c r="A788" s="51"/>
      <c r="B788" s="51"/>
      <c r="C788" s="51"/>
      <c r="D788" s="51"/>
      <c r="E788" s="51"/>
      <c r="F788" s="51"/>
      <c r="G788" s="51"/>
      <c r="H788" s="55"/>
      <c r="I788" s="55"/>
      <c r="J788" s="55"/>
      <c r="K788" s="55"/>
      <c r="L788" s="55"/>
      <c r="M788" s="55"/>
      <c r="N788" s="55"/>
      <c r="O788" s="55"/>
      <c r="P788" s="55"/>
      <c r="Q788" s="51"/>
      <c r="R788" s="51"/>
      <c r="S788" s="51"/>
      <c r="T788" s="51"/>
      <c r="U788" s="51"/>
      <c r="V788" s="51"/>
      <c r="W788" s="51"/>
      <c r="X788" s="51"/>
      <c r="Y788" s="51"/>
      <c r="Z788" s="51"/>
      <c r="AA788" s="51"/>
      <c r="AB788" s="51"/>
      <c r="AC788" s="51"/>
      <c r="AD788" s="51" t="s">
        <v>3045</v>
      </c>
      <c r="AE788" s="51" t="s">
        <v>3046</v>
      </c>
      <c r="AF788" s="51" t="str">
        <f t="shared" si="9"/>
        <v>A679078</v>
      </c>
      <c r="AG788" s="51" t="str">
        <f>VLOOKUP(AF788,AKT!$C$4:$E$324,3,FALSE)</f>
        <v>0942</v>
      </c>
    </row>
    <row r="789" spans="1:33" ht="15.75" hidden="1" customHeight="1">
      <c r="A789" s="51"/>
      <c r="B789" s="51"/>
      <c r="C789" s="51"/>
      <c r="D789" s="51"/>
      <c r="E789" s="51"/>
      <c r="F789" s="51"/>
      <c r="G789" s="51"/>
      <c r="H789" s="55"/>
      <c r="I789" s="55"/>
      <c r="J789" s="55"/>
      <c r="K789" s="55"/>
      <c r="L789" s="55"/>
      <c r="M789" s="55"/>
      <c r="N789" s="55"/>
      <c r="O789" s="55"/>
      <c r="P789" s="55"/>
      <c r="Q789" s="51"/>
      <c r="R789" s="51"/>
      <c r="S789" s="51"/>
      <c r="T789" s="51"/>
      <c r="U789" s="51"/>
      <c r="V789" s="51"/>
      <c r="W789" s="51"/>
      <c r="X789" s="51"/>
      <c r="Y789" s="51"/>
      <c r="Z789" s="51"/>
      <c r="AA789" s="51"/>
      <c r="AB789" s="51"/>
      <c r="AC789" s="51"/>
      <c r="AD789" s="51" t="s">
        <v>3047</v>
      </c>
      <c r="AE789" s="51" t="s">
        <v>3048</v>
      </c>
      <c r="AF789" s="51" t="str">
        <f t="shared" si="9"/>
        <v>A679078</v>
      </c>
      <c r="AG789" s="51" t="str">
        <f>VLOOKUP(AF789,AKT!$C$4:$E$324,3,FALSE)</f>
        <v>0942</v>
      </c>
    </row>
    <row r="790" spans="1:33" ht="15.75" hidden="1" customHeight="1">
      <c r="A790" s="51"/>
      <c r="B790" s="51"/>
      <c r="C790" s="51"/>
      <c r="D790" s="51"/>
      <c r="E790" s="51"/>
      <c r="F790" s="51"/>
      <c r="G790" s="51"/>
      <c r="H790" s="55"/>
      <c r="I790" s="55"/>
      <c r="J790" s="55"/>
      <c r="K790" s="55"/>
      <c r="L790" s="55"/>
      <c r="M790" s="55"/>
      <c r="N790" s="55"/>
      <c r="O790" s="55"/>
      <c r="P790" s="55"/>
      <c r="Q790" s="51"/>
      <c r="R790" s="51"/>
      <c r="S790" s="51"/>
      <c r="T790" s="51"/>
      <c r="U790" s="51"/>
      <c r="V790" s="51"/>
      <c r="W790" s="51"/>
      <c r="X790" s="51"/>
      <c r="Y790" s="51"/>
      <c r="Z790" s="51"/>
      <c r="AA790" s="51"/>
      <c r="AB790" s="51"/>
      <c r="AC790" s="51"/>
      <c r="AD790" s="51" t="s">
        <v>3049</v>
      </c>
      <c r="AE790" s="51" t="s">
        <v>3050</v>
      </c>
      <c r="AF790" s="51" t="str">
        <f t="shared" si="9"/>
        <v>A679078</v>
      </c>
      <c r="AG790" s="51" t="str">
        <f>VLOOKUP(AF790,AKT!$C$4:$E$324,3,FALSE)</f>
        <v>0942</v>
      </c>
    </row>
    <row r="791" spans="1:33" ht="15.75" hidden="1" customHeight="1">
      <c r="A791" s="51"/>
      <c r="B791" s="51"/>
      <c r="C791" s="51"/>
      <c r="D791" s="51"/>
      <c r="E791" s="51"/>
      <c r="F791" s="51"/>
      <c r="G791" s="51"/>
      <c r="H791" s="55"/>
      <c r="I791" s="55"/>
      <c r="J791" s="55"/>
      <c r="K791" s="55"/>
      <c r="L791" s="55"/>
      <c r="M791" s="55"/>
      <c r="N791" s="55"/>
      <c r="O791" s="55"/>
      <c r="P791" s="55"/>
      <c r="Q791" s="51"/>
      <c r="R791" s="51"/>
      <c r="S791" s="51"/>
      <c r="T791" s="51"/>
      <c r="U791" s="51"/>
      <c r="V791" s="51"/>
      <c r="W791" s="51"/>
      <c r="X791" s="51"/>
      <c r="Y791" s="51"/>
      <c r="Z791" s="51"/>
      <c r="AA791" s="51"/>
      <c r="AB791" s="51"/>
      <c r="AC791" s="51"/>
      <c r="AD791" s="51" t="s">
        <v>3051</v>
      </c>
      <c r="AE791" s="51" t="s">
        <v>3052</v>
      </c>
      <c r="AF791" s="51" t="str">
        <f t="shared" si="9"/>
        <v>A679078</v>
      </c>
      <c r="AG791" s="51" t="str">
        <f>VLOOKUP(AF791,AKT!$C$4:$E$324,3,FALSE)</f>
        <v>0942</v>
      </c>
    </row>
    <row r="792" spans="1:33" ht="15.75" hidden="1" customHeight="1">
      <c r="A792" s="51"/>
      <c r="B792" s="51"/>
      <c r="C792" s="51"/>
      <c r="D792" s="51"/>
      <c r="E792" s="51"/>
      <c r="F792" s="51"/>
      <c r="G792" s="51"/>
      <c r="H792" s="55"/>
      <c r="I792" s="55"/>
      <c r="J792" s="55"/>
      <c r="K792" s="55"/>
      <c r="L792" s="55"/>
      <c r="M792" s="55"/>
      <c r="N792" s="55"/>
      <c r="O792" s="55"/>
      <c r="P792" s="55"/>
      <c r="Q792" s="51"/>
      <c r="R792" s="51"/>
      <c r="S792" s="51"/>
      <c r="T792" s="51"/>
      <c r="U792" s="51"/>
      <c r="V792" s="51"/>
      <c r="W792" s="51"/>
      <c r="X792" s="51"/>
      <c r="Y792" s="51"/>
      <c r="Z792" s="51"/>
      <c r="AA792" s="51"/>
      <c r="AB792" s="51"/>
      <c r="AC792" s="51"/>
      <c r="AD792" s="51" t="s">
        <v>3053</v>
      </c>
      <c r="AE792" s="51" t="s">
        <v>3054</v>
      </c>
      <c r="AF792" s="51" t="str">
        <f t="shared" si="9"/>
        <v>A679078</v>
      </c>
      <c r="AG792" s="51" t="str">
        <f>VLOOKUP(AF792,AKT!$C$4:$E$324,3,FALSE)</f>
        <v>0942</v>
      </c>
    </row>
    <row r="793" spans="1:33" ht="15.75" hidden="1" customHeight="1">
      <c r="A793" s="51"/>
      <c r="B793" s="51"/>
      <c r="C793" s="51"/>
      <c r="D793" s="51"/>
      <c r="E793" s="51"/>
      <c r="F793" s="51"/>
      <c r="G793" s="51"/>
      <c r="H793" s="55"/>
      <c r="I793" s="55"/>
      <c r="J793" s="55"/>
      <c r="K793" s="55"/>
      <c r="L793" s="55"/>
      <c r="M793" s="55"/>
      <c r="N793" s="55"/>
      <c r="O793" s="55"/>
      <c r="P793" s="55"/>
      <c r="Q793" s="51"/>
      <c r="R793" s="51"/>
      <c r="S793" s="51"/>
      <c r="T793" s="51"/>
      <c r="U793" s="51"/>
      <c r="V793" s="51"/>
      <c r="W793" s="51"/>
      <c r="X793" s="51"/>
      <c r="Y793" s="51"/>
      <c r="Z793" s="51"/>
      <c r="AA793" s="51"/>
      <c r="AB793" s="51"/>
      <c r="AC793" s="51"/>
      <c r="AD793" s="51" t="s">
        <v>3055</v>
      </c>
      <c r="AE793" s="51" t="s">
        <v>3056</v>
      </c>
      <c r="AF793" s="51" t="str">
        <f t="shared" si="9"/>
        <v>A679078</v>
      </c>
      <c r="AG793" s="51" t="str">
        <f>VLOOKUP(AF793,AKT!$C$4:$E$324,3,FALSE)</f>
        <v>0942</v>
      </c>
    </row>
    <row r="794" spans="1:33" ht="15.75" hidden="1" customHeight="1">
      <c r="A794" s="51"/>
      <c r="B794" s="51"/>
      <c r="C794" s="51"/>
      <c r="D794" s="51"/>
      <c r="E794" s="51"/>
      <c r="F794" s="51"/>
      <c r="G794" s="51"/>
      <c r="H794" s="55"/>
      <c r="I794" s="55"/>
      <c r="J794" s="55"/>
      <c r="K794" s="55"/>
      <c r="L794" s="55"/>
      <c r="M794" s="55"/>
      <c r="N794" s="55"/>
      <c r="O794" s="55"/>
      <c r="P794" s="55"/>
      <c r="Q794" s="51"/>
      <c r="R794" s="51"/>
      <c r="S794" s="51"/>
      <c r="T794" s="51"/>
      <c r="U794" s="51"/>
      <c r="V794" s="51"/>
      <c r="W794" s="51"/>
      <c r="X794" s="51"/>
      <c r="Y794" s="51"/>
      <c r="Z794" s="51"/>
      <c r="AA794" s="51"/>
      <c r="AB794" s="51"/>
      <c r="AC794" s="51"/>
      <c r="AD794" s="51" t="s">
        <v>3057</v>
      </c>
      <c r="AE794" s="51" t="s">
        <v>3058</v>
      </c>
      <c r="AF794" s="51" t="str">
        <f t="shared" si="9"/>
        <v>A679078</v>
      </c>
      <c r="AG794" s="51" t="str">
        <f>VLOOKUP(AF794,AKT!$C$4:$E$324,3,FALSE)</f>
        <v>0942</v>
      </c>
    </row>
    <row r="795" spans="1:33" ht="15.75" hidden="1" customHeight="1">
      <c r="A795" s="51"/>
      <c r="B795" s="51"/>
      <c r="C795" s="51"/>
      <c r="D795" s="51"/>
      <c r="E795" s="51"/>
      <c r="F795" s="51"/>
      <c r="G795" s="51"/>
      <c r="H795" s="55"/>
      <c r="I795" s="55"/>
      <c r="J795" s="55"/>
      <c r="K795" s="55"/>
      <c r="L795" s="55"/>
      <c r="M795" s="55"/>
      <c r="N795" s="55"/>
      <c r="O795" s="55"/>
      <c r="P795" s="55"/>
      <c r="Q795" s="51"/>
      <c r="R795" s="51"/>
      <c r="S795" s="51"/>
      <c r="T795" s="51"/>
      <c r="U795" s="51"/>
      <c r="V795" s="51"/>
      <c r="W795" s="51"/>
      <c r="X795" s="51"/>
      <c r="Y795" s="51"/>
      <c r="Z795" s="51"/>
      <c r="AA795" s="51"/>
      <c r="AB795" s="51"/>
      <c r="AC795" s="51"/>
      <c r="AD795" s="51" t="s">
        <v>3059</v>
      </c>
      <c r="AE795" s="51" t="s">
        <v>3060</v>
      </c>
      <c r="AF795" s="51" t="str">
        <f t="shared" si="9"/>
        <v>A679078</v>
      </c>
      <c r="AG795" s="51" t="str">
        <f>VLOOKUP(AF795,AKT!$C$4:$E$324,3,FALSE)</f>
        <v>0942</v>
      </c>
    </row>
    <row r="796" spans="1:33" ht="15.75" hidden="1" customHeight="1">
      <c r="A796" s="51"/>
      <c r="B796" s="51"/>
      <c r="C796" s="51"/>
      <c r="D796" s="51"/>
      <c r="E796" s="51"/>
      <c r="F796" s="51"/>
      <c r="G796" s="51"/>
      <c r="H796" s="55"/>
      <c r="I796" s="55"/>
      <c r="J796" s="55"/>
      <c r="K796" s="55"/>
      <c r="L796" s="55"/>
      <c r="M796" s="55"/>
      <c r="N796" s="55"/>
      <c r="O796" s="55"/>
      <c r="P796" s="55"/>
      <c r="Q796" s="51"/>
      <c r="R796" s="51"/>
      <c r="S796" s="51"/>
      <c r="T796" s="51"/>
      <c r="U796" s="51"/>
      <c r="V796" s="51"/>
      <c r="W796" s="51"/>
      <c r="X796" s="51"/>
      <c r="Y796" s="51"/>
      <c r="Z796" s="51"/>
      <c r="AA796" s="51"/>
      <c r="AB796" s="51"/>
      <c r="AC796" s="51"/>
      <c r="AD796" s="51" t="s">
        <v>3061</v>
      </c>
      <c r="AE796" s="51" t="s">
        <v>3062</v>
      </c>
      <c r="AF796" s="51" t="str">
        <f t="shared" si="9"/>
        <v>A679078</v>
      </c>
      <c r="AG796" s="51" t="str">
        <f>VLOOKUP(AF796,AKT!$C$4:$E$324,3,FALSE)</f>
        <v>0942</v>
      </c>
    </row>
    <row r="797" spans="1:33" ht="15.75" hidden="1" customHeight="1">
      <c r="A797" s="51"/>
      <c r="B797" s="51"/>
      <c r="C797" s="51"/>
      <c r="D797" s="51"/>
      <c r="E797" s="51"/>
      <c r="F797" s="51"/>
      <c r="G797" s="51"/>
      <c r="H797" s="55"/>
      <c r="I797" s="55"/>
      <c r="J797" s="55"/>
      <c r="K797" s="55"/>
      <c r="L797" s="55"/>
      <c r="M797" s="55"/>
      <c r="N797" s="55"/>
      <c r="O797" s="55"/>
      <c r="P797" s="55"/>
      <c r="Q797" s="51"/>
      <c r="R797" s="51"/>
      <c r="S797" s="51"/>
      <c r="T797" s="51"/>
      <c r="U797" s="51"/>
      <c r="V797" s="51"/>
      <c r="W797" s="51"/>
      <c r="X797" s="51"/>
      <c r="Y797" s="51"/>
      <c r="Z797" s="51"/>
      <c r="AA797" s="51"/>
      <c r="AB797" s="51"/>
      <c r="AC797" s="51"/>
      <c r="AD797" s="51" t="s">
        <v>3063</v>
      </c>
      <c r="AE797" s="51" t="s">
        <v>3064</v>
      </c>
      <c r="AF797" s="51" t="str">
        <f t="shared" si="9"/>
        <v>A679078</v>
      </c>
      <c r="AG797" s="51" t="str">
        <f>VLOOKUP(AF797,AKT!$C$4:$E$324,3,FALSE)</f>
        <v>0942</v>
      </c>
    </row>
    <row r="798" spans="1:33" ht="15.75" hidden="1" customHeight="1">
      <c r="A798" s="51"/>
      <c r="B798" s="51"/>
      <c r="C798" s="51"/>
      <c r="D798" s="51"/>
      <c r="E798" s="51"/>
      <c r="F798" s="51"/>
      <c r="G798" s="51"/>
      <c r="H798" s="55"/>
      <c r="I798" s="55"/>
      <c r="J798" s="55"/>
      <c r="K798" s="55"/>
      <c r="L798" s="55"/>
      <c r="M798" s="55"/>
      <c r="N798" s="55"/>
      <c r="O798" s="55"/>
      <c r="P798" s="55"/>
      <c r="Q798" s="51"/>
      <c r="R798" s="51"/>
      <c r="S798" s="51"/>
      <c r="T798" s="51"/>
      <c r="U798" s="51"/>
      <c r="V798" s="51"/>
      <c r="W798" s="51"/>
      <c r="X798" s="51"/>
      <c r="Y798" s="51"/>
      <c r="Z798" s="51"/>
      <c r="AA798" s="51"/>
      <c r="AB798" s="51"/>
      <c r="AC798" s="51"/>
      <c r="AD798" s="51" t="s">
        <v>3065</v>
      </c>
      <c r="AE798" s="51" t="s">
        <v>3066</v>
      </c>
      <c r="AF798" s="51" t="str">
        <f t="shared" si="9"/>
        <v>A679078</v>
      </c>
      <c r="AG798" s="51" t="str">
        <f>VLOOKUP(AF798,AKT!$C$4:$E$324,3,FALSE)</f>
        <v>0942</v>
      </c>
    </row>
    <row r="799" spans="1:33" ht="15.75" hidden="1" customHeight="1">
      <c r="A799" s="51"/>
      <c r="B799" s="51"/>
      <c r="C799" s="51"/>
      <c r="D799" s="51"/>
      <c r="E799" s="51"/>
      <c r="F799" s="51"/>
      <c r="G799" s="51"/>
      <c r="H799" s="55"/>
      <c r="I799" s="55"/>
      <c r="J799" s="55"/>
      <c r="K799" s="55"/>
      <c r="L799" s="55"/>
      <c r="M799" s="55"/>
      <c r="N799" s="55"/>
      <c r="O799" s="55"/>
      <c r="P799" s="55"/>
      <c r="Q799" s="51"/>
      <c r="R799" s="51"/>
      <c r="S799" s="51"/>
      <c r="T799" s="51"/>
      <c r="U799" s="51"/>
      <c r="V799" s="51"/>
      <c r="W799" s="51"/>
      <c r="X799" s="51"/>
      <c r="Y799" s="51"/>
      <c r="Z799" s="51"/>
      <c r="AA799" s="51"/>
      <c r="AB799" s="51"/>
      <c r="AC799" s="51"/>
      <c r="AD799" s="51" t="s">
        <v>3067</v>
      </c>
      <c r="AE799" s="51" t="s">
        <v>3068</v>
      </c>
      <c r="AF799" s="51" t="str">
        <f t="shared" si="9"/>
        <v>A679078</v>
      </c>
      <c r="AG799" s="51" t="str">
        <f>VLOOKUP(AF799,AKT!$C$4:$E$324,3,FALSE)</f>
        <v>0942</v>
      </c>
    </row>
    <row r="800" spans="1:33" ht="15.75" hidden="1" customHeight="1">
      <c r="A800" s="51"/>
      <c r="B800" s="51"/>
      <c r="C800" s="51"/>
      <c r="D800" s="51"/>
      <c r="E800" s="51"/>
      <c r="F800" s="51"/>
      <c r="G800" s="51"/>
      <c r="H800" s="55"/>
      <c r="I800" s="55"/>
      <c r="J800" s="55"/>
      <c r="K800" s="55"/>
      <c r="L800" s="55"/>
      <c r="M800" s="55"/>
      <c r="N800" s="55"/>
      <c r="O800" s="55"/>
      <c r="P800" s="55"/>
      <c r="Q800" s="51"/>
      <c r="R800" s="51"/>
      <c r="S800" s="51"/>
      <c r="T800" s="51"/>
      <c r="U800" s="51"/>
      <c r="V800" s="51"/>
      <c r="W800" s="51"/>
      <c r="X800" s="51"/>
      <c r="Y800" s="51"/>
      <c r="Z800" s="51"/>
      <c r="AA800" s="51"/>
      <c r="AB800" s="51"/>
      <c r="AC800" s="51"/>
      <c r="AD800" s="51" t="s">
        <v>3069</v>
      </c>
      <c r="AE800" s="51" t="s">
        <v>3070</v>
      </c>
      <c r="AF800" s="51" t="str">
        <f t="shared" si="9"/>
        <v>A679078</v>
      </c>
      <c r="AG800" s="51" t="str">
        <f>VLOOKUP(AF800,AKT!$C$4:$E$324,3,FALSE)</f>
        <v>0942</v>
      </c>
    </row>
    <row r="801" spans="1:33" ht="15.75" hidden="1" customHeight="1">
      <c r="A801" s="51"/>
      <c r="B801" s="51"/>
      <c r="C801" s="51"/>
      <c r="D801" s="51"/>
      <c r="E801" s="51"/>
      <c r="F801" s="51"/>
      <c r="G801" s="51"/>
      <c r="H801" s="55"/>
      <c r="I801" s="55"/>
      <c r="J801" s="55"/>
      <c r="K801" s="55"/>
      <c r="L801" s="55"/>
      <c r="M801" s="55"/>
      <c r="N801" s="55"/>
      <c r="O801" s="55"/>
      <c r="P801" s="55"/>
      <c r="Q801" s="51"/>
      <c r="R801" s="51"/>
      <c r="S801" s="51"/>
      <c r="T801" s="51"/>
      <c r="U801" s="51"/>
      <c r="V801" s="51"/>
      <c r="W801" s="51"/>
      <c r="X801" s="51"/>
      <c r="Y801" s="51"/>
      <c r="Z801" s="51"/>
      <c r="AA801" s="51"/>
      <c r="AB801" s="51"/>
      <c r="AC801" s="51"/>
      <c r="AD801" s="51" t="s">
        <v>3071</v>
      </c>
      <c r="AE801" s="51" t="s">
        <v>3072</v>
      </c>
      <c r="AF801" s="51" t="str">
        <f t="shared" si="9"/>
        <v>A679078</v>
      </c>
      <c r="AG801" s="51" t="str">
        <f>VLOOKUP(AF801,AKT!$C$4:$E$324,3,FALSE)</f>
        <v>0942</v>
      </c>
    </row>
    <row r="802" spans="1:33" ht="15.75" hidden="1" customHeight="1">
      <c r="A802" s="51"/>
      <c r="B802" s="51"/>
      <c r="C802" s="51"/>
      <c r="D802" s="51"/>
      <c r="E802" s="51"/>
      <c r="F802" s="51"/>
      <c r="G802" s="51"/>
      <c r="H802" s="55"/>
      <c r="I802" s="55"/>
      <c r="J802" s="55"/>
      <c r="K802" s="55"/>
      <c r="L802" s="55"/>
      <c r="M802" s="55"/>
      <c r="N802" s="55"/>
      <c r="O802" s="55"/>
      <c r="P802" s="55"/>
      <c r="Q802" s="51"/>
      <c r="R802" s="51"/>
      <c r="S802" s="51"/>
      <c r="T802" s="51"/>
      <c r="U802" s="51"/>
      <c r="V802" s="51"/>
      <c r="W802" s="51"/>
      <c r="X802" s="51"/>
      <c r="Y802" s="51"/>
      <c r="Z802" s="51"/>
      <c r="AA802" s="51"/>
      <c r="AB802" s="51"/>
      <c r="AC802" s="51"/>
      <c r="AD802" s="51" t="s">
        <v>3073</v>
      </c>
      <c r="AE802" s="51" t="s">
        <v>3074</v>
      </c>
      <c r="AF802" s="51" t="str">
        <f t="shared" si="9"/>
        <v>A679078</v>
      </c>
      <c r="AG802" s="51" t="str">
        <f>VLOOKUP(AF802,AKT!$C$4:$E$324,3,FALSE)</f>
        <v>0942</v>
      </c>
    </row>
    <row r="803" spans="1:33" ht="15.75" hidden="1" customHeight="1">
      <c r="A803" s="51"/>
      <c r="B803" s="51"/>
      <c r="C803" s="51"/>
      <c r="D803" s="51"/>
      <c r="E803" s="51"/>
      <c r="F803" s="51"/>
      <c r="G803" s="51"/>
      <c r="H803" s="55"/>
      <c r="I803" s="55"/>
      <c r="J803" s="55"/>
      <c r="K803" s="55"/>
      <c r="L803" s="55"/>
      <c r="M803" s="55"/>
      <c r="N803" s="55"/>
      <c r="O803" s="55"/>
      <c r="P803" s="55"/>
      <c r="Q803" s="51"/>
      <c r="R803" s="51"/>
      <c r="S803" s="51"/>
      <c r="T803" s="51"/>
      <c r="U803" s="51"/>
      <c r="V803" s="51"/>
      <c r="W803" s="51"/>
      <c r="X803" s="51"/>
      <c r="Y803" s="51"/>
      <c r="Z803" s="51"/>
      <c r="AA803" s="51"/>
      <c r="AB803" s="51"/>
      <c r="AC803" s="51"/>
      <c r="AD803" s="51" t="s">
        <v>3075</v>
      </c>
      <c r="AE803" s="51" t="s">
        <v>3076</v>
      </c>
      <c r="AF803" s="51" t="str">
        <f t="shared" si="9"/>
        <v>A679078</v>
      </c>
      <c r="AG803" s="51" t="str">
        <f>VLOOKUP(AF803,AKT!$C$4:$E$324,3,FALSE)</f>
        <v>0942</v>
      </c>
    </row>
    <row r="804" spans="1:33" ht="15.75" hidden="1" customHeight="1">
      <c r="A804" s="51"/>
      <c r="B804" s="51"/>
      <c r="C804" s="51"/>
      <c r="D804" s="51"/>
      <c r="E804" s="51"/>
      <c r="F804" s="51"/>
      <c r="G804" s="51"/>
      <c r="H804" s="55"/>
      <c r="I804" s="55"/>
      <c r="J804" s="55"/>
      <c r="K804" s="55"/>
      <c r="L804" s="55"/>
      <c r="M804" s="55"/>
      <c r="N804" s="55"/>
      <c r="O804" s="55"/>
      <c r="P804" s="55"/>
      <c r="Q804" s="51"/>
      <c r="R804" s="51"/>
      <c r="S804" s="51"/>
      <c r="T804" s="51"/>
      <c r="U804" s="51"/>
      <c r="V804" s="51"/>
      <c r="W804" s="51"/>
      <c r="X804" s="51"/>
      <c r="Y804" s="51"/>
      <c r="Z804" s="51"/>
      <c r="AA804" s="51"/>
      <c r="AB804" s="51"/>
      <c r="AC804" s="51"/>
      <c r="AD804" s="51" t="s">
        <v>3077</v>
      </c>
      <c r="AE804" s="51" t="s">
        <v>3078</v>
      </c>
      <c r="AF804" s="51" t="str">
        <f t="shared" si="9"/>
        <v>A679078</v>
      </c>
      <c r="AG804" s="51" t="str">
        <f>VLOOKUP(AF804,AKT!$C$4:$E$324,3,FALSE)</f>
        <v>0942</v>
      </c>
    </row>
    <row r="805" spans="1:33" ht="15.75" hidden="1" customHeight="1">
      <c r="A805" s="51"/>
      <c r="B805" s="51"/>
      <c r="C805" s="51"/>
      <c r="D805" s="51"/>
      <c r="E805" s="51"/>
      <c r="F805" s="51"/>
      <c r="G805" s="51"/>
      <c r="H805" s="55"/>
      <c r="I805" s="55"/>
      <c r="J805" s="55"/>
      <c r="K805" s="55"/>
      <c r="L805" s="55"/>
      <c r="M805" s="55"/>
      <c r="N805" s="55"/>
      <c r="O805" s="55"/>
      <c r="P805" s="55"/>
      <c r="Q805" s="51"/>
      <c r="R805" s="51"/>
      <c r="S805" s="51"/>
      <c r="T805" s="51"/>
      <c r="U805" s="51"/>
      <c r="V805" s="51"/>
      <c r="W805" s="51"/>
      <c r="X805" s="51"/>
      <c r="Y805" s="51"/>
      <c r="Z805" s="51"/>
      <c r="AA805" s="51"/>
      <c r="AB805" s="51"/>
      <c r="AC805" s="51"/>
      <c r="AD805" s="51" t="s">
        <v>3079</v>
      </c>
      <c r="AE805" s="51" t="s">
        <v>3080</v>
      </c>
      <c r="AF805" s="51" t="str">
        <f t="shared" si="9"/>
        <v>A679078</v>
      </c>
      <c r="AG805" s="51" t="str">
        <f>VLOOKUP(AF805,AKT!$C$4:$E$324,3,FALSE)</f>
        <v>0942</v>
      </c>
    </row>
    <row r="806" spans="1:33" ht="15.75" hidden="1" customHeight="1">
      <c r="A806" s="51"/>
      <c r="B806" s="51"/>
      <c r="C806" s="51"/>
      <c r="D806" s="51"/>
      <c r="E806" s="51"/>
      <c r="F806" s="51"/>
      <c r="G806" s="51"/>
      <c r="H806" s="55"/>
      <c r="I806" s="55"/>
      <c r="J806" s="55"/>
      <c r="K806" s="55"/>
      <c r="L806" s="55"/>
      <c r="M806" s="55"/>
      <c r="N806" s="55"/>
      <c r="O806" s="55"/>
      <c r="P806" s="55"/>
      <c r="Q806" s="51"/>
      <c r="R806" s="51"/>
      <c r="S806" s="51"/>
      <c r="T806" s="51"/>
      <c r="U806" s="51"/>
      <c r="V806" s="51"/>
      <c r="W806" s="51"/>
      <c r="X806" s="51"/>
      <c r="Y806" s="51"/>
      <c r="Z806" s="51"/>
      <c r="AA806" s="51"/>
      <c r="AB806" s="51"/>
      <c r="AC806" s="51"/>
      <c r="AD806" s="51" t="s">
        <v>3081</v>
      </c>
      <c r="AE806" s="51" t="s">
        <v>3082</v>
      </c>
      <c r="AF806" s="51" t="str">
        <f t="shared" si="9"/>
        <v>A679078</v>
      </c>
      <c r="AG806" s="51" t="str">
        <f>VLOOKUP(AF806,AKT!$C$4:$E$324,3,FALSE)</f>
        <v>0942</v>
      </c>
    </row>
    <row r="807" spans="1:33" ht="15.75" hidden="1" customHeight="1">
      <c r="A807" s="51"/>
      <c r="B807" s="51"/>
      <c r="C807" s="51"/>
      <c r="D807" s="51"/>
      <c r="E807" s="51"/>
      <c r="F807" s="51"/>
      <c r="G807" s="51"/>
      <c r="H807" s="55"/>
      <c r="I807" s="55"/>
      <c r="J807" s="55"/>
      <c r="K807" s="55"/>
      <c r="L807" s="55"/>
      <c r="M807" s="55"/>
      <c r="N807" s="55"/>
      <c r="O807" s="55"/>
      <c r="P807" s="55"/>
      <c r="Q807" s="51"/>
      <c r="R807" s="51"/>
      <c r="S807" s="51"/>
      <c r="T807" s="51"/>
      <c r="U807" s="51"/>
      <c r="V807" s="51"/>
      <c r="W807" s="51"/>
      <c r="X807" s="51"/>
      <c r="Y807" s="51"/>
      <c r="Z807" s="51"/>
      <c r="AA807" s="51"/>
      <c r="AB807" s="51"/>
      <c r="AC807" s="51"/>
      <c r="AD807" s="51" t="s">
        <v>3083</v>
      </c>
      <c r="AE807" s="51" t="s">
        <v>2844</v>
      </c>
      <c r="AF807" s="51" t="str">
        <f t="shared" si="9"/>
        <v>A679078</v>
      </c>
      <c r="AG807" s="51" t="str">
        <f>VLOOKUP(AF807,AKT!$C$4:$E$324,3,FALSE)</f>
        <v>0942</v>
      </c>
    </row>
    <row r="808" spans="1:33" ht="15.75" hidden="1" customHeight="1">
      <c r="A808" s="51"/>
      <c r="B808" s="51"/>
      <c r="C808" s="51"/>
      <c r="D808" s="51"/>
      <c r="E808" s="51"/>
      <c r="F808" s="51"/>
      <c r="G808" s="51"/>
      <c r="H808" s="55"/>
      <c r="I808" s="55"/>
      <c r="J808" s="55"/>
      <c r="K808" s="55"/>
      <c r="L808" s="55"/>
      <c r="M808" s="55"/>
      <c r="N808" s="55"/>
      <c r="O808" s="55"/>
      <c r="P808" s="55"/>
      <c r="Q808" s="51"/>
      <c r="R808" s="51"/>
      <c r="S808" s="51"/>
      <c r="T808" s="51"/>
      <c r="U808" s="51"/>
      <c r="V808" s="51"/>
      <c r="W808" s="51"/>
      <c r="X808" s="51"/>
      <c r="Y808" s="51"/>
      <c r="Z808" s="51"/>
      <c r="AA808" s="51"/>
      <c r="AB808" s="51"/>
      <c r="AC808" s="51"/>
      <c r="AD808" s="51" t="s">
        <v>3084</v>
      </c>
      <c r="AE808" s="51" t="s">
        <v>3085</v>
      </c>
      <c r="AF808" s="51" t="str">
        <f t="shared" si="9"/>
        <v>A679078</v>
      </c>
      <c r="AG808" s="51" t="str">
        <f>VLOOKUP(AF808,AKT!$C$4:$E$324,3,FALSE)</f>
        <v>0942</v>
      </c>
    </row>
    <row r="809" spans="1:33" ht="15.75" hidden="1" customHeight="1">
      <c r="A809" s="51"/>
      <c r="B809" s="51"/>
      <c r="C809" s="51"/>
      <c r="D809" s="51"/>
      <c r="E809" s="51"/>
      <c r="F809" s="51"/>
      <c r="G809" s="51"/>
      <c r="H809" s="55"/>
      <c r="I809" s="55"/>
      <c r="J809" s="55"/>
      <c r="K809" s="55"/>
      <c r="L809" s="55"/>
      <c r="M809" s="55"/>
      <c r="N809" s="55"/>
      <c r="O809" s="55"/>
      <c r="P809" s="55"/>
      <c r="Q809" s="51"/>
      <c r="R809" s="51"/>
      <c r="S809" s="51"/>
      <c r="T809" s="51"/>
      <c r="U809" s="51"/>
      <c r="V809" s="51"/>
      <c r="W809" s="51"/>
      <c r="X809" s="51"/>
      <c r="Y809" s="51"/>
      <c r="Z809" s="51"/>
      <c r="AA809" s="51"/>
      <c r="AB809" s="51"/>
      <c r="AC809" s="51"/>
      <c r="AD809" s="51" t="s">
        <v>3086</v>
      </c>
      <c r="AE809" s="51" t="s">
        <v>3087</v>
      </c>
      <c r="AF809" s="51" t="str">
        <f t="shared" si="9"/>
        <v>A679078</v>
      </c>
      <c r="AG809" s="51" t="str">
        <f>VLOOKUP(AF809,AKT!$C$4:$E$324,3,FALSE)</f>
        <v>0942</v>
      </c>
    </row>
    <row r="810" spans="1:33" ht="15.75" hidden="1" customHeight="1">
      <c r="A810" s="51"/>
      <c r="B810" s="51"/>
      <c r="C810" s="51"/>
      <c r="D810" s="51"/>
      <c r="E810" s="51"/>
      <c r="F810" s="51"/>
      <c r="G810" s="51"/>
      <c r="H810" s="55"/>
      <c r="I810" s="55"/>
      <c r="J810" s="55"/>
      <c r="K810" s="55"/>
      <c r="L810" s="55"/>
      <c r="M810" s="55"/>
      <c r="N810" s="55"/>
      <c r="O810" s="55"/>
      <c r="P810" s="55"/>
      <c r="Q810" s="51"/>
      <c r="R810" s="51"/>
      <c r="S810" s="51"/>
      <c r="T810" s="51"/>
      <c r="U810" s="51"/>
      <c r="V810" s="51"/>
      <c r="W810" s="51"/>
      <c r="X810" s="51"/>
      <c r="Y810" s="51"/>
      <c r="Z810" s="51"/>
      <c r="AA810" s="51"/>
      <c r="AB810" s="51"/>
      <c r="AC810" s="51"/>
      <c r="AD810" s="51" t="s">
        <v>3088</v>
      </c>
      <c r="AE810" s="51" t="s">
        <v>3089</v>
      </c>
      <c r="AF810" s="51" t="str">
        <f t="shared" si="9"/>
        <v>A679078</v>
      </c>
      <c r="AG810" s="51" t="str">
        <f>VLOOKUP(AF810,AKT!$C$4:$E$324,3,FALSE)</f>
        <v>0942</v>
      </c>
    </row>
    <row r="811" spans="1:33" ht="15.75" hidden="1" customHeight="1">
      <c r="A811" s="51"/>
      <c r="B811" s="51"/>
      <c r="C811" s="51"/>
      <c r="D811" s="51"/>
      <c r="E811" s="51"/>
      <c r="F811" s="51"/>
      <c r="G811" s="51"/>
      <c r="H811" s="55"/>
      <c r="I811" s="55"/>
      <c r="J811" s="55"/>
      <c r="K811" s="55"/>
      <c r="L811" s="55"/>
      <c r="M811" s="55"/>
      <c r="N811" s="55"/>
      <c r="O811" s="55"/>
      <c r="P811" s="55"/>
      <c r="Q811" s="51"/>
      <c r="R811" s="51"/>
      <c r="S811" s="51"/>
      <c r="T811" s="51"/>
      <c r="U811" s="51"/>
      <c r="V811" s="51"/>
      <c r="W811" s="51"/>
      <c r="X811" s="51"/>
      <c r="Y811" s="51"/>
      <c r="Z811" s="51"/>
      <c r="AA811" s="51"/>
      <c r="AB811" s="51"/>
      <c r="AC811" s="51"/>
      <c r="AD811" s="51" t="s">
        <v>3090</v>
      </c>
      <c r="AE811" s="51" t="s">
        <v>3091</v>
      </c>
      <c r="AF811" s="51" t="str">
        <f t="shared" si="9"/>
        <v>A679078</v>
      </c>
      <c r="AG811" s="51" t="str">
        <f>VLOOKUP(AF811,AKT!$C$4:$E$324,3,FALSE)</f>
        <v>0942</v>
      </c>
    </row>
    <row r="812" spans="1:33" ht="15.75" hidden="1" customHeight="1">
      <c r="A812" s="51"/>
      <c r="B812" s="51"/>
      <c r="C812" s="51"/>
      <c r="D812" s="51"/>
      <c r="E812" s="51"/>
      <c r="F812" s="51"/>
      <c r="G812" s="51"/>
      <c r="H812" s="55"/>
      <c r="I812" s="55"/>
      <c r="J812" s="55"/>
      <c r="K812" s="55"/>
      <c r="L812" s="55"/>
      <c r="M812" s="55"/>
      <c r="N812" s="55"/>
      <c r="O812" s="55"/>
      <c r="P812" s="55"/>
      <c r="Q812" s="51"/>
      <c r="R812" s="51"/>
      <c r="S812" s="51"/>
      <c r="T812" s="51"/>
      <c r="U812" s="51"/>
      <c r="V812" s="51"/>
      <c r="W812" s="51"/>
      <c r="X812" s="51"/>
      <c r="Y812" s="51"/>
      <c r="Z812" s="51"/>
      <c r="AA812" s="51"/>
      <c r="AB812" s="51"/>
      <c r="AC812" s="51"/>
      <c r="AD812" s="51" t="s">
        <v>3092</v>
      </c>
      <c r="AE812" s="51" t="s">
        <v>3093</v>
      </c>
      <c r="AF812" s="51" t="str">
        <f t="shared" si="9"/>
        <v>A679078</v>
      </c>
      <c r="AG812" s="51" t="str">
        <f>VLOOKUP(AF812,AKT!$C$4:$E$324,3,FALSE)</f>
        <v>0942</v>
      </c>
    </row>
    <row r="813" spans="1:33" ht="15.75" hidden="1" customHeight="1">
      <c r="A813" s="51"/>
      <c r="B813" s="51"/>
      <c r="C813" s="51"/>
      <c r="D813" s="51"/>
      <c r="E813" s="51"/>
      <c r="F813" s="51"/>
      <c r="G813" s="51"/>
      <c r="H813" s="55"/>
      <c r="I813" s="55"/>
      <c r="J813" s="55"/>
      <c r="K813" s="55"/>
      <c r="L813" s="55"/>
      <c r="M813" s="55"/>
      <c r="N813" s="55"/>
      <c r="O813" s="55"/>
      <c r="P813" s="55"/>
      <c r="Q813" s="51"/>
      <c r="R813" s="51"/>
      <c r="S813" s="51"/>
      <c r="T813" s="51"/>
      <c r="U813" s="51"/>
      <c r="V813" s="51"/>
      <c r="W813" s="51"/>
      <c r="X813" s="51"/>
      <c r="Y813" s="51"/>
      <c r="Z813" s="51"/>
      <c r="AA813" s="51"/>
      <c r="AB813" s="51"/>
      <c r="AC813" s="51"/>
      <c r="AD813" s="51" t="s">
        <v>3094</v>
      </c>
      <c r="AE813" s="51" t="s">
        <v>3095</v>
      </c>
      <c r="AF813" s="51" t="str">
        <f t="shared" si="9"/>
        <v>A679078</v>
      </c>
      <c r="AG813" s="51" t="str">
        <f>VLOOKUP(AF813,AKT!$C$4:$E$324,3,FALSE)</f>
        <v>0942</v>
      </c>
    </row>
    <row r="814" spans="1:33" ht="15.75" hidden="1" customHeight="1">
      <c r="A814" s="51"/>
      <c r="B814" s="51"/>
      <c r="C814" s="51"/>
      <c r="D814" s="51"/>
      <c r="E814" s="51"/>
      <c r="F814" s="51"/>
      <c r="G814" s="51"/>
      <c r="H814" s="55"/>
      <c r="I814" s="55"/>
      <c r="J814" s="55"/>
      <c r="K814" s="55"/>
      <c r="L814" s="55"/>
      <c r="M814" s="55"/>
      <c r="N814" s="55"/>
      <c r="O814" s="55"/>
      <c r="P814" s="55"/>
      <c r="Q814" s="51"/>
      <c r="R814" s="51"/>
      <c r="S814" s="51"/>
      <c r="T814" s="51"/>
      <c r="U814" s="51"/>
      <c r="V814" s="51"/>
      <c r="W814" s="51"/>
      <c r="X814" s="51"/>
      <c r="Y814" s="51"/>
      <c r="Z814" s="51"/>
      <c r="AA814" s="51"/>
      <c r="AB814" s="51"/>
      <c r="AC814" s="51"/>
      <c r="AD814" s="51" t="s">
        <v>3096</v>
      </c>
      <c r="AE814" s="51" t="s">
        <v>3097</v>
      </c>
      <c r="AF814" s="51" t="str">
        <f t="shared" si="9"/>
        <v>A679078</v>
      </c>
      <c r="AG814" s="51" t="str">
        <f>VLOOKUP(AF814,AKT!$C$4:$E$324,3,FALSE)</f>
        <v>0942</v>
      </c>
    </row>
    <row r="815" spans="1:33" ht="15.75" hidden="1" customHeight="1">
      <c r="A815" s="51"/>
      <c r="B815" s="51"/>
      <c r="C815" s="51"/>
      <c r="D815" s="51"/>
      <c r="E815" s="51"/>
      <c r="F815" s="51"/>
      <c r="G815" s="51"/>
      <c r="H815" s="55"/>
      <c r="I815" s="55"/>
      <c r="J815" s="55"/>
      <c r="K815" s="55"/>
      <c r="L815" s="55"/>
      <c r="M815" s="55"/>
      <c r="N815" s="55"/>
      <c r="O815" s="55"/>
      <c r="P815" s="55"/>
      <c r="Q815" s="51"/>
      <c r="R815" s="51"/>
      <c r="S815" s="51"/>
      <c r="T815" s="51"/>
      <c r="U815" s="51"/>
      <c r="V815" s="51"/>
      <c r="W815" s="51"/>
      <c r="X815" s="51"/>
      <c r="Y815" s="51"/>
      <c r="Z815" s="51"/>
      <c r="AA815" s="51"/>
      <c r="AB815" s="51"/>
      <c r="AC815" s="51"/>
      <c r="AD815" s="51" t="s">
        <v>3098</v>
      </c>
      <c r="AE815" s="51" t="s">
        <v>3099</v>
      </c>
      <c r="AF815" s="51" t="str">
        <f t="shared" si="9"/>
        <v>A679078</v>
      </c>
      <c r="AG815" s="51" t="str">
        <f>VLOOKUP(AF815,AKT!$C$4:$E$324,3,FALSE)</f>
        <v>0942</v>
      </c>
    </row>
    <row r="816" spans="1:33" ht="15.75" hidden="1" customHeight="1">
      <c r="A816" s="51"/>
      <c r="B816" s="51"/>
      <c r="C816" s="51"/>
      <c r="D816" s="51"/>
      <c r="E816" s="51"/>
      <c r="F816" s="51"/>
      <c r="G816" s="51"/>
      <c r="H816" s="55"/>
      <c r="I816" s="55"/>
      <c r="J816" s="55"/>
      <c r="K816" s="55"/>
      <c r="L816" s="55"/>
      <c r="M816" s="55"/>
      <c r="N816" s="55"/>
      <c r="O816" s="55"/>
      <c r="P816" s="55"/>
      <c r="Q816" s="51"/>
      <c r="R816" s="51"/>
      <c r="S816" s="51"/>
      <c r="T816" s="51"/>
      <c r="U816" s="51"/>
      <c r="V816" s="51"/>
      <c r="W816" s="51"/>
      <c r="X816" s="51"/>
      <c r="Y816" s="51"/>
      <c r="Z816" s="51"/>
      <c r="AA816" s="51"/>
      <c r="AB816" s="51"/>
      <c r="AC816" s="51"/>
      <c r="AD816" s="51" t="s">
        <v>3100</v>
      </c>
      <c r="AE816" s="51" t="s">
        <v>3101</v>
      </c>
      <c r="AF816" s="51" t="str">
        <f t="shared" si="9"/>
        <v>A679078</v>
      </c>
      <c r="AG816" s="51" t="str">
        <f>VLOOKUP(AF816,AKT!$C$4:$E$324,3,FALSE)</f>
        <v>0942</v>
      </c>
    </row>
    <row r="817" spans="1:33" ht="15.75" hidden="1" customHeight="1">
      <c r="A817" s="51"/>
      <c r="B817" s="51"/>
      <c r="C817" s="51"/>
      <c r="D817" s="51"/>
      <c r="E817" s="51"/>
      <c r="F817" s="51"/>
      <c r="G817" s="51"/>
      <c r="H817" s="55"/>
      <c r="I817" s="55"/>
      <c r="J817" s="55"/>
      <c r="K817" s="55"/>
      <c r="L817" s="55"/>
      <c r="M817" s="55"/>
      <c r="N817" s="55"/>
      <c r="O817" s="55"/>
      <c r="P817" s="55"/>
      <c r="Q817" s="51"/>
      <c r="R817" s="51"/>
      <c r="S817" s="51"/>
      <c r="T817" s="51"/>
      <c r="U817" s="51"/>
      <c r="V817" s="51"/>
      <c r="W817" s="51"/>
      <c r="X817" s="51"/>
      <c r="Y817" s="51"/>
      <c r="Z817" s="51"/>
      <c r="AA817" s="51"/>
      <c r="AB817" s="51"/>
      <c r="AC817" s="51"/>
      <c r="AD817" s="51" t="s">
        <v>3102</v>
      </c>
      <c r="AE817" s="51" t="s">
        <v>3103</v>
      </c>
      <c r="AF817" s="51" t="str">
        <f t="shared" si="9"/>
        <v>A679078</v>
      </c>
      <c r="AG817" s="51" t="str">
        <f>VLOOKUP(AF817,AKT!$C$4:$E$324,3,FALSE)</f>
        <v>0942</v>
      </c>
    </row>
    <row r="818" spans="1:33" ht="15.75" hidden="1" customHeight="1">
      <c r="A818" s="51"/>
      <c r="B818" s="51"/>
      <c r="C818" s="51"/>
      <c r="D818" s="51"/>
      <c r="E818" s="51"/>
      <c r="F818" s="51"/>
      <c r="G818" s="51"/>
      <c r="H818" s="55"/>
      <c r="I818" s="55"/>
      <c r="J818" s="55"/>
      <c r="K818" s="55"/>
      <c r="L818" s="55"/>
      <c r="M818" s="55"/>
      <c r="N818" s="55"/>
      <c r="O818" s="55"/>
      <c r="P818" s="55"/>
      <c r="Q818" s="51"/>
      <c r="R818" s="51"/>
      <c r="S818" s="51"/>
      <c r="T818" s="51"/>
      <c r="U818" s="51"/>
      <c r="V818" s="51"/>
      <c r="W818" s="51"/>
      <c r="X818" s="51"/>
      <c r="Y818" s="51"/>
      <c r="Z818" s="51"/>
      <c r="AA818" s="51"/>
      <c r="AB818" s="51"/>
      <c r="AC818" s="51"/>
      <c r="AD818" s="51" t="s">
        <v>3104</v>
      </c>
      <c r="AE818" s="51" t="s">
        <v>3105</v>
      </c>
      <c r="AF818" s="51" t="str">
        <f t="shared" si="9"/>
        <v>A679078</v>
      </c>
      <c r="AG818" s="51" t="str">
        <f>VLOOKUP(AF818,AKT!$C$4:$E$324,3,FALSE)</f>
        <v>0942</v>
      </c>
    </row>
    <row r="819" spans="1:33" ht="15.75" hidden="1" customHeight="1">
      <c r="A819" s="51"/>
      <c r="B819" s="51"/>
      <c r="C819" s="51"/>
      <c r="D819" s="51"/>
      <c r="E819" s="51"/>
      <c r="F819" s="51"/>
      <c r="G819" s="51"/>
      <c r="H819" s="55"/>
      <c r="I819" s="55"/>
      <c r="J819" s="55"/>
      <c r="K819" s="55"/>
      <c r="L819" s="55"/>
      <c r="M819" s="55"/>
      <c r="N819" s="55"/>
      <c r="O819" s="55"/>
      <c r="P819" s="55"/>
      <c r="Q819" s="51"/>
      <c r="R819" s="51"/>
      <c r="S819" s="51"/>
      <c r="T819" s="51"/>
      <c r="U819" s="51"/>
      <c r="V819" s="51"/>
      <c r="W819" s="51"/>
      <c r="X819" s="51"/>
      <c r="Y819" s="51"/>
      <c r="Z819" s="51"/>
      <c r="AA819" s="51"/>
      <c r="AB819" s="51"/>
      <c r="AC819" s="51"/>
      <c r="AD819" s="51" t="s">
        <v>3106</v>
      </c>
      <c r="AE819" s="51" t="s">
        <v>3107</v>
      </c>
      <c r="AF819" s="51" t="str">
        <f t="shared" si="9"/>
        <v>A679078</v>
      </c>
      <c r="AG819" s="51" t="str">
        <f>VLOOKUP(AF819,AKT!$C$4:$E$324,3,FALSE)</f>
        <v>0942</v>
      </c>
    </row>
    <row r="820" spans="1:33" ht="15.75" hidden="1" customHeight="1">
      <c r="A820" s="51"/>
      <c r="B820" s="51"/>
      <c r="C820" s="51"/>
      <c r="D820" s="51"/>
      <c r="E820" s="51"/>
      <c r="F820" s="51"/>
      <c r="G820" s="51"/>
      <c r="H820" s="55"/>
      <c r="I820" s="55"/>
      <c r="J820" s="55"/>
      <c r="K820" s="55"/>
      <c r="L820" s="55"/>
      <c r="M820" s="55"/>
      <c r="N820" s="55"/>
      <c r="O820" s="55"/>
      <c r="P820" s="55"/>
      <c r="Q820" s="51"/>
      <c r="R820" s="51"/>
      <c r="S820" s="51"/>
      <c r="T820" s="51"/>
      <c r="U820" s="51"/>
      <c r="V820" s="51"/>
      <c r="W820" s="51"/>
      <c r="X820" s="51"/>
      <c r="Y820" s="51"/>
      <c r="Z820" s="51"/>
      <c r="AA820" s="51"/>
      <c r="AB820" s="51"/>
      <c r="AC820" s="51"/>
      <c r="AD820" s="51" t="s">
        <v>3108</v>
      </c>
      <c r="AE820" s="51" t="s">
        <v>3109</v>
      </c>
      <c r="AF820" s="51" t="str">
        <f t="shared" si="9"/>
        <v>A679078</v>
      </c>
      <c r="AG820" s="51" t="str">
        <f>VLOOKUP(AF820,AKT!$C$4:$E$324,3,FALSE)</f>
        <v>0942</v>
      </c>
    </row>
    <row r="821" spans="1:33" ht="15.75" hidden="1" customHeight="1">
      <c r="A821" s="51"/>
      <c r="B821" s="51"/>
      <c r="C821" s="51"/>
      <c r="D821" s="51"/>
      <c r="E821" s="51"/>
      <c r="F821" s="51"/>
      <c r="G821" s="51"/>
      <c r="H821" s="55"/>
      <c r="I821" s="55"/>
      <c r="J821" s="55"/>
      <c r="K821" s="55"/>
      <c r="L821" s="55"/>
      <c r="M821" s="55"/>
      <c r="N821" s="55"/>
      <c r="O821" s="55"/>
      <c r="P821" s="55"/>
      <c r="Q821" s="51"/>
      <c r="R821" s="51"/>
      <c r="S821" s="51"/>
      <c r="T821" s="51"/>
      <c r="U821" s="51"/>
      <c r="V821" s="51"/>
      <c r="W821" s="51"/>
      <c r="X821" s="51"/>
      <c r="Y821" s="51"/>
      <c r="Z821" s="51"/>
      <c r="AA821" s="51"/>
      <c r="AB821" s="51"/>
      <c r="AC821" s="51"/>
      <c r="AD821" s="51" t="s">
        <v>3110</v>
      </c>
      <c r="AE821" s="51" t="s">
        <v>3111</v>
      </c>
      <c r="AF821" s="51" t="str">
        <f t="shared" si="9"/>
        <v>A679078</v>
      </c>
      <c r="AG821" s="51" t="str">
        <f>VLOOKUP(AF821,AKT!$C$4:$E$324,3,FALSE)</f>
        <v>0942</v>
      </c>
    </row>
    <row r="822" spans="1:33" ht="15.75" hidden="1" customHeight="1">
      <c r="A822" s="51"/>
      <c r="B822" s="51"/>
      <c r="C822" s="51"/>
      <c r="D822" s="51"/>
      <c r="E822" s="51"/>
      <c r="F822" s="51"/>
      <c r="G822" s="51"/>
      <c r="H822" s="55"/>
      <c r="I822" s="55"/>
      <c r="J822" s="55"/>
      <c r="K822" s="55"/>
      <c r="L822" s="55"/>
      <c r="M822" s="55"/>
      <c r="N822" s="55"/>
      <c r="O822" s="55"/>
      <c r="P822" s="55"/>
      <c r="Q822" s="51"/>
      <c r="R822" s="51"/>
      <c r="S822" s="51"/>
      <c r="T822" s="51"/>
      <c r="U822" s="51"/>
      <c r="V822" s="51"/>
      <c r="W822" s="51"/>
      <c r="X822" s="51"/>
      <c r="Y822" s="51"/>
      <c r="Z822" s="51"/>
      <c r="AA822" s="51"/>
      <c r="AB822" s="51"/>
      <c r="AC822" s="51"/>
      <c r="AD822" s="51" t="s">
        <v>3112</v>
      </c>
      <c r="AE822" s="51" t="s">
        <v>3113</v>
      </c>
      <c r="AF822" s="51" t="str">
        <f t="shared" si="9"/>
        <v>A679078</v>
      </c>
      <c r="AG822" s="51" t="str">
        <f>VLOOKUP(AF822,AKT!$C$4:$E$324,3,FALSE)</f>
        <v>0942</v>
      </c>
    </row>
    <row r="823" spans="1:33" ht="15.75" hidden="1" customHeight="1">
      <c r="A823" s="51"/>
      <c r="B823" s="51"/>
      <c r="C823" s="51"/>
      <c r="D823" s="51"/>
      <c r="E823" s="51"/>
      <c r="F823" s="51"/>
      <c r="G823" s="51"/>
      <c r="H823" s="55"/>
      <c r="I823" s="55"/>
      <c r="J823" s="55"/>
      <c r="K823" s="55"/>
      <c r="L823" s="55"/>
      <c r="M823" s="55"/>
      <c r="N823" s="55"/>
      <c r="O823" s="55"/>
      <c r="P823" s="55"/>
      <c r="Q823" s="51"/>
      <c r="R823" s="51"/>
      <c r="S823" s="51"/>
      <c r="T823" s="51"/>
      <c r="U823" s="51"/>
      <c r="V823" s="51"/>
      <c r="W823" s="51"/>
      <c r="X823" s="51"/>
      <c r="Y823" s="51"/>
      <c r="Z823" s="51"/>
      <c r="AA823" s="51"/>
      <c r="AB823" s="51"/>
      <c r="AC823" s="51"/>
      <c r="AD823" s="51" t="s">
        <v>3114</v>
      </c>
      <c r="AE823" s="51" t="s">
        <v>3115</v>
      </c>
      <c r="AF823" s="51" t="str">
        <f t="shared" si="9"/>
        <v>A679078</v>
      </c>
      <c r="AG823" s="51" t="str">
        <f>VLOOKUP(AF823,AKT!$C$4:$E$324,3,FALSE)</f>
        <v>0942</v>
      </c>
    </row>
    <row r="824" spans="1:33" ht="15.75" hidden="1" customHeight="1">
      <c r="A824" s="51"/>
      <c r="B824" s="51"/>
      <c r="C824" s="51"/>
      <c r="D824" s="51"/>
      <c r="E824" s="51"/>
      <c r="F824" s="51"/>
      <c r="G824" s="51"/>
      <c r="H824" s="55"/>
      <c r="I824" s="55"/>
      <c r="J824" s="55"/>
      <c r="K824" s="55"/>
      <c r="L824" s="55"/>
      <c r="M824" s="55"/>
      <c r="N824" s="55"/>
      <c r="O824" s="55"/>
      <c r="P824" s="55"/>
      <c r="Q824" s="51"/>
      <c r="R824" s="51"/>
      <c r="S824" s="51"/>
      <c r="T824" s="51"/>
      <c r="U824" s="51"/>
      <c r="V824" s="51"/>
      <c r="W824" s="51"/>
      <c r="X824" s="51"/>
      <c r="Y824" s="51"/>
      <c r="Z824" s="51"/>
      <c r="AA824" s="51"/>
      <c r="AB824" s="51"/>
      <c r="AC824" s="51"/>
      <c r="AD824" s="51" t="s">
        <v>3116</v>
      </c>
      <c r="AE824" s="51" t="s">
        <v>3117</v>
      </c>
      <c r="AF824" s="51" t="str">
        <f t="shared" si="9"/>
        <v>A679078</v>
      </c>
      <c r="AG824" s="51" t="str">
        <f>VLOOKUP(AF824,AKT!$C$4:$E$324,3,FALSE)</f>
        <v>0942</v>
      </c>
    </row>
    <row r="825" spans="1:33" ht="15.75" hidden="1" customHeight="1">
      <c r="A825" s="51"/>
      <c r="B825" s="51"/>
      <c r="C825" s="51"/>
      <c r="D825" s="51"/>
      <c r="E825" s="51"/>
      <c r="F825" s="51"/>
      <c r="G825" s="51"/>
      <c r="H825" s="55"/>
      <c r="I825" s="55"/>
      <c r="J825" s="55"/>
      <c r="K825" s="55"/>
      <c r="L825" s="55"/>
      <c r="M825" s="55"/>
      <c r="N825" s="55"/>
      <c r="O825" s="55"/>
      <c r="P825" s="55"/>
      <c r="Q825" s="51"/>
      <c r="R825" s="51"/>
      <c r="S825" s="51"/>
      <c r="T825" s="51"/>
      <c r="U825" s="51"/>
      <c r="V825" s="51"/>
      <c r="W825" s="51"/>
      <c r="X825" s="51"/>
      <c r="Y825" s="51"/>
      <c r="Z825" s="51"/>
      <c r="AA825" s="51"/>
      <c r="AB825" s="51"/>
      <c r="AC825" s="51"/>
      <c r="AD825" s="51" t="s">
        <v>3118</v>
      </c>
      <c r="AE825" s="51" t="s">
        <v>3119</v>
      </c>
      <c r="AF825" s="51" t="str">
        <f t="shared" si="9"/>
        <v>A679078</v>
      </c>
      <c r="AG825" s="51" t="str">
        <f>VLOOKUP(AF825,AKT!$C$4:$E$324,3,FALSE)</f>
        <v>0942</v>
      </c>
    </row>
    <row r="826" spans="1:33" ht="15.75" hidden="1" customHeight="1">
      <c r="A826" s="51"/>
      <c r="B826" s="51"/>
      <c r="C826" s="51"/>
      <c r="D826" s="51"/>
      <c r="E826" s="51"/>
      <c r="F826" s="51"/>
      <c r="G826" s="51"/>
      <c r="H826" s="55"/>
      <c r="I826" s="55"/>
      <c r="J826" s="55"/>
      <c r="K826" s="55"/>
      <c r="L826" s="55"/>
      <c r="M826" s="55"/>
      <c r="N826" s="55"/>
      <c r="O826" s="55"/>
      <c r="P826" s="55"/>
      <c r="Q826" s="51"/>
      <c r="R826" s="51"/>
      <c r="S826" s="51"/>
      <c r="T826" s="51"/>
      <c r="U826" s="51"/>
      <c r="V826" s="51"/>
      <c r="W826" s="51"/>
      <c r="X826" s="51"/>
      <c r="Y826" s="51"/>
      <c r="Z826" s="51"/>
      <c r="AA826" s="51"/>
      <c r="AB826" s="51"/>
      <c r="AC826" s="51"/>
      <c r="AD826" s="51" t="s">
        <v>3120</v>
      </c>
      <c r="AE826" s="51" t="s">
        <v>3121</v>
      </c>
      <c r="AF826" s="51" t="str">
        <f t="shared" si="9"/>
        <v>A679078</v>
      </c>
      <c r="AG826" s="51" t="str">
        <f>VLOOKUP(AF826,AKT!$C$4:$E$324,3,FALSE)</f>
        <v>0942</v>
      </c>
    </row>
    <row r="827" spans="1:33" ht="15.75" hidden="1" customHeight="1">
      <c r="A827" s="51"/>
      <c r="B827" s="51"/>
      <c r="C827" s="51"/>
      <c r="D827" s="51"/>
      <c r="E827" s="51"/>
      <c r="F827" s="51"/>
      <c r="G827" s="51"/>
      <c r="H827" s="55"/>
      <c r="I827" s="55"/>
      <c r="J827" s="55"/>
      <c r="K827" s="55"/>
      <c r="L827" s="55"/>
      <c r="M827" s="55"/>
      <c r="N827" s="55"/>
      <c r="O827" s="55"/>
      <c r="P827" s="55"/>
      <c r="Q827" s="51"/>
      <c r="R827" s="51"/>
      <c r="S827" s="51"/>
      <c r="T827" s="51"/>
      <c r="U827" s="51"/>
      <c r="V827" s="51"/>
      <c r="W827" s="51"/>
      <c r="X827" s="51"/>
      <c r="Y827" s="51"/>
      <c r="Z827" s="51"/>
      <c r="AA827" s="51"/>
      <c r="AB827" s="51"/>
      <c r="AC827" s="51"/>
      <c r="AD827" s="51" t="s">
        <v>3122</v>
      </c>
      <c r="AE827" s="51" t="s">
        <v>3123</v>
      </c>
      <c r="AF827" s="51" t="str">
        <f t="shared" si="9"/>
        <v>A679078</v>
      </c>
      <c r="AG827" s="51" t="str">
        <f>VLOOKUP(AF827,AKT!$C$4:$E$324,3,FALSE)</f>
        <v>0942</v>
      </c>
    </row>
    <row r="828" spans="1:33" ht="15.75" hidden="1" customHeight="1">
      <c r="A828" s="51"/>
      <c r="B828" s="51"/>
      <c r="C828" s="51"/>
      <c r="D828" s="51"/>
      <c r="E828" s="51"/>
      <c r="F828" s="51"/>
      <c r="G828" s="51"/>
      <c r="H828" s="55"/>
      <c r="I828" s="55"/>
      <c r="J828" s="55"/>
      <c r="K828" s="55"/>
      <c r="L828" s="55"/>
      <c r="M828" s="55"/>
      <c r="N828" s="55"/>
      <c r="O828" s="55"/>
      <c r="P828" s="55"/>
      <c r="Q828" s="51"/>
      <c r="R828" s="51"/>
      <c r="S828" s="51"/>
      <c r="T828" s="51"/>
      <c r="U828" s="51"/>
      <c r="V828" s="51"/>
      <c r="W828" s="51"/>
      <c r="X828" s="51"/>
      <c r="Y828" s="51"/>
      <c r="Z828" s="51"/>
      <c r="AA828" s="51"/>
      <c r="AB828" s="51"/>
      <c r="AC828" s="51"/>
      <c r="AD828" s="51" t="s">
        <v>3124</v>
      </c>
      <c r="AE828" s="51" t="s">
        <v>3125</v>
      </c>
      <c r="AF828" s="51" t="str">
        <f t="shared" si="9"/>
        <v>A679078</v>
      </c>
      <c r="AG828" s="51" t="str">
        <f>VLOOKUP(AF828,AKT!$C$4:$E$324,3,FALSE)</f>
        <v>0942</v>
      </c>
    </row>
    <row r="829" spans="1:33" ht="15.75" hidden="1" customHeight="1">
      <c r="A829" s="51"/>
      <c r="B829" s="51"/>
      <c r="C829" s="51"/>
      <c r="D829" s="51"/>
      <c r="E829" s="51"/>
      <c r="F829" s="51"/>
      <c r="G829" s="51"/>
      <c r="H829" s="55"/>
      <c r="I829" s="55"/>
      <c r="J829" s="55"/>
      <c r="K829" s="55"/>
      <c r="L829" s="55"/>
      <c r="M829" s="55"/>
      <c r="N829" s="55"/>
      <c r="O829" s="55"/>
      <c r="P829" s="55"/>
      <c r="Q829" s="51"/>
      <c r="R829" s="51"/>
      <c r="S829" s="51"/>
      <c r="T829" s="51"/>
      <c r="U829" s="51"/>
      <c r="V829" s="51"/>
      <c r="W829" s="51"/>
      <c r="X829" s="51"/>
      <c r="Y829" s="51"/>
      <c r="Z829" s="51"/>
      <c r="AA829" s="51"/>
      <c r="AB829" s="51"/>
      <c r="AC829" s="51"/>
      <c r="AD829" s="51" t="s">
        <v>3126</v>
      </c>
      <c r="AE829" s="51" t="s">
        <v>3127</v>
      </c>
      <c r="AF829" s="51" t="str">
        <f t="shared" si="9"/>
        <v>A679078</v>
      </c>
      <c r="AG829" s="51" t="str">
        <f>VLOOKUP(AF829,AKT!$C$4:$E$324,3,FALSE)</f>
        <v>0942</v>
      </c>
    </row>
    <row r="830" spans="1:33" ht="15.75" hidden="1" customHeight="1">
      <c r="A830" s="51"/>
      <c r="B830" s="51"/>
      <c r="C830" s="51"/>
      <c r="D830" s="51"/>
      <c r="E830" s="51"/>
      <c r="F830" s="51"/>
      <c r="G830" s="51"/>
      <c r="H830" s="55"/>
      <c r="I830" s="55"/>
      <c r="J830" s="55"/>
      <c r="K830" s="55"/>
      <c r="L830" s="55"/>
      <c r="M830" s="55"/>
      <c r="N830" s="55"/>
      <c r="O830" s="55"/>
      <c r="P830" s="55"/>
      <c r="Q830" s="51"/>
      <c r="R830" s="51"/>
      <c r="S830" s="51"/>
      <c r="T830" s="51"/>
      <c r="U830" s="51"/>
      <c r="V830" s="51"/>
      <c r="W830" s="51"/>
      <c r="X830" s="51"/>
      <c r="Y830" s="51"/>
      <c r="Z830" s="51"/>
      <c r="AA830" s="51"/>
      <c r="AB830" s="51"/>
      <c r="AC830" s="51"/>
      <c r="AD830" s="51" t="s">
        <v>3128</v>
      </c>
      <c r="AE830" s="51" t="s">
        <v>3129</v>
      </c>
      <c r="AF830" s="51" t="str">
        <f t="shared" si="9"/>
        <v>A679078</v>
      </c>
      <c r="AG830" s="51" t="str">
        <f>VLOOKUP(AF830,AKT!$C$4:$E$324,3,FALSE)</f>
        <v>0942</v>
      </c>
    </row>
    <row r="831" spans="1:33" ht="15.75" hidden="1" customHeight="1">
      <c r="A831" s="51"/>
      <c r="B831" s="51"/>
      <c r="C831" s="51"/>
      <c r="D831" s="51"/>
      <c r="E831" s="51"/>
      <c r="F831" s="51"/>
      <c r="G831" s="51"/>
      <c r="H831" s="55"/>
      <c r="I831" s="55"/>
      <c r="J831" s="55"/>
      <c r="K831" s="55"/>
      <c r="L831" s="55"/>
      <c r="M831" s="55"/>
      <c r="N831" s="55"/>
      <c r="O831" s="55"/>
      <c r="P831" s="55"/>
      <c r="Q831" s="51"/>
      <c r="R831" s="51"/>
      <c r="S831" s="51"/>
      <c r="T831" s="51"/>
      <c r="U831" s="51"/>
      <c r="V831" s="51"/>
      <c r="W831" s="51"/>
      <c r="X831" s="51"/>
      <c r="Y831" s="51"/>
      <c r="Z831" s="51"/>
      <c r="AA831" s="51"/>
      <c r="AB831" s="51"/>
      <c r="AC831" s="51"/>
      <c r="AD831" s="51" t="s">
        <v>3130</v>
      </c>
      <c r="AE831" s="51" t="s">
        <v>3131</v>
      </c>
      <c r="AF831" s="51" t="str">
        <f t="shared" si="9"/>
        <v>A679078</v>
      </c>
      <c r="AG831" s="51" t="str">
        <f>VLOOKUP(AF831,AKT!$C$4:$E$324,3,FALSE)</f>
        <v>0942</v>
      </c>
    </row>
    <row r="832" spans="1:33" ht="15.75" hidden="1" customHeight="1">
      <c r="A832" s="51"/>
      <c r="B832" s="51"/>
      <c r="C832" s="51"/>
      <c r="D832" s="51"/>
      <c r="E832" s="51"/>
      <c r="F832" s="51"/>
      <c r="G832" s="51"/>
      <c r="H832" s="55"/>
      <c r="I832" s="55"/>
      <c r="J832" s="55"/>
      <c r="K832" s="55"/>
      <c r="L832" s="55"/>
      <c r="M832" s="55"/>
      <c r="N832" s="55"/>
      <c r="O832" s="55"/>
      <c r="P832" s="55"/>
      <c r="Q832" s="51"/>
      <c r="R832" s="51"/>
      <c r="S832" s="51"/>
      <c r="T832" s="51"/>
      <c r="U832" s="51"/>
      <c r="V832" s="51"/>
      <c r="W832" s="51"/>
      <c r="X832" s="51"/>
      <c r="Y832" s="51"/>
      <c r="Z832" s="51"/>
      <c r="AA832" s="51"/>
      <c r="AB832" s="51"/>
      <c r="AC832" s="51"/>
      <c r="AD832" s="51" t="s">
        <v>3132</v>
      </c>
      <c r="AE832" s="51" t="s">
        <v>3133</v>
      </c>
      <c r="AF832" s="51" t="str">
        <f t="shared" si="9"/>
        <v>A679078</v>
      </c>
      <c r="AG832" s="51" t="str">
        <f>VLOOKUP(AF832,AKT!$C$4:$E$324,3,FALSE)</f>
        <v>0942</v>
      </c>
    </row>
    <row r="833" spans="1:33" ht="15.75" hidden="1" customHeight="1">
      <c r="A833" s="51"/>
      <c r="B833" s="51"/>
      <c r="C833" s="51"/>
      <c r="D833" s="51"/>
      <c r="E833" s="51"/>
      <c r="F833" s="51"/>
      <c r="G833" s="51"/>
      <c r="H833" s="55"/>
      <c r="I833" s="55"/>
      <c r="J833" s="55"/>
      <c r="K833" s="55"/>
      <c r="L833" s="55"/>
      <c r="M833" s="55"/>
      <c r="N833" s="55"/>
      <c r="O833" s="55"/>
      <c r="P833" s="55"/>
      <c r="Q833" s="51"/>
      <c r="R833" s="51"/>
      <c r="S833" s="51"/>
      <c r="T833" s="51"/>
      <c r="U833" s="51"/>
      <c r="V833" s="51"/>
      <c r="W833" s="51"/>
      <c r="X833" s="51"/>
      <c r="Y833" s="51"/>
      <c r="Z833" s="51"/>
      <c r="AA833" s="51"/>
      <c r="AB833" s="51"/>
      <c r="AC833" s="51"/>
      <c r="AD833" s="51" t="s">
        <v>3134</v>
      </c>
      <c r="AE833" s="51" t="s">
        <v>3135</v>
      </c>
      <c r="AF833" s="51" t="str">
        <f t="shared" si="9"/>
        <v>A679078</v>
      </c>
      <c r="AG833" s="51" t="str">
        <f>VLOOKUP(AF833,AKT!$C$4:$E$324,3,FALSE)</f>
        <v>0942</v>
      </c>
    </row>
    <row r="834" spans="1:33" ht="15.75" hidden="1" customHeight="1">
      <c r="A834" s="51"/>
      <c r="B834" s="51"/>
      <c r="C834" s="51"/>
      <c r="D834" s="51"/>
      <c r="E834" s="51"/>
      <c r="F834" s="51"/>
      <c r="G834" s="51"/>
      <c r="H834" s="55"/>
      <c r="I834" s="55"/>
      <c r="J834" s="55"/>
      <c r="K834" s="55"/>
      <c r="L834" s="55"/>
      <c r="M834" s="55"/>
      <c r="N834" s="55"/>
      <c r="O834" s="55"/>
      <c r="P834" s="55"/>
      <c r="Q834" s="51"/>
      <c r="R834" s="51"/>
      <c r="S834" s="51"/>
      <c r="T834" s="51"/>
      <c r="U834" s="51"/>
      <c r="V834" s="51"/>
      <c r="W834" s="51"/>
      <c r="X834" s="51"/>
      <c r="Y834" s="51"/>
      <c r="Z834" s="51"/>
      <c r="AA834" s="51"/>
      <c r="AB834" s="51"/>
      <c r="AC834" s="51"/>
      <c r="AD834" s="51" t="s">
        <v>3136</v>
      </c>
      <c r="AE834" s="51" t="s">
        <v>3137</v>
      </c>
      <c r="AF834" s="51" t="str">
        <f t="shared" si="9"/>
        <v>A679078</v>
      </c>
      <c r="AG834" s="51" t="str">
        <f>VLOOKUP(AF834,AKT!$C$4:$E$324,3,FALSE)</f>
        <v>0942</v>
      </c>
    </row>
    <row r="835" spans="1:33" ht="15.75" hidden="1" customHeight="1">
      <c r="A835" s="51"/>
      <c r="B835" s="51"/>
      <c r="C835" s="51"/>
      <c r="D835" s="51"/>
      <c r="E835" s="51"/>
      <c r="F835" s="51"/>
      <c r="G835" s="51"/>
      <c r="H835" s="55"/>
      <c r="I835" s="55"/>
      <c r="J835" s="55"/>
      <c r="K835" s="55"/>
      <c r="L835" s="55"/>
      <c r="M835" s="55"/>
      <c r="N835" s="55"/>
      <c r="O835" s="55"/>
      <c r="P835" s="55"/>
      <c r="Q835" s="51"/>
      <c r="R835" s="51"/>
      <c r="S835" s="51"/>
      <c r="T835" s="51"/>
      <c r="U835" s="51"/>
      <c r="V835" s="51"/>
      <c r="W835" s="51"/>
      <c r="X835" s="51"/>
      <c r="Y835" s="51"/>
      <c r="Z835" s="51"/>
      <c r="AA835" s="51"/>
      <c r="AB835" s="51"/>
      <c r="AC835" s="51"/>
      <c r="AD835" s="51" t="s">
        <v>3138</v>
      </c>
      <c r="AE835" s="51" t="s">
        <v>3139</v>
      </c>
      <c r="AF835" s="51" t="str">
        <f t="shared" si="9"/>
        <v>A679078</v>
      </c>
      <c r="AG835" s="51" t="str">
        <f>VLOOKUP(AF835,AKT!$C$4:$E$324,3,FALSE)</f>
        <v>0942</v>
      </c>
    </row>
    <row r="836" spans="1:33" ht="15.75" hidden="1" customHeight="1">
      <c r="A836" s="51"/>
      <c r="B836" s="51"/>
      <c r="C836" s="51"/>
      <c r="D836" s="51"/>
      <c r="E836" s="51"/>
      <c r="F836" s="51"/>
      <c r="G836" s="51"/>
      <c r="H836" s="55"/>
      <c r="I836" s="55"/>
      <c r="J836" s="55"/>
      <c r="K836" s="55"/>
      <c r="L836" s="55"/>
      <c r="M836" s="55"/>
      <c r="N836" s="55"/>
      <c r="O836" s="55"/>
      <c r="P836" s="55"/>
      <c r="Q836" s="51"/>
      <c r="R836" s="51"/>
      <c r="S836" s="51"/>
      <c r="T836" s="51"/>
      <c r="U836" s="51"/>
      <c r="V836" s="51"/>
      <c r="W836" s="51"/>
      <c r="X836" s="51"/>
      <c r="Y836" s="51"/>
      <c r="Z836" s="51"/>
      <c r="AA836" s="51"/>
      <c r="AB836" s="51"/>
      <c r="AC836" s="51"/>
      <c r="AD836" s="51" t="s">
        <v>3140</v>
      </c>
      <c r="AE836" s="51" t="s">
        <v>3141</v>
      </c>
      <c r="AF836" s="51" t="str">
        <f t="shared" si="9"/>
        <v>A679078</v>
      </c>
      <c r="AG836" s="51" t="str">
        <f>VLOOKUP(AF836,AKT!$C$4:$E$324,3,FALSE)</f>
        <v>0942</v>
      </c>
    </row>
    <row r="837" spans="1:33" ht="15.75" hidden="1" customHeight="1">
      <c r="A837" s="51"/>
      <c r="B837" s="51"/>
      <c r="C837" s="51"/>
      <c r="D837" s="51"/>
      <c r="E837" s="51"/>
      <c r="F837" s="51"/>
      <c r="G837" s="51"/>
      <c r="H837" s="55"/>
      <c r="I837" s="55"/>
      <c r="J837" s="55"/>
      <c r="K837" s="55"/>
      <c r="L837" s="55"/>
      <c r="M837" s="55"/>
      <c r="N837" s="55"/>
      <c r="O837" s="55"/>
      <c r="P837" s="55"/>
      <c r="Q837" s="51"/>
      <c r="R837" s="51"/>
      <c r="S837" s="51"/>
      <c r="T837" s="51"/>
      <c r="U837" s="51"/>
      <c r="V837" s="51"/>
      <c r="W837" s="51"/>
      <c r="X837" s="51"/>
      <c r="Y837" s="51"/>
      <c r="Z837" s="51"/>
      <c r="AA837" s="51"/>
      <c r="AB837" s="51"/>
      <c r="AC837" s="51"/>
      <c r="AD837" s="51" t="s">
        <v>3142</v>
      </c>
      <c r="AE837" s="51" t="s">
        <v>3003</v>
      </c>
      <c r="AF837" s="51" t="str">
        <f t="shared" si="9"/>
        <v>A679078</v>
      </c>
      <c r="AG837" s="51" t="str">
        <f>VLOOKUP(AF837,AKT!$C$4:$E$324,3,FALSE)</f>
        <v>0942</v>
      </c>
    </row>
    <row r="838" spans="1:33" ht="15.75" hidden="1" customHeight="1">
      <c r="A838" s="51"/>
      <c r="B838" s="51"/>
      <c r="C838" s="51"/>
      <c r="D838" s="51"/>
      <c r="E838" s="51"/>
      <c r="F838" s="51"/>
      <c r="G838" s="51"/>
      <c r="H838" s="55"/>
      <c r="I838" s="55"/>
      <c r="J838" s="55"/>
      <c r="K838" s="55"/>
      <c r="L838" s="55"/>
      <c r="M838" s="55"/>
      <c r="N838" s="55"/>
      <c r="O838" s="55"/>
      <c r="P838" s="55"/>
      <c r="Q838" s="51"/>
      <c r="R838" s="51"/>
      <c r="S838" s="51"/>
      <c r="T838" s="51"/>
      <c r="U838" s="51"/>
      <c r="V838" s="51"/>
      <c r="W838" s="51"/>
      <c r="X838" s="51"/>
      <c r="Y838" s="51"/>
      <c r="Z838" s="51"/>
      <c r="AA838" s="51"/>
      <c r="AB838" s="51"/>
      <c r="AC838" s="51"/>
      <c r="AD838" s="51" t="s">
        <v>3143</v>
      </c>
      <c r="AE838" s="51" t="s">
        <v>2043</v>
      </c>
      <c r="AF838" s="51" t="str">
        <f t="shared" si="9"/>
        <v>A679078</v>
      </c>
      <c r="AG838" s="51" t="str">
        <f>VLOOKUP(AF838,AKT!$C$4:$E$324,3,FALSE)</f>
        <v>0942</v>
      </c>
    </row>
    <row r="839" spans="1:33" ht="15.75" hidden="1" customHeight="1">
      <c r="A839" s="51"/>
      <c r="B839" s="51"/>
      <c r="C839" s="51"/>
      <c r="D839" s="51"/>
      <c r="E839" s="51"/>
      <c r="F839" s="51"/>
      <c r="G839" s="51"/>
      <c r="H839" s="55"/>
      <c r="I839" s="55"/>
      <c r="J839" s="55"/>
      <c r="K839" s="55"/>
      <c r="L839" s="55"/>
      <c r="M839" s="55"/>
      <c r="N839" s="55"/>
      <c r="O839" s="55"/>
      <c r="P839" s="55"/>
      <c r="Q839" s="51"/>
      <c r="R839" s="51"/>
      <c r="S839" s="51"/>
      <c r="T839" s="51"/>
      <c r="U839" s="51"/>
      <c r="V839" s="51"/>
      <c r="W839" s="51"/>
      <c r="X839" s="51"/>
      <c r="Y839" s="51"/>
      <c r="Z839" s="51"/>
      <c r="AA839" s="51"/>
      <c r="AB839" s="51"/>
      <c r="AC839" s="51"/>
      <c r="AD839" s="51" t="s">
        <v>3144</v>
      </c>
      <c r="AE839" s="51" t="s">
        <v>3145</v>
      </c>
      <c r="AF839" s="51" t="str">
        <f t="shared" si="9"/>
        <v>A679078</v>
      </c>
      <c r="AG839" s="51" t="str">
        <f>VLOOKUP(AF839,AKT!$C$4:$E$324,3,FALSE)</f>
        <v>0942</v>
      </c>
    </row>
    <row r="840" spans="1:33" ht="15.75" hidden="1" customHeight="1">
      <c r="A840" s="51"/>
      <c r="B840" s="51"/>
      <c r="C840" s="51"/>
      <c r="D840" s="51"/>
      <c r="E840" s="51"/>
      <c r="F840" s="51"/>
      <c r="G840" s="51"/>
      <c r="H840" s="55"/>
      <c r="I840" s="55"/>
      <c r="J840" s="55"/>
      <c r="K840" s="55"/>
      <c r="L840" s="55"/>
      <c r="M840" s="55"/>
      <c r="N840" s="55"/>
      <c r="O840" s="55"/>
      <c r="P840" s="55"/>
      <c r="Q840" s="51"/>
      <c r="R840" s="51"/>
      <c r="S840" s="51"/>
      <c r="T840" s="51"/>
      <c r="U840" s="51"/>
      <c r="V840" s="51"/>
      <c r="W840" s="51"/>
      <c r="X840" s="51"/>
      <c r="Y840" s="51"/>
      <c r="Z840" s="51"/>
      <c r="AA840" s="51"/>
      <c r="AB840" s="51"/>
      <c r="AC840" s="51"/>
      <c r="AD840" s="51" t="s">
        <v>3146</v>
      </c>
      <c r="AE840" s="51" t="s">
        <v>3147</v>
      </c>
      <c r="AF840" s="51" t="str">
        <f t="shared" si="9"/>
        <v>A679078</v>
      </c>
      <c r="AG840" s="51" t="str">
        <f>VLOOKUP(AF840,AKT!$C$4:$E$324,3,FALSE)</f>
        <v>0942</v>
      </c>
    </row>
    <row r="841" spans="1:33" ht="15.75" hidden="1" customHeight="1">
      <c r="A841" s="51"/>
      <c r="B841" s="51"/>
      <c r="C841" s="51"/>
      <c r="D841" s="51"/>
      <c r="E841" s="51"/>
      <c r="F841" s="51"/>
      <c r="G841" s="51"/>
      <c r="H841" s="55"/>
      <c r="I841" s="55"/>
      <c r="J841" s="55"/>
      <c r="K841" s="55"/>
      <c r="L841" s="55"/>
      <c r="M841" s="55"/>
      <c r="N841" s="55"/>
      <c r="O841" s="55"/>
      <c r="P841" s="55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 t="s">
        <v>3148</v>
      </c>
      <c r="AE841" s="51" t="s">
        <v>3149</v>
      </c>
      <c r="AF841" s="51" t="str">
        <f t="shared" si="9"/>
        <v>A679078</v>
      </c>
      <c r="AG841" s="51" t="str">
        <f>VLOOKUP(AF841,AKT!$C$4:$E$324,3,FALSE)</f>
        <v>0942</v>
      </c>
    </row>
    <row r="842" spans="1:33" ht="15.75" hidden="1" customHeight="1">
      <c r="A842" s="51"/>
      <c r="B842" s="51"/>
      <c r="C842" s="51"/>
      <c r="D842" s="51"/>
      <c r="E842" s="51"/>
      <c r="F842" s="51"/>
      <c r="G842" s="51"/>
      <c r="H842" s="55"/>
      <c r="I842" s="55"/>
      <c r="J842" s="55"/>
      <c r="K842" s="55"/>
      <c r="L842" s="55"/>
      <c r="M842" s="55"/>
      <c r="N842" s="55"/>
      <c r="O842" s="55"/>
      <c r="P842" s="55"/>
      <c r="Q842" s="51"/>
      <c r="R842" s="51"/>
      <c r="S842" s="51"/>
      <c r="T842" s="51"/>
      <c r="U842" s="51"/>
      <c r="V842" s="51"/>
      <c r="W842" s="51"/>
      <c r="X842" s="51"/>
      <c r="Y842" s="51"/>
      <c r="Z842" s="51"/>
      <c r="AA842" s="51"/>
      <c r="AB842" s="51"/>
      <c r="AC842" s="51"/>
      <c r="AD842" s="51" t="s">
        <v>3150</v>
      </c>
      <c r="AE842" s="51" t="s">
        <v>3151</v>
      </c>
      <c r="AF842" s="51" t="str">
        <f t="shared" si="9"/>
        <v>A679078</v>
      </c>
      <c r="AG842" s="51" t="str">
        <f>VLOOKUP(AF842,AKT!$C$4:$E$324,3,FALSE)</f>
        <v>0942</v>
      </c>
    </row>
    <row r="843" spans="1:33" ht="15.75" hidden="1" customHeight="1">
      <c r="A843" s="51"/>
      <c r="B843" s="51"/>
      <c r="C843" s="51"/>
      <c r="D843" s="51"/>
      <c r="E843" s="51"/>
      <c r="F843" s="51"/>
      <c r="G843" s="51"/>
      <c r="H843" s="55"/>
      <c r="I843" s="55"/>
      <c r="J843" s="55"/>
      <c r="K843" s="55"/>
      <c r="L843" s="55"/>
      <c r="M843" s="55"/>
      <c r="N843" s="55"/>
      <c r="O843" s="55"/>
      <c r="P843" s="55"/>
      <c r="Q843" s="51"/>
      <c r="R843" s="51"/>
      <c r="S843" s="51"/>
      <c r="T843" s="51"/>
      <c r="U843" s="51"/>
      <c r="V843" s="51"/>
      <c r="W843" s="51"/>
      <c r="X843" s="51"/>
      <c r="Y843" s="51"/>
      <c r="Z843" s="51"/>
      <c r="AA843" s="51"/>
      <c r="AB843" s="51"/>
      <c r="AC843" s="51"/>
      <c r="AD843" s="51" t="s">
        <v>3152</v>
      </c>
      <c r="AE843" s="51" t="s">
        <v>3153</v>
      </c>
      <c r="AF843" s="51" t="str">
        <f t="shared" si="9"/>
        <v>A679078</v>
      </c>
      <c r="AG843" s="51" t="str">
        <f>VLOOKUP(AF843,AKT!$C$4:$E$324,3,FALSE)</f>
        <v>0942</v>
      </c>
    </row>
    <row r="844" spans="1:33" ht="15.75" hidden="1" customHeight="1">
      <c r="A844" s="51"/>
      <c r="B844" s="51"/>
      <c r="C844" s="51"/>
      <c r="D844" s="51"/>
      <c r="E844" s="51"/>
      <c r="F844" s="51"/>
      <c r="G844" s="51"/>
      <c r="H844" s="55"/>
      <c r="I844" s="55"/>
      <c r="J844" s="55"/>
      <c r="K844" s="55"/>
      <c r="L844" s="55"/>
      <c r="M844" s="55"/>
      <c r="N844" s="55"/>
      <c r="O844" s="55"/>
      <c r="P844" s="55"/>
      <c r="Q844" s="51"/>
      <c r="R844" s="51"/>
      <c r="S844" s="51"/>
      <c r="T844" s="51"/>
      <c r="U844" s="51"/>
      <c r="V844" s="51"/>
      <c r="W844" s="51"/>
      <c r="X844" s="51"/>
      <c r="Y844" s="51"/>
      <c r="Z844" s="51"/>
      <c r="AA844" s="51"/>
      <c r="AB844" s="51"/>
      <c r="AC844" s="51"/>
      <c r="AD844" s="51" t="s">
        <v>3154</v>
      </c>
      <c r="AE844" s="51" t="s">
        <v>3155</v>
      </c>
      <c r="AF844" s="51" t="str">
        <f t="shared" si="9"/>
        <v>A679078</v>
      </c>
      <c r="AG844" s="51" t="str">
        <f>VLOOKUP(AF844,AKT!$C$4:$E$324,3,FALSE)</f>
        <v>0942</v>
      </c>
    </row>
    <row r="845" spans="1:33" ht="15.75" hidden="1" customHeight="1">
      <c r="A845" s="51"/>
      <c r="B845" s="51"/>
      <c r="C845" s="51"/>
      <c r="D845" s="51"/>
      <c r="E845" s="51"/>
      <c r="F845" s="51"/>
      <c r="G845" s="51"/>
      <c r="H845" s="55"/>
      <c r="I845" s="55"/>
      <c r="J845" s="55"/>
      <c r="K845" s="55"/>
      <c r="L845" s="55"/>
      <c r="M845" s="55"/>
      <c r="N845" s="55"/>
      <c r="O845" s="55"/>
      <c r="P845" s="55"/>
      <c r="Q845" s="51"/>
      <c r="R845" s="51"/>
      <c r="S845" s="51"/>
      <c r="T845" s="51"/>
      <c r="U845" s="51"/>
      <c r="V845" s="51"/>
      <c r="W845" s="51"/>
      <c r="X845" s="51"/>
      <c r="Y845" s="51"/>
      <c r="Z845" s="51"/>
      <c r="AA845" s="51"/>
      <c r="AB845" s="51"/>
      <c r="AC845" s="51"/>
      <c r="AD845" s="51" t="s">
        <v>3156</v>
      </c>
      <c r="AE845" s="51" t="s">
        <v>2678</v>
      </c>
      <c r="AF845" s="51" t="str">
        <f t="shared" si="9"/>
        <v>A679078</v>
      </c>
      <c r="AG845" s="51" t="str">
        <f>VLOOKUP(AF845,AKT!$C$4:$E$324,3,FALSE)</f>
        <v>0942</v>
      </c>
    </row>
    <row r="846" spans="1:33" ht="15.75" hidden="1" customHeight="1">
      <c r="A846" s="51"/>
      <c r="B846" s="51"/>
      <c r="C846" s="51"/>
      <c r="D846" s="51"/>
      <c r="E846" s="51"/>
      <c r="F846" s="51"/>
      <c r="G846" s="51"/>
      <c r="H846" s="55"/>
      <c r="I846" s="55"/>
      <c r="J846" s="55"/>
      <c r="K846" s="55"/>
      <c r="L846" s="55"/>
      <c r="M846" s="55"/>
      <c r="N846" s="55"/>
      <c r="O846" s="55"/>
      <c r="P846" s="55"/>
      <c r="Q846" s="51"/>
      <c r="R846" s="51"/>
      <c r="S846" s="51"/>
      <c r="T846" s="51"/>
      <c r="U846" s="51"/>
      <c r="V846" s="51"/>
      <c r="W846" s="51"/>
      <c r="X846" s="51"/>
      <c r="Y846" s="51"/>
      <c r="Z846" s="51"/>
      <c r="AA846" s="51"/>
      <c r="AB846" s="51"/>
      <c r="AC846" s="51"/>
      <c r="AD846" s="51" t="s">
        <v>3157</v>
      </c>
      <c r="AE846" s="51" t="s">
        <v>3158</v>
      </c>
      <c r="AF846" s="51" t="str">
        <f t="shared" si="9"/>
        <v>A679078</v>
      </c>
      <c r="AG846" s="51" t="str">
        <f>VLOOKUP(AF846,AKT!$C$4:$E$324,3,FALSE)</f>
        <v>0942</v>
      </c>
    </row>
    <row r="847" spans="1:33" ht="15.75" hidden="1" customHeight="1">
      <c r="A847" s="51"/>
      <c r="B847" s="51"/>
      <c r="C847" s="51"/>
      <c r="D847" s="51"/>
      <c r="E847" s="51"/>
      <c r="F847" s="51"/>
      <c r="G847" s="51"/>
      <c r="H847" s="55"/>
      <c r="I847" s="55"/>
      <c r="J847" s="55"/>
      <c r="K847" s="55"/>
      <c r="L847" s="55"/>
      <c r="M847" s="55"/>
      <c r="N847" s="55"/>
      <c r="O847" s="55"/>
      <c r="P847" s="55"/>
      <c r="Q847" s="51"/>
      <c r="R847" s="51"/>
      <c r="S847" s="51"/>
      <c r="T847" s="51"/>
      <c r="U847" s="51"/>
      <c r="V847" s="51"/>
      <c r="W847" s="51"/>
      <c r="X847" s="51"/>
      <c r="Y847" s="51"/>
      <c r="Z847" s="51"/>
      <c r="AA847" s="51"/>
      <c r="AB847" s="51"/>
      <c r="AC847" s="51"/>
      <c r="AD847" s="51" t="s">
        <v>3159</v>
      </c>
      <c r="AE847" s="51" t="s">
        <v>3160</v>
      </c>
      <c r="AF847" s="51" t="str">
        <f t="shared" si="9"/>
        <v>A679078</v>
      </c>
      <c r="AG847" s="51" t="str">
        <f>VLOOKUP(AF847,AKT!$C$4:$E$324,3,FALSE)</f>
        <v>0942</v>
      </c>
    </row>
    <row r="848" spans="1:33" ht="15.75" hidden="1" customHeight="1">
      <c r="A848" s="51"/>
      <c r="B848" s="51"/>
      <c r="C848" s="51"/>
      <c r="D848" s="51"/>
      <c r="E848" s="51"/>
      <c r="F848" s="51"/>
      <c r="G848" s="51"/>
      <c r="H848" s="55"/>
      <c r="I848" s="55"/>
      <c r="J848" s="55"/>
      <c r="K848" s="55"/>
      <c r="L848" s="55"/>
      <c r="M848" s="55"/>
      <c r="N848" s="55"/>
      <c r="O848" s="55"/>
      <c r="P848" s="55"/>
      <c r="Q848" s="51"/>
      <c r="R848" s="51"/>
      <c r="S848" s="51"/>
      <c r="T848" s="51"/>
      <c r="U848" s="51"/>
      <c r="V848" s="51"/>
      <c r="W848" s="51"/>
      <c r="X848" s="51"/>
      <c r="Y848" s="51"/>
      <c r="Z848" s="51"/>
      <c r="AA848" s="51"/>
      <c r="AB848" s="51"/>
      <c r="AC848" s="51"/>
      <c r="AD848" s="51" t="s">
        <v>3161</v>
      </c>
      <c r="AE848" s="51" t="s">
        <v>3162</v>
      </c>
      <c r="AF848" s="51" t="str">
        <f t="shared" si="9"/>
        <v>A679078</v>
      </c>
      <c r="AG848" s="51" t="str">
        <f>VLOOKUP(AF848,AKT!$C$4:$E$324,3,FALSE)</f>
        <v>0942</v>
      </c>
    </row>
    <row r="849" spans="1:33" ht="15.75" hidden="1" customHeight="1">
      <c r="A849" s="51"/>
      <c r="B849" s="51"/>
      <c r="C849" s="51"/>
      <c r="D849" s="51"/>
      <c r="E849" s="51"/>
      <c r="F849" s="51"/>
      <c r="G849" s="51"/>
      <c r="H849" s="55"/>
      <c r="I849" s="55"/>
      <c r="J849" s="55"/>
      <c r="K849" s="55"/>
      <c r="L849" s="55"/>
      <c r="M849" s="55"/>
      <c r="N849" s="55"/>
      <c r="O849" s="55"/>
      <c r="P849" s="55"/>
      <c r="Q849" s="51"/>
      <c r="R849" s="51"/>
      <c r="S849" s="51"/>
      <c r="T849" s="51"/>
      <c r="U849" s="51"/>
      <c r="V849" s="51"/>
      <c r="W849" s="51"/>
      <c r="X849" s="51"/>
      <c r="Y849" s="51"/>
      <c r="Z849" s="51"/>
      <c r="AA849" s="51"/>
      <c r="AB849" s="51"/>
      <c r="AC849" s="51"/>
      <c r="AD849" s="51" t="s">
        <v>3163</v>
      </c>
      <c r="AE849" s="51" t="s">
        <v>3164</v>
      </c>
      <c r="AF849" s="51" t="str">
        <f t="shared" si="9"/>
        <v>A679078</v>
      </c>
      <c r="AG849" s="51" t="str">
        <f>VLOOKUP(AF849,AKT!$C$4:$E$324,3,FALSE)</f>
        <v>0942</v>
      </c>
    </row>
    <row r="850" spans="1:33" ht="15.75" hidden="1" customHeight="1">
      <c r="A850" s="51"/>
      <c r="B850" s="51"/>
      <c r="C850" s="51"/>
      <c r="D850" s="51"/>
      <c r="E850" s="51"/>
      <c r="F850" s="51"/>
      <c r="G850" s="51"/>
      <c r="H850" s="55"/>
      <c r="I850" s="55"/>
      <c r="J850" s="55"/>
      <c r="K850" s="55"/>
      <c r="L850" s="55"/>
      <c r="M850" s="55"/>
      <c r="N850" s="55"/>
      <c r="O850" s="55"/>
      <c r="P850" s="55"/>
      <c r="Q850" s="51"/>
      <c r="R850" s="51"/>
      <c r="S850" s="51"/>
      <c r="T850" s="51"/>
      <c r="U850" s="51"/>
      <c r="V850" s="51"/>
      <c r="W850" s="51"/>
      <c r="X850" s="51"/>
      <c r="Y850" s="51"/>
      <c r="Z850" s="51"/>
      <c r="AA850" s="51"/>
      <c r="AB850" s="51"/>
      <c r="AC850" s="51"/>
      <c r="AD850" s="51" t="s">
        <v>3165</v>
      </c>
      <c r="AE850" s="51" t="s">
        <v>3166</v>
      </c>
      <c r="AF850" s="51" t="str">
        <f t="shared" si="9"/>
        <v>A679078</v>
      </c>
      <c r="AG850" s="51" t="str">
        <f>VLOOKUP(AF850,AKT!$C$4:$E$324,3,FALSE)</f>
        <v>0942</v>
      </c>
    </row>
    <row r="851" spans="1:33" ht="15.75" hidden="1" customHeight="1">
      <c r="A851" s="51"/>
      <c r="B851" s="51"/>
      <c r="C851" s="51"/>
      <c r="D851" s="51"/>
      <c r="E851" s="51"/>
      <c r="F851" s="51"/>
      <c r="G851" s="51"/>
      <c r="H851" s="55"/>
      <c r="I851" s="55"/>
      <c r="J851" s="55"/>
      <c r="K851" s="55"/>
      <c r="L851" s="55"/>
      <c r="M851" s="55"/>
      <c r="N851" s="55"/>
      <c r="O851" s="55"/>
      <c r="P851" s="55"/>
      <c r="Q851" s="51"/>
      <c r="R851" s="51"/>
      <c r="S851" s="51"/>
      <c r="T851" s="51"/>
      <c r="U851" s="51"/>
      <c r="V851" s="51"/>
      <c r="W851" s="51"/>
      <c r="X851" s="51"/>
      <c r="Y851" s="51"/>
      <c r="Z851" s="51"/>
      <c r="AA851" s="51"/>
      <c r="AB851" s="51"/>
      <c r="AC851" s="51"/>
      <c r="AD851" s="51" t="s">
        <v>3167</v>
      </c>
      <c r="AE851" s="51" t="s">
        <v>3168</v>
      </c>
      <c r="AF851" s="51" t="str">
        <f t="shared" si="9"/>
        <v>A679078</v>
      </c>
      <c r="AG851" s="51" t="str">
        <f>VLOOKUP(AF851,AKT!$C$4:$E$324,3,FALSE)</f>
        <v>0942</v>
      </c>
    </row>
    <row r="852" spans="1:33" ht="15.75" hidden="1" customHeight="1">
      <c r="A852" s="51"/>
      <c r="B852" s="51"/>
      <c r="C852" s="51"/>
      <c r="D852" s="51"/>
      <c r="E852" s="51"/>
      <c r="F852" s="51"/>
      <c r="G852" s="51"/>
      <c r="H852" s="55"/>
      <c r="I852" s="55"/>
      <c r="J852" s="55"/>
      <c r="K852" s="55"/>
      <c r="L852" s="55"/>
      <c r="M852" s="55"/>
      <c r="N852" s="55"/>
      <c r="O852" s="55"/>
      <c r="P852" s="55"/>
      <c r="Q852" s="51"/>
      <c r="R852" s="51"/>
      <c r="S852" s="51"/>
      <c r="T852" s="51"/>
      <c r="U852" s="51"/>
      <c r="V852" s="51"/>
      <c r="W852" s="51"/>
      <c r="X852" s="51"/>
      <c r="Y852" s="51"/>
      <c r="Z852" s="51"/>
      <c r="AA852" s="51"/>
      <c r="AB852" s="51"/>
      <c r="AC852" s="51"/>
      <c r="AD852" s="51" t="s">
        <v>3169</v>
      </c>
      <c r="AE852" s="51" t="s">
        <v>3170</v>
      </c>
      <c r="AF852" s="51" t="str">
        <f t="shared" si="9"/>
        <v>A679078</v>
      </c>
      <c r="AG852" s="51" t="str">
        <f>VLOOKUP(AF852,AKT!$C$4:$E$324,3,FALSE)</f>
        <v>0942</v>
      </c>
    </row>
    <row r="853" spans="1:33" ht="15.75" hidden="1" customHeight="1">
      <c r="A853" s="51"/>
      <c r="B853" s="51"/>
      <c r="C853" s="51"/>
      <c r="D853" s="51"/>
      <c r="E853" s="51"/>
      <c r="F853" s="51"/>
      <c r="G853" s="51"/>
      <c r="H853" s="55"/>
      <c r="I853" s="55"/>
      <c r="J853" s="55"/>
      <c r="K853" s="55"/>
      <c r="L853" s="55"/>
      <c r="M853" s="55"/>
      <c r="N853" s="55"/>
      <c r="O853" s="55"/>
      <c r="P853" s="55"/>
      <c r="Q853" s="51"/>
      <c r="R853" s="51"/>
      <c r="S853" s="51"/>
      <c r="T853" s="51"/>
      <c r="U853" s="51"/>
      <c r="V853" s="51"/>
      <c r="W853" s="51"/>
      <c r="X853" s="51"/>
      <c r="Y853" s="51"/>
      <c r="Z853" s="51"/>
      <c r="AA853" s="51"/>
      <c r="AB853" s="51"/>
      <c r="AC853" s="51"/>
      <c r="AD853" s="51" t="s">
        <v>3171</v>
      </c>
      <c r="AE853" s="51" t="s">
        <v>3172</v>
      </c>
      <c r="AF853" s="51" t="str">
        <f t="shared" si="9"/>
        <v>A679078</v>
      </c>
      <c r="AG853" s="51" t="str">
        <f>VLOOKUP(AF853,AKT!$C$4:$E$324,3,FALSE)</f>
        <v>0942</v>
      </c>
    </row>
    <row r="854" spans="1:33" ht="15.75" hidden="1" customHeight="1">
      <c r="A854" s="51"/>
      <c r="B854" s="51"/>
      <c r="C854" s="51"/>
      <c r="D854" s="51"/>
      <c r="E854" s="51"/>
      <c r="F854" s="51"/>
      <c r="G854" s="51"/>
      <c r="H854" s="55"/>
      <c r="I854" s="55"/>
      <c r="J854" s="55"/>
      <c r="K854" s="55"/>
      <c r="L854" s="55"/>
      <c r="M854" s="55"/>
      <c r="N854" s="55"/>
      <c r="O854" s="55"/>
      <c r="P854" s="55"/>
      <c r="Q854" s="51"/>
      <c r="R854" s="51"/>
      <c r="S854" s="51"/>
      <c r="T854" s="51"/>
      <c r="U854" s="51"/>
      <c r="V854" s="51"/>
      <c r="W854" s="51"/>
      <c r="X854" s="51"/>
      <c r="Y854" s="51"/>
      <c r="Z854" s="51"/>
      <c r="AA854" s="51"/>
      <c r="AB854" s="51"/>
      <c r="AC854" s="51"/>
      <c r="AD854" s="51" t="s">
        <v>3173</v>
      </c>
      <c r="AE854" s="51" t="s">
        <v>3174</v>
      </c>
      <c r="AF854" s="51" t="str">
        <f t="shared" si="9"/>
        <v>A679078</v>
      </c>
      <c r="AG854" s="51" t="str">
        <f>VLOOKUP(AF854,AKT!$C$4:$E$324,3,FALSE)</f>
        <v>0942</v>
      </c>
    </row>
    <row r="855" spans="1:33" ht="15.75" hidden="1" customHeight="1">
      <c r="A855" s="51"/>
      <c r="B855" s="51"/>
      <c r="C855" s="51"/>
      <c r="D855" s="51"/>
      <c r="E855" s="51"/>
      <c r="F855" s="51"/>
      <c r="G855" s="51"/>
      <c r="H855" s="55"/>
      <c r="I855" s="55"/>
      <c r="J855" s="55"/>
      <c r="K855" s="55"/>
      <c r="L855" s="55"/>
      <c r="M855" s="55"/>
      <c r="N855" s="55"/>
      <c r="O855" s="55"/>
      <c r="P855" s="55"/>
      <c r="Q855" s="51"/>
      <c r="R855" s="51"/>
      <c r="S855" s="51"/>
      <c r="T855" s="51"/>
      <c r="U855" s="51"/>
      <c r="V855" s="51"/>
      <c r="W855" s="51"/>
      <c r="X855" s="51"/>
      <c r="Y855" s="51"/>
      <c r="Z855" s="51"/>
      <c r="AA855" s="51"/>
      <c r="AB855" s="51"/>
      <c r="AC855" s="51"/>
      <c r="AD855" s="51" t="s">
        <v>3175</v>
      </c>
      <c r="AE855" s="51" t="s">
        <v>3176</v>
      </c>
      <c r="AF855" s="51" t="str">
        <f t="shared" si="9"/>
        <v>A679078</v>
      </c>
      <c r="AG855" s="51" t="str">
        <f>VLOOKUP(AF855,AKT!$C$4:$E$324,3,FALSE)</f>
        <v>0942</v>
      </c>
    </row>
    <row r="856" spans="1:33" ht="15.75" hidden="1" customHeight="1">
      <c r="A856" s="51"/>
      <c r="B856" s="51"/>
      <c r="C856" s="51"/>
      <c r="D856" s="51"/>
      <c r="E856" s="51"/>
      <c r="F856" s="51"/>
      <c r="G856" s="51"/>
      <c r="H856" s="55"/>
      <c r="I856" s="55"/>
      <c r="J856" s="55"/>
      <c r="K856" s="55"/>
      <c r="L856" s="55"/>
      <c r="M856" s="55"/>
      <c r="N856" s="55"/>
      <c r="O856" s="55"/>
      <c r="P856" s="55"/>
      <c r="Q856" s="51"/>
      <c r="R856" s="51"/>
      <c r="S856" s="51"/>
      <c r="T856" s="51"/>
      <c r="U856" s="51"/>
      <c r="V856" s="51"/>
      <c r="W856" s="51"/>
      <c r="X856" s="51"/>
      <c r="Y856" s="51"/>
      <c r="Z856" s="51"/>
      <c r="AA856" s="51"/>
      <c r="AB856" s="51"/>
      <c r="AC856" s="51"/>
      <c r="AD856" s="51" t="s">
        <v>3177</v>
      </c>
      <c r="AE856" s="51" t="s">
        <v>3178</v>
      </c>
      <c r="AF856" s="51" t="str">
        <f t="shared" si="9"/>
        <v>A679078</v>
      </c>
      <c r="AG856" s="51" t="str">
        <f>VLOOKUP(AF856,AKT!$C$4:$E$324,3,FALSE)</f>
        <v>0942</v>
      </c>
    </row>
    <row r="857" spans="1:33" ht="15.75" hidden="1" customHeight="1">
      <c r="A857" s="51"/>
      <c r="B857" s="51"/>
      <c r="C857" s="51"/>
      <c r="D857" s="51"/>
      <c r="E857" s="51"/>
      <c r="F857" s="51"/>
      <c r="G857" s="51"/>
      <c r="H857" s="55"/>
      <c r="I857" s="55"/>
      <c r="J857" s="55"/>
      <c r="K857" s="55"/>
      <c r="L857" s="55"/>
      <c r="M857" s="55"/>
      <c r="N857" s="55"/>
      <c r="O857" s="55"/>
      <c r="P857" s="55"/>
      <c r="Q857" s="51"/>
      <c r="R857" s="51"/>
      <c r="S857" s="51"/>
      <c r="T857" s="51"/>
      <c r="U857" s="51"/>
      <c r="V857" s="51"/>
      <c r="W857" s="51"/>
      <c r="X857" s="51"/>
      <c r="Y857" s="51"/>
      <c r="Z857" s="51"/>
      <c r="AA857" s="51"/>
      <c r="AB857" s="51"/>
      <c r="AC857" s="51"/>
      <c r="AD857" s="51" t="s">
        <v>3179</v>
      </c>
      <c r="AE857" s="51" t="s">
        <v>3180</v>
      </c>
      <c r="AF857" s="51" t="str">
        <f t="shared" si="9"/>
        <v>A679078</v>
      </c>
      <c r="AG857" s="51" t="str">
        <f>VLOOKUP(AF857,AKT!$C$4:$E$324,3,FALSE)</f>
        <v>0942</v>
      </c>
    </row>
    <row r="858" spans="1:33" ht="15.75" hidden="1" customHeight="1">
      <c r="A858" s="51"/>
      <c r="B858" s="51"/>
      <c r="C858" s="51"/>
      <c r="D858" s="51"/>
      <c r="E858" s="51"/>
      <c r="F858" s="51"/>
      <c r="G858" s="51"/>
      <c r="H858" s="55"/>
      <c r="I858" s="55"/>
      <c r="J858" s="55"/>
      <c r="K858" s="55"/>
      <c r="L858" s="55"/>
      <c r="M858" s="55"/>
      <c r="N858" s="55"/>
      <c r="O858" s="55"/>
      <c r="P858" s="55"/>
      <c r="Q858" s="51"/>
      <c r="R858" s="51"/>
      <c r="S858" s="51"/>
      <c r="T858" s="51"/>
      <c r="U858" s="51"/>
      <c r="V858" s="51"/>
      <c r="W858" s="51"/>
      <c r="X858" s="51"/>
      <c r="Y858" s="51"/>
      <c r="Z858" s="51"/>
      <c r="AA858" s="51"/>
      <c r="AB858" s="51"/>
      <c r="AC858" s="51"/>
      <c r="AD858" s="51" t="s">
        <v>3181</v>
      </c>
      <c r="AE858" s="51" t="s">
        <v>3182</v>
      </c>
      <c r="AF858" s="51" t="str">
        <f t="shared" si="9"/>
        <v>A679078</v>
      </c>
      <c r="AG858" s="51" t="str">
        <f>VLOOKUP(AF858,AKT!$C$4:$E$324,3,FALSE)</f>
        <v>0942</v>
      </c>
    </row>
    <row r="859" spans="1:33" ht="15.75" hidden="1" customHeight="1">
      <c r="A859" s="51"/>
      <c r="B859" s="51"/>
      <c r="C859" s="51"/>
      <c r="D859" s="51"/>
      <c r="E859" s="51"/>
      <c r="F859" s="51"/>
      <c r="G859" s="51"/>
      <c r="H859" s="55"/>
      <c r="I859" s="55"/>
      <c r="J859" s="55"/>
      <c r="K859" s="55"/>
      <c r="L859" s="55"/>
      <c r="M859" s="55"/>
      <c r="N859" s="55"/>
      <c r="O859" s="55"/>
      <c r="P859" s="55"/>
      <c r="Q859" s="51"/>
      <c r="R859" s="51"/>
      <c r="S859" s="51"/>
      <c r="T859" s="51"/>
      <c r="U859" s="51"/>
      <c r="V859" s="51"/>
      <c r="W859" s="51"/>
      <c r="X859" s="51"/>
      <c r="Y859" s="51"/>
      <c r="Z859" s="51"/>
      <c r="AA859" s="51"/>
      <c r="AB859" s="51"/>
      <c r="AC859" s="51"/>
      <c r="AD859" s="51" t="s">
        <v>3183</v>
      </c>
      <c r="AE859" s="51" t="s">
        <v>3184</v>
      </c>
      <c r="AF859" s="51" t="str">
        <f t="shared" si="9"/>
        <v>A679078</v>
      </c>
      <c r="AG859" s="51" t="str">
        <f>VLOOKUP(AF859,AKT!$C$4:$E$324,3,FALSE)</f>
        <v>0942</v>
      </c>
    </row>
    <row r="860" spans="1:33" ht="15.75" hidden="1" customHeight="1">
      <c r="A860" s="51"/>
      <c r="B860" s="51"/>
      <c r="C860" s="51"/>
      <c r="D860" s="51"/>
      <c r="E860" s="51"/>
      <c r="F860" s="51"/>
      <c r="G860" s="51"/>
      <c r="H860" s="55"/>
      <c r="I860" s="55"/>
      <c r="J860" s="55"/>
      <c r="K860" s="55"/>
      <c r="L860" s="55"/>
      <c r="M860" s="55"/>
      <c r="N860" s="55"/>
      <c r="O860" s="55"/>
      <c r="P860" s="55"/>
      <c r="Q860" s="51"/>
      <c r="R860" s="51"/>
      <c r="S860" s="51"/>
      <c r="T860" s="51"/>
      <c r="U860" s="51"/>
      <c r="V860" s="51"/>
      <c r="W860" s="51"/>
      <c r="X860" s="51"/>
      <c r="Y860" s="51"/>
      <c r="Z860" s="51"/>
      <c r="AA860" s="51"/>
      <c r="AB860" s="51"/>
      <c r="AC860" s="51"/>
      <c r="AD860" s="51" t="s">
        <v>3185</v>
      </c>
      <c r="AE860" s="51" t="s">
        <v>3186</v>
      </c>
      <c r="AF860" s="51" t="str">
        <f t="shared" si="9"/>
        <v>A679078</v>
      </c>
      <c r="AG860" s="51" t="str">
        <f>VLOOKUP(AF860,AKT!$C$4:$E$324,3,FALSE)</f>
        <v>0942</v>
      </c>
    </row>
    <row r="861" spans="1:33" ht="15.75" hidden="1" customHeight="1">
      <c r="A861" s="51"/>
      <c r="B861" s="51"/>
      <c r="C861" s="51"/>
      <c r="D861" s="51"/>
      <c r="E861" s="51"/>
      <c r="F861" s="51"/>
      <c r="G861" s="51"/>
      <c r="H861" s="55"/>
      <c r="I861" s="55"/>
      <c r="J861" s="55"/>
      <c r="K861" s="55"/>
      <c r="L861" s="55"/>
      <c r="M861" s="55"/>
      <c r="N861" s="55"/>
      <c r="O861" s="55"/>
      <c r="P861" s="55"/>
      <c r="Q861" s="51"/>
      <c r="R861" s="51"/>
      <c r="S861" s="51"/>
      <c r="T861" s="51"/>
      <c r="U861" s="51"/>
      <c r="V861" s="51"/>
      <c r="W861" s="51"/>
      <c r="X861" s="51"/>
      <c r="Y861" s="51"/>
      <c r="Z861" s="51"/>
      <c r="AA861" s="51"/>
      <c r="AB861" s="51"/>
      <c r="AC861" s="51"/>
      <c r="AD861" s="51" t="s">
        <v>3187</v>
      </c>
      <c r="AE861" s="51" t="s">
        <v>3188</v>
      </c>
      <c r="AF861" s="51" t="str">
        <f t="shared" si="9"/>
        <v>A679078</v>
      </c>
      <c r="AG861" s="51" t="str">
        <f>VLOOKUP(AF861,AKT!$C$4:$E$324,3,FALSE)</f>
        <v>0942</v>
      </c>
    </row>
    <row r="862" spans="1:33" ht="15.75" hidden="1" customHeight="1">
      <c r="A862" s="51"/>
      <c r="B862" s="51"/>
      <c r="C862" s="51"/>
      <c r="D862" s="51"/>
      <c r="E862" s="51"/>
      <c r="F862" s="51"/>
      <c r="G862" s="51"/>
      <c r="H862" s="55"/>
      <c r="I862" s="55"/>
      <c r="J862" s="55"/>
      <c r="K862" s="55"/>
      <c r="L862" s="55"/>
      <c r="M862" s="55"/>
      <c r="N862" s="55"/>
      <c r="O862" s="55"/>
      <c r="P862" s="55"/>
      <c r="Q862" s="51"/>
      <c r="R862" s="51"/>
      <c r="S862" s="51"/>
      <c r="T862" s="51"/>
      <c r="U862" s="51"/>
      <c r="V862" s="51"/>
      <c r="W862" s="51"/>
      <c r="X862" s="51"/>
      <c r="Y862" s="51"/>
      <c r="Z862" s="51"/>
      <c r="AA862" s="51"/>
      <c r="AB862" s="51"/>
      <c r="AC862" s="51"/>
      <c r="AD862" s="51" t="s">
        <v>3189</v>
      </c>
      <c r="AE862" s="51" t="s">
        <v>3190</v>
      </c>
      <c r="AF862" s="51" t="str">
        <f t="shared" si="9"/>
        <v>A679078</v>
      </c>
      <c r="AG862" s="51" t="str">
        <f>VLOOKUP(AF862,AKT!$C$4:$E$324,3,FALSE)</f>
        <v>0942</v>
      </c>
    </row>
    <row r="863" spans="1:33" ht="15.75" hidden="1" customHeight="1">
      <c r="A863" s="51"/>
      <c r="B863" s="51"/>
      <c r="C863" s="51"/>
      <c r="D863" s="51"/>
      <c r="E863" s="51"/>
      <c r="F863" s="51"/>
      <c r="G863" s="51"/>
      <c r="H863" s="55"/>
      <c r="I863" s="55"/>
      <c r="J863" s="55"/>
      <c r="K863" s="55"/>
      <c r="L863" s="55"/>
      <c r="M863" s="55"/>
      <c r="N863" s="55"/>
      <c r="O863" s="55"/>
      <c r="P863" s="55"/>
      <c r="Q863" s="51"/>
      <c r="R863" s="51"/>
      <c r="S863" s="51"/>
      <c r="T863" s="51"/>
      <c r="U863" s="51"/>
      <c r="V863" s="51"/>
      <c r="W863" s="51"/>
      <c r="X863" s="51"/>
      <c r="Y863" s="51"/>
      <c r="Z863" s="51"/>
      <c r="AA863" s="51"/>
      <c r="AB863" s="51"/>
      <c r="AC863" s="51"/>
      <c r="AD863" s="51" t="s">
        <v>3191</v>
      </c>
      <c r="AE863" s="51" t="s">
        <v>3192</v>
      </c>
      <c r="AF863" s="51" t="str">
        <f t="shared" si="9"/>
        <v>A679078</v>
      </c>
      <c r="AG863" s="51" t="str">
        <f>VLOOKUP(AF863,AKT!$C$4:$E$324,3,FALSE)</f>
        <v>0942</v>
      </c>
    </row>
    <row r="864" spans="1:33" ht="15.75" hidden="1" customHeight="1">
      <c r="A864" s="51"/>
      <c r="B864" s="51"/>
      <c r="C864" s="51"/>
      <c r="D864" s="51"/>
      <c r="E864" s="51"/>
      <c r="F864" s="51"/>
      <c r="G864" s="51"/>
      <c r="H864" s="55"/>
      <c r="I864" s="55"/>
      <c r="J864" s="55"/>
      <c r="K864" s="55"/>
      <c r="L864" s="55"/>
      <c r="M864" s="55"/>
      <c r="N864" s="55"/>
      <c r="O864" s="55"/>
      <c r="P864" s="55"/>
      <c r="Q864" s="51"/>
      <c r="R864" s="51"/>
      <c r="S864" s="51"/>
      <c r="T864" s="51"/>
      <c r="U864" s="51"/>
      <c r="V864" s="51"/>
      <c r="W864" s="51"/>
      <c r="X864" s="51"/>
      <c r="Y864" s="51"/>
      <c r="Z864" s="51"/>
      <c r="AA864" s="51"/>
      <c r="AB864" s="51"/>
      <c r="AC864" s="51"/>
      <c r="AD864" s="51" t="s">
        <v>3193</v>
      </c>
      <c r="AE864" s="51" t="s">
        <v>3194</v>
      </c>
      <c r="AF864" s="51" t="str">
        <f t="shared" si="9"/>
        <v>A679078</v>
      </c>
      <c r="AG864" s="51" t="str">
        <f>VLOOKUP(AF864,AKT!$C$4:$E$324,3,FALSE)</f>
        <v>0942</v>
      </c>
    </row>
    <row r="865" spans="1:33" ht="15.75" hidden="1" customHeight="1">
      <c r="A865" s="51"/>
      <c r="B865" s="51"/>
      <c r="C865" s="51"/>
      <c r="D865" s="51"/>
      <c r="E865" s="51"/>
      <c r="F865" s="51"/>
      <c r="G865" s="51"/>
      <c r="H865" s="55"/>
      <c r="I865" s="55"/>
      <c r="J865" s="55"/>
      <c r="K865" s="55"/>
      <c r="L865" s="55"/>
      <c r="M865" s="55"/>
      <c r="N865" s="55"/>
      <c r="O865" s="55"/>
      <c r="P865" s="55"/>
      <c r="Q865" s="51"/>
      <c r="R865" s="51"/>
      <c r="S865" s="51"/>
      <c r="T865" s="51"/>
      <c r="U865" s="51"/>
      <c r="V865" s="51"/>
      <c r="W865" s="51"/>
      <c r="X865" s="51"/>
      <c r="Y865" s="51"/>
      <c r="Z865" s="51"/>
      <c r="AA865" s="51"/>
      <c r="AB865" s="51"/>
      <c r="AC865" s="51"/>
      <c r="AD865" s="51" t="s">
        <v>3195</v>
      </c>
      <c r="AE865" s="51" t="s">
        <v>3196</v>
      </c>
      <c r="AF865" s="51" t="str">
        <f t="shared" si="9"/>
        <v>A679078</v>
      </c>
      <c r="AG865" s="51" t="str">
        <f>VLOOKUP(AF865,AKT!$C$4:$E$324,3,FALSE)</f>
        <v>0942</v>
      </c>
    </row>
    <row r="866" spans="1:33" ht="15.75" hidden="1" customHeight="1">
      <c r="A866" s="51"/>
      <c r="B866" s="51"/>
      <c r="C866" s="51"/>
      <c r="D866" s="51"/>
      <c r="E866" s="51"/>
      <c r="F866" s="51"/>
      <c r="G866" s="51"/>
      <c r="H866" s="55"/>
      <c r="I866" s="55"/>
      <c r="J866" s="55"/>
      <c r="K866" s="55"/>
      <c r="L866" s="55"/>
      <c r="M866" s="55"/>
      <c r="N866" s="55"/>
      <c r="O866" s="55"/>
      <c r="P866" s="55"/>
      <c r="Q866" s="51"/>
      <c r="R866" s="51"/>
      <c r="S866" s="51"/>
      <c r="T866" s="51"/>
      <c r="U866" s="51"/>
      <c r="V866" s="51"/>
      <c r="W866" s="51"/>
      <c r="X866" s="51"/>
      <c r="Y866" s="51"/>
      <c r="Z866" s="51"/>
      <c r="AA866" s="51"/>
      <c r="AB866" s="51"/>
      <c r="AC866" s="51"/>
      <c r="AD866" s="51" t="s">
        <v>3197</v>
      </c>
      <c r="AE866" s="51" t="s">
        <v>3198</v>
      </c>
      <c r="AF866" s="51" t="str">
        <f t="shared" si="9"/>
        <v>A679078</v>
      </c>
      <c r="AG866" s="51" t="str">
        <f>VLOOKUP(AF866,AKT!$C$4:$E$324,3,FALSE)</f>
        <v>0942</v>
      </c>
    </row>
    <row r="867" spans="1:33" ht="15.75" hidden="1" customHeight="1">
      <c r="A867" s="51"/>
      <c r="B867" s="51"/>
      <c r="C867" s="51"/>
      <c r="D867" s="51"/>
      <c r="E867" s="51"/>
      <c r="F867" s="51"/>
      <c r="G867" s="51"/>
      <c r="H867" s="55"/>
      <c r="I867" s="55"/>
      <c r="J867" s="55"/>
      <c r="K867" s="55"/>
      <c r="L867" s="55"/>
      <c r="M867" s="55"/>
      <c r="N867" s="55"/>
      <c r="O867" s="55"/>
      <c r="P867" s="55"/>
      <c r="Q867" s="51"/>
      <c r="R867" s="51"/>
      <c r="S867" s="51"/>
      <c r="T867" s="51"/>
      <c r="U867" s="51"/>
      <c r="V867" s="51"/>
      <c r="W867" s="51"/>
      <c r="X867" s="51"/>
      <c r="Y867" s="51"/>
      <c r="Z867" s="51"/>
      <c r="AA867" s="51"/>
      <c r="AB867" s="51"/>
      <c r="AC867" s="51"/>
      <c r="AD867" s="51" t="s">
        <v>3199</v>
      </c>
      <c r="AE867" s="51" t="s">
        <v>3200</v>
      </c>
      <c r="AF867" s="51" t="str">
        <f t="shared" si="9"/>
        <v>A679078</v>
      </c>
      <c r="AG867" s="51" t="str">
        <f>VLOOKUP(AF867,AKT!$C$4:$E$324,3,FALSE)</f>
        <v>0942</v>
      </c>
    </row>
    <row r="868" spans="1:33" ht="15.75" hidden="1" customHeight="1">
      <c r="A868" s="51"/>
      <c r="B868" s="51"/>
      <c r="C868" s="51"/>
      <c r="D868" s="51"/>
      <c r="E868" s="51"/>
      <c r="F868" s="51"/>
      <c r="G868" s="51"/>
      <c r="H868" s="55"/>
      <c r="I868" s="55"/>
      <c r="J868" s="55"/>
      <c r="K868" s="55"/>
      <c r="L868" s="55"/>
      <c r="M868" s="55"/>
      <c r="N868" s="55"/>
      <c r="O868" s="55"/>
      <c r="P868" s="55"/>
      <c r="Q868" s="51"/>
      <c r="R868" s="51"/>
      <c r="S868" s="51"/>
      <c r="T868" s="51"/>
      <c r="U868" s="51"/>
      <c r="V868" s="51"/>
      <c r="W868" s="51"/>
      <c r="X868" s="51"/>
      <c r="Y868" s="51"/>
      <c r="Z868" s="51"/>
      <c r="AA868" s="51"/>
      <c r="AB868" s="51"/>
      <c r="AC868" s="51"/>
      <c r="AD868" s="51" t="s">
        <v>3201</v>
      </c>
      <c r="AE868" s="51" t="s">
        <v>3202</v>
      </c>
      <c r="AF868" s="51" t="str">
        <f t="shared" si="9"/>
        <v>A679078</v>
      </c>
      <c r="AG868" s="51" t="str">
        <f>VLOOKUP(AF868,AKT!$C$4:$E$324,3,FALSE)</f>
        <v>0942</v>
      </c>
    </row>
    <row r="869" spans="1:33" ht="15.75" hidden="1" customHeight="1">
      <c r="A869" s="51"/>
      <c r="B869" s="51"/>
      <c r="C869" s="51"/>
      <c r="D869" s="51"/>
      <c r="E869" s="51"/>
      <c r="F869" s="51"/>
      <c r="G869" s="51"/>
      <c r="H869" s="55"/>
      <c r="I869" s="55"/>
      <c r="J869" s="55"/>
      <c r="K869" s="55"/>
      <c r="L869" s="55"/>
      <c r="M869" s="55"/>
      <c r="N869" s="55"/>
      <c r="O869" s="55"/>
      <c r="P869" s="55"/>
      <c r="Q869" s="51"/>
      <c r="R869" s="51"/>
      <c r="S869" s="51"/>
      <c r="T869" s="51"/>
      <c r="U869" s="51"/>
      <c r="V869" s="51"/>
      <c r="W869" s="51"/>
      <c r="X869" s="51"/>
      <c r="Y869" s="51"/>
      <c r="Z869" s="51"/>
      <c r="AA869" s="51"/>
      <c r="AB869" s="51"/>
      <c r="AC869" s="51"/>
      <c r="AD869" s="51" t="s">
        <v>3203</v>
      </c>
      <c r="AE869" s="51" t="s">
        <v>3204</v>
      </c>
      <c r="AF869" s="51" t="str">
        <f t="shared" si="9"/>
        <v>A679078</v>
      </c>
      <c r="AG869" s="51" t="str">
        <f>VLOOKUP(AF869,AKT!$C$4:$E$324,3,FALSE)</f>
        <v>0942</v>
      </c>
    </row>
    <row r="870" spans="1:33" ht="15.75" hidden="1" customHeight="1">
      <c r="A870" s="51"/>
      <c r="B870" s="51"/>
      <c r="C870" s="51"/>
      <c r="D870" s="51"/>
      <c r="E870" s="51"/>
      <c r="F870" s="51"/>
      <c r="G870" s="51"/>
      <c r="H870" s="55"/>
      <c r="I870" s="55"/>
      <c r="J870" s="55"/>
      <c r="K870" s="55"/>
      <c r="L870" s="55"/>
      <c r="M870" s="55"/>
      <c r="N870" s="55"/>
      <c r="O870" s="55"/>
      <c r="P870" s="55"/>
      <c r="Q870" s="51"/>
      <c r="R870" s="51"/>
      <c r="S870" s="51"/>
      <c r="T870" s="51"/>
      <c r="U870" s="51"/>
      <c r="V870" s="51"/>
      <c r="W870" s="51"/>
      <c r="X870" s="51"/>
      <c r="Y870" s="51"/>
      <c r="Z870" s="51"/>
      <c r="AA870" s="51"/>
      <c r="AB870" s="51"/>
      <c r="AC870" s="51"/>
      <c r="AD870" s="51" t="s">
        <v>3205</v>
      </c>
      <c r="AE870" s="51" t="s">
        <v>3206</v>
      </c>
      <c r="AF870" s="51" t="str">
        <f t="shared" si="9"/>
        <v>A679078</v>
      </c>
      <c r="AG870" s="51" t="str">
        <f>VLOOKUP(AF870,AKT!$C$4:$E$324,3,FALSE)</f>
        <v>0942</v>
      </c>
    </row>
    <row r="871" spans="1:33" ht="15.75" hidden="1" customHeight="1">
      <c r="A871" s="51"/>
      <c r="B871" s="51"/>
      <c r="C871" s="51"/>
      <c r="D871" s="51"/>
      <c r="E871" s="51"/>
      <c r="F871" s="51"/>
      <c r="G871" s="51"/>
      <c r="H871" s="55"/>
      <c r="I871" s="55"/>
      <c r="J871" s="55"/>
      <c r="K871" s="55"/>
      <c r="L871" s="55"/>
      <c r="M871" s="55"/>
      <c r="N871" s="55"/>
      <c r="O871" s="55"/>
      <c r="P871" s="55"/>
      <c r="Q871" s="51"/>
      <c r="R871" s="51"/>
      <c r="S871" s="51"/>
      <c r="T871" s="51"/>
      <c r="U871" s="51"/>
      <c r="V871" s="51"/>
      <c r="W871" s="51"/>
      <c r="X871" s="51"/>
      <c r="Y871" s="51"/>
      <c r="Z871" s="51"/>
      <c r="AA871" s="51"/>
      <c r="AB871" s="51"/>
      <c r="AC871" s="51"/>
      <c r="AD871" s="51" t="s">
        <v>3207</v>
      </c>
      <c r="AE871" s="51" t="s">
        <v>3208</v>
      </c>
      <c r="AF871" s="51" t="str">
        <f t="shared" si="9"/>
        <v>A679078</v>
      </c>
      <c r="AG871" s="51" t="str">
        <f>VLOOKUP(AF871,AKT!$C$4:$E$324,3,FALSE)</f>
        <v>0942</v>
      </c>
    </row>
    <row r="872" spans="1:33" ht="15.75" hidden="1" customHeight="1">
      <c r="A872" s="51"/>
      <c r="B872" s="51"/>
      <c r="C872" s="51"/>
      <c r="D872" s="51"/>
      <c r="E872" s="51"/>
      <c r="F872" s="51"/>
      <c r="G872" s="51"/>
      <c r="H872" s="55"/>
      <c r="I872" s="55"/>
      <c r="J872" s="55"/>
      <c r="K872" s="55"/>
      <c r="L872" s="55"/>
      <c r="M872" s="55"/>
      <c r="N872" s="55"/>
      <c r="O872" s="55"/>
      <c r="P872" s="55"/>
      <c r="Q872" s="51"/>
      <c r="R872" s="51"/>
      <c r="S872" s="51"/>
      <c r="T872" s="51"/>
      <c r="U872" s="51"/>
      <c r="V872" s="51"/>
      <c r="W872" s="51"/>
      <c r="X872" s="51"/>
      <c r="Y872" s="51"/>
      <c r="Z872" s="51"/>
      <c r="AA872" s="51"/>
      <c r="AB872" s="51"/>
      <c r="AC872" s="51"/>
      <c r="AD872" s="51" t="s">
        <v>3209</v>
      </c>
      <c r="AE872" s="51" t="s">
        <v>3210</v>
      </c>
      <c r="AF872" s="51" t="str">
        <f t="shared" si="9"/>
        <v>A679078</v>
      </c>
      <c r="AG872" s="51" t="str">
        <f>VLOOKUP(AF872,AKT!$C$4:$E$324,3,FALSE)</f>
        <v>0942</v>
      </c>
    </row>
    <row r="873" spans="1:33" ht="15.75" hidden="1" customHeight="1">
      <c r="A873" s="51"/>
      <c r="B873" s="51"/>
      <c r="C873" s="51"/>
      <c r="D873" s="51"/>
      <c r="E873" s="51"/>
      <c r="F873" s="51"/>
      <c r="G873" s="51"/>
      <c r="H873" s="55"/>
      <c r="I873" s="55"/>
      <c r="J873" s="55"/>
      <c r="K873" s="55"/>
      <c r="L873" s="55"/>
      <c r="M873" s="55"/>
      <c r="N873" s="55"/>
      <c r="O873" s="55"/>
      <c r="P873" s="55"/>
      <c r="Q873" s="51"/>
      <c r="R873" s="51"/>
      <c r="S873" s="51"/>
      <c r="T873" s="51"/>
      <c r="U873" s="51"/>
      <c r="V873" s="51"/>
      <c r="W873" s="51"/>
      <c r="X873" s="51"/>
      <c r="Y873" s="51"/>
      <c r="Z873" s="51"/>
      <c r="AA873" s="51"/>
      <c r="AB873" s="51"/>
      <c r="AC873" s="51"/>
      <c r="AD873" s="51" t="s">
        <v>3211</v>
      </c>
      <c r="AE873" s="51" t="s">
        <v>3212</v>
      </c>
      <c r="AF873" s="51" t="str">
        <f t="shared" si="9"/>
        <v>A679078</v>
      </c>
      <c r="AG873" s="51" t="str">
        <f>VLOOKUP(AF873,AKT!$C$4:$E$324,3,FALSE)</f>
        <v>0942</v>
      </c>
    </row>
    <row r="874" spans="1:33" ht="15.75" hidden="1" customHeight="1">
      <c r="A874" s="51"/>
      <c r="B874" s="51"/>
      <c r="C874" s="51"/>
      <c r="D874" s="51"/>
      <c r="E874" s="51"/>
      <c r="F874" s="51"/>
      <c r="G874" s="51"/>
      <c r="H874" s="55"/>
      <c r="I874" s="55"/>
      <c r="J874" s="55"/>
      <c r="K874" s="55"/>
      <c r="L874" s="55"/>
      <c r="M874" s="55"/>
      <c r="N874" s="55"/>
      <c r="O874" s="55"/>
      <c r="P874" s="55"/>
      <c r="Q874" s="51"/>
      <c r="R874" s="51"/>
      <c r="S874" s="51"/>
      <c r="T874" s="51"/>
      <c r="U874" s="51"/>
      <c r="V874" s="51"/>
      <c r="W874" s="51"/>
      <c r="X874" s="51"/>
      <c r="Y874" s="51"/>
      <c r="Z874" s="51"/>
      <c r="AA874" s="51"/>
      <c r="AB874" s="51"/>
      <c r="AC874" s="51"/>
      <c r="AD874" s="51" t="s">
        <v>3213</v>
      </c>
      <c r="AE874" s="51" t="s">
        <v>3214</v>
      </c>
      <c r="AF874" s="51" t="str">
        <f t="shared" si="9"/>
        <v>A679078</v>
      </c>
      <c r="AG874" s="51" t="str">
        <f>VLOOKUP(AF874,AKT!$C$4:$E$324,3,FALSE)</f>
        <v>0942</v>
      </c>
    </row>
    <row r="875" spans="1:33" ht="15.75" hidden="1" customHeight="1">
      <c r="A875" s="51"/>
      <c r="B875" s="51"/>
      <c r="C875" s="51"/>
      <c r="D875" s="51"/>
      <c r="E875" s="51"/>
      <c r="F875" s="51"/>
      <c r="G875" s="51"/>
      <c r="H875" s="55"/>
      <c r="I875" s="55"/>
      <c r="J875" s="55"/>
      <c r="K875" s="55"/>
      <c r="L875" s="55"/>
      <c r="M875" s="55"/>
      <c r="N875" s="55"/>
      <c r="O875" s="55"/>
      <c r="P875" s="55"/>
      <c r="Q875" s="51"/>
      <c r="R875" s="51"/>
      <c r="S875" s="51"/>
      <c r="T875" s="51"/>
      <c r="U875" s="51"/>
      <c r="V875" s="51"/>
      <c r="W875" s="51"/>
      <c r="X875" s="51"/>
      <c r="Y875" s="51"/>
      <c r="Z875" s="51"/>
      <c r="AA875" s="51"/>
      <c r="AB875" s="51"/>
      <c r="AC875" s="51"/>
      <c r="AD875" s="51" t="s">
        <v>3215</v>
      </c>
      <c r="AE875" s="51" t="s">
        <v>3216</v>
      </c>
      <c r="AF875" s="51" t="str">
        <f t="shared" si="9"/>
        <v>A679078</v>
      </c>
      <c r="AG875" s="51" t="str">
        <f>VLOOKUP(AF875,AKT!$C$4:$E$324,3,FALSE)</f>
        <v>0942</v>
      </c>
    </row>
    <row r="876" spans="1:33" ht="15.75" hidden="1" customHeight="1">
      <c r="A876" s="51"/>
      <c r="B876" s="51"/>
      <c r="C876" s="51"/>
      <c r="D876" s="51"/>
      <c r="E876" s="51"/>
      <c r="F876" s="51"/>
      <c r="G876" s="51"/>
      <c r="H876" s="55"/>
      <c r="I876" s="55"/>
      <c r="J876" s="55"/>
      <c r="K876" s="55"/>
      <c r="L876" s="55"/>
      <c r="M876" s="55"/>
      <c r="N876" s="55"/>
      <c r="O876" s="55"/>
      <c r="P876" s="55"/>
      <c r="Q876" s="51"/>
      <c r="R876" s="51"/>
      <c r="S876" s="51"/>
      <c r="T876" s="51"/>
      <c r="U876" s="51"/>
      <c r="V876" s="51"/>
      <c r="W876" s="51"/>
      <c r="X876" s="51"/>
      <c r="Y876" s="51"/>
      <c r="Z876" s="51"/>
      <c r="AA876" s="51"/>
      <c r="AB876" s="51"/>
      <c r="AC876" s="51"/>
      <c r="AD876" s="51" t="s">
        <v>3217</v>
      </c>
      <c r="AE876" s="51" t="s">
        <v>3218</v>
      </c>
      <c r="AF876" s="51" t="str">
        <f t="shared" si="9"/>
        <v>A679078</v>
      </c>
      <c r="AG876" s="51" t="str">
        <f>VLOOKUP(AF876,AKT!$C$4:$E$324,3,FALSE)</f>
        <v>0942</v>
      </c>
    </row>
    <row r="877" spans="1:33" ht="15.75" hidden="1" customHeight="1">
      <c r="A877" s="51"/>
      <c r="B877" s="51"/>
      <c r="C877" s="51"/>
      <c r="D877" s="51"/>
      <c r="E877" s="51"/>
      <c r="F877" s="51"/>
      <c r="G877" s="51"/>
      <c r="H877" s="55"/>
      <c r="I877" s="55"/>
      <c r="J877" s="55"/>
      <c r="K877" s="55"/>
      <c r="L877" s="55"/>
      <c r="M877" s="55"/>
      <c r="N877" s="55"/>
      <c r="O877" s="55"/>
      <c r="P877" s="55"/>
      <c r="Q877" s="51"/>
      <c r="R877" s="51"/>
      <c r="S877" s="51"/>
      <c r="T877" s="51"/>
      <c r="U877" s="51"/>
      <c r="V877" s="51"/>
      <c r="W877" s="51"/>
      <c r="X877" s="51"/>
      <c r="Y877" s="51"/>
      <c r="Z877" s="51"/>
      <c r="AA877" s="51"/>
      <c r="AB877" s="51"/>
      <c r="AC877" s="51"/>
      <c r="AD877" s="51" t="s">
        <v>3219</v>
      </c>
      <c r="AE877" s="51" t="s">
        <v>3220</v>
      </c>
      <c r="AF877" s="51" t="str">
        <f t="shared" si="9"/>
        <v>A679078</v>
      </c>
      <c r="AG877" s="51" t="str">
        <f>VLOOKUP(AF877,AKT!$C$4:$E$324,3,FALSE)</f>
        <v>0942</v>
      </c>
    </row>
    <row r="878" spans="1:33" ht="15.75" hidden="1" customHeight="1">
      <c r="A878" s="51"/>
      <c r="B878" s="51"/>
      <c r="C878" s="51"/>
      <c r="D878" s="51"/>
      <c r="E878" s="51"/>
      <c r="F878" s="51"/>
      <c r="G878" s="51"/>
      <c r="H878" s="55"/>
      <c r="I878" s="55"/>
      <c r="J878" s="55"/>
      <c r="K878" s="55"/>
      <c r="L878" s="55"/>
      <c r="M878" s="55"/>
      <c r="N878" s="55"/>
      <c r="O878" s="55"/>
      <c r="P878" s="55"/>
      <c r="Q878" s="51"/>
      <c r="R878" s="51"/>
      <c r="S878" s="51"/>
      <c r="T878" s="51"/>
      <c r="U878" s="51"/>
      <c r="V878" s="51"/>
      <c r="W878" s="51"/>
      <c r="X878" s="51"/>
      <c r="Y878" s="51"/>
      <c r="Z878" s="51"/>
      <c r="AA878" s="51"/>
      <c r="AB878" s="51"/>
      <c r="AC878" s="51"/>
      <c r="AD878" s="51" t="s">
        <v>3221</v>
      </c>
      <c r="AE878" s="51" t="s">
        <v>3222</v>
      </c>
      <c r="AF878" s="51" t="str">
        <f t="shared" si="9"/>
        <v>A679078</v>
      </c>
      <c r="AG878" s="51" t="str">
        <f>VLOOKUP(AF878,AKT!$C$4:$E$324,3,FALSE)</f>
        <v>0942</v>
      </c>
    </row>
    <row r="879" spans="1:33" ht="15.75" hidden="1" customHeight="1">
      <c r="A879" s="51"/>
      <c r="B879" s="51"/>
      <c r="C879" s="51"/>
      <c r="D879" s="51"/>
      <c r="E879" s="51"/>
      <c r="F879" s="51"/>
      <c r="G879" s="51"/>
      <c r="H879" s="55"/>
      <c r="I879" s="55"/>
      <c r="J879" s="55"/>
      <c r="K879" s="55"/>
      <c r="L879" s="55"/>
      <c r="M879" s="55"/>
      <c r="N879" s="55"/>
      <c r="O879" s="55"/>
      <c r="P879" s="55"/>
      <c r="Q879" s="51"/>
      <c r="R879" s="51"/>
      <c r="S879" s="51"/>
      <c r="T879" s="51"/>
      <c r="U879" s="51"/>
      <c r="V879" s="51"/>
      <c r="W879" s="51"/>
      <c r="X879" s="51"/>
      <c r="Y879" s="51"/>
      <c r="Z879" s="51"/>
      <c r="AA879" s="51"/>
      <c r="AB879" s="51"/>
      <c r="AC879" s="51"/>
      <c r="AD879" s="51" t="s">
        <v>3223</v>
      </c>
      <c r="AE879" s="51" t="s">
        <v>3224</v>
      </c>
      <c r="AF879" s="51" t="str">
        <f t="shared" si="9"/>
        <v>A679078</v>
      </c>
      <c r="AG879" s="51" t="str">
        <f>VLOOKUP(AF879,AKT!$C$4:$E$324,3,FALSE)</f>
        <v>0942</v>
      </c>
    </row>
    <row r="880" spans="1:33" ht="15.75" hidden="1" customHeight="1">
      <c r="A880" s="51"/>
      <c r="B880" s="51"/>
      <c r="C880" s="51"/>
      <c r="D880" s="51"/>
      <c r="E880" s="51"/>
      <c r="F880" s="51"/>
      <c r="G880" s="51"/>
      <c r="H880" s="55"/>
      <c r="I880" s="55"/>
      <c r="J880" s="55"/>
      <c r="K880" s="55"/>
      <c r="L880" s="55"/>
      <c r="M880" s="55"/>
      <c r="N880" s="55"/>
      <c r="O880" s="55"/>
      <c r="P880" s="55"/>
      <c r="Q880" s="51"/>
      <c r="R880" s="51"/>
      <c r="S880" s="51"/>
      <c r="T880" s="51"/>
      <c r="U880" s="51"/>
      <c r="V880" s="51"/>
      <c r="W880" s="51"/>
      <c r="X880" s="51"/>
      <c r="Y880" s="51"/>
      <c r="Z880" s="51"/>
      <c r="AA880" s="51"/>
      <c r="AB880" s="51"/>
      <c r="AC880" s="51"/>
      <c r="AD880" s="51" t="s">
        <v>3225</v>
      </c>
      <c r="AE880" s="51" t="s">
        <v>3226</v>
      </c>
      <c r="AF880" s="51" t="str">
        <f t="shared" si="9"/>
        <v>A679078</v>
      </c>
      <c r="AG880" s="51" t="str">
        <f>VLOOKUP(AF880,AKT!$C$4:$E$324,3,FALSE)</f>
        <v>0942</v>
      </c>
    </row>
    <row r="881" spans="1:33" ht="15.75" hidden="1" customHeight="1">
      <c r="A881" s="51"/>
      <c r="B881" s="51"/>
      <c r="C881" s="51"/>
      <c r="D881" s="51"/>
      <c r="E881" s="51"/>
      <c r="F881" s="51"/>
      <c r="G881" s="51"/>
      <c r="H881" s="55"/>
      <c r="I881" s="55"/>
      <c r="J881" s="55"/>
      <c r="K881" s="55"/>
      <c r="L881" s="55"/>
      <c r="M881" s="55"/>
      <c r="N881" s="55"/>
      <c r="O881" s="55"/>
      <c r="P881" s="55"/>
      <c r="Q881" s="51"/>
      <c r="R881" s="51"/>
      <c r="S881" s="51"/>
      <c r="T881" s="51"/>
      <c r="U881" s="51"/>
      <c r="V881" s="51"/>
      <c r="W881" s="51"/>
      <c r="X881" s="51"/>
      <c r="Y881" s="51"/>
      <c r="Z881" s="51"/>
      <c r="AA881" s="51"/>
      <c r="AB881" s="51"/>
      <c r="AC881" s="51"/>
      <c r="AD881" s="51" t="s">
        <v>3227</v>
      </c>
      <c r="AE881" s="51" t="s">
        <v>3228</v>
      </c>
      <c r="AF881" s="51" t="str">
        <f t="shared" si="9"/>
        <v>A679078</v>
      </c>
      <c r="AG881" s="51" t="str">
        <f>VLOOKUP(AF881,AKT!$C$4:$E$324,3,FALSE)</f>
        <v>0942</v>
      </c>
    </row>
    <row r="882" spans="1:33" ht="15.75" hidden="1" customHeight="1">
      <c r="A882" s="51"/>
      <c r="B882" s="51"/>
      <c r="C882" s="51"/>
      <c r="D882" s="51"/>
      <c r="E882" s="51"/>
      <c r="F882" s="51"/>
      <c r="G882" s="51"/>
      <c r="H882" s="55"/>
      <c r="I882" s="55"/>
      <c r="J882" s="55"/>
      <c r="K882" s="55"/>
      <c r="L882" s="55"/>
      <c r="M882" s="55"/>
      <c r="N882" s="55"/>
      <c r="O882" s="55"/>
      <c r="P882" s="55"/>
      <c r="Q882" s="51"/>
      <c r="R882" s="51"/>
      <c r="S882" s="51"/>
      <c r="T882" s="51"/>
      <c r="U882" s="51"/>
      <c r="V882" s="51"/>
      <c r="W882" s="51"/>
      <c r="X882" s="51"/>
      <c r="Y882" s="51"/>
      <c r="Z882" s="51"/>
      <c r="AA882" s="51"/>
      <c r="AB882" s="51"/>
      <c r="AC882" s="51"/>
      <c r="AD882" s="51" t="s">
        <v>3229</v>
      </c>
      <c r="AE882" s="51" t="s">
        <v>3230</v>
      </c>
      <c r="AF882" s="51" t="str">
        <f t="shared" si="9"/>
        <v>A679078</v>
      </c>
      <c r="AG882" s="51" t="str">
        <f>VLOOKUP(AF882,AKT!$C$4:$E$324,3,FALSE)</f>
        <v>0942</v>
      </c>
    </row>
    <row r="883" spans="1:33" ht="15.75" hidden="1" customHeight="1">
      <c r="A883" s="51"/>
      <c r="B883" s="51"/>
      <c r="C883" s="51"/>
      <c r="D883" s="51"/>
      <c r="E883" s="51"/>
      <c r="F883" s="51"/>
      <c r="G883" s="51"/>
      <c r="H883" s="55"/>
      <c r="I883" s="55"/>
      <c r="J883" s="55"/>
      <c r="K883" s="55"/>
      <c r="L883" s="55"/>
      <c r="M883" s="55"/>
      <c r="N883" s="55"/>
      <c r="O883" s="55"/>
      <c r="P883" s="55"/>
      <c r="Q883" s="51"/>
      <c r="R883" s="51"/>
      <c r="S883" s="51"/>
      <c r="T883" s="51"/>
      <c r="U883" s="51"/>
      <c r="V883" s="51"/>
      <c r="W883" s="51"/>
      <c r="X883" s="51"/>
      <c r="Y883" s="51"/>
      <c r="Z883" s="51"/>
      <c r="AA883" s="51"/>
      <c r="AB883" s="51"/>
      <c r="AC883" s="51"/>
      <c r="AD883" s="51" t="s">
        <v>3231</v>
      </c>
      <c r="AE883" s="51" t="s">
        <v>3232</v>
      </c>
      <c r="AF883" s="51" t="str">
        <f t="shared" si="9"/>
        <v>A679078</v>
      </c>
      <c r="AG883" s="51" t="str">
        <f>VLOOKUP(AF883,AKT!$C$4:$E$324,3,FALSE)</f>
        <v>0942</v>
      </c>
    </row>
    <row r="884" spans="1:33" ht="15.75" hidden="1" customHeight="1">
      <c r="A884" s="51"/>
      <c r="B884" s="51"/>
      <c r="C884" s="51"/>
      <c r="D884" s="51"/>
      <c r="E884" s="51"/>
      <c r="F884" s="51"/>
      <c r="G884" s="51"/>
      <c r="H884" s="55"/>
      <c r="I884" s="55"/>
      <c r="J884" s="55"/>
      <c r="K884" s="55"/>
      <c r="L884" s="55"/>
      <c r="M884" s="55"/>
      <c r="N884" s="55"/>
      <c r="O884" s="55"/>
      <c r="P884" s="55"/>
      <c r="Q884" s="51"/>
      <c r="R884" s="51"/>
      <c r="S884" s="51"/>
      <c r="T884" s="51"/>
      <c r="U884" s="51"/>
      <c r="V884" s="51"/>
      <c r="W884" s="51"/>
      <c r="X884" s="51"/>
      <c r="Y884" s="51"/>
      <c r="Z884" s="51"/>
      <c r="AA884" s="51"/>
      <c r="AB884" s="51"/>
      <c r="AC884" s="51"/>
      <c r="AD884" s="51" t="s">
        <v>3233</v>
      </c>
      <c r="AE884" s="51" t="s">
        <v>3234</v>
      </c>
      <c r="AF884" s="51" t="str">
        <f t="shared" si="9"/>
        <v>A679078</v>
      </c>
      <c r="AG884" s="51" t="str">
        <f>VLOOKUP(AF884,AKT!$C$4:$E$324,3,FALSE)</f>
        <v>0942</v>
      </c>
    </row>
    <row r="885" spans="1:33" ht="15.75" hidden="1" customHeight="1">
      <c r="A885" s="51"/>
      <c r="B885" s="51"/>
      <c r="C885" s="51"/>
      <c r="D885" s="51"/>
      <c r="E885" s="51"/>
      <c r="F885" s="51"/>
      <c r="G885" s="51"/>
      <c r="H885" s="55"/>
      <c r="I885" s="55"/>
      <c r="J885" s="55"/>
      <c r="K885" s="55"/>
      <c r="L885" s="55"/>
      <c r="M885" s="55"/>
      <c r="N885" s="55"/>
      <c r="O885" s="55"/>
      <c r="P885" s="55"/>
      <c r="Q885" s="51"/>
      <c r="R885" s="51"/>
      <c r="S885" s="51"/>
      <c r="T885" s="51"/>
      <c r="U885" s="51"/>
      <c r="V885" s="51"/>
      <c r="W885" s="51"/>
      <c r="X885" s="51"/>
      <c r="Y885" s="51"/>
      <c r="Z885" s="51"/>
      <c r="AA885" s="51"/>
      <c r="AB885" s="51"/>
      <c r="AC885" s="51"/>
      <c r="AD885" s="51" t="s">
        <v>3235</v>
      </c>
      <c r="AE885" s="51" t="s">
        <v>3236</v>
      </c>
      <c r="AF885" s="51" t="str">
        <f t="shared" si="9"/>
        <v>A679078</v>
      </c>
      <c r="AG885" s="51" t="str">
        <f>VLOOKUP(AF885,AKT!$C$4:$E$324,3,FALSE)</f>
        <v>0942</v>
      </c>
    </row>
    <row r="886" spans="1:33" ht="15.75" hidden="1" customHeight="1">
      <c r="A886" s="51"/>
      <c r="B886" s="51"/>
      <c r="C886" s="51"/>
      <c r="D886" s="51"/>
      <c r="E886" s="51"/>
      <c r="F886" s="51"/>
      <c r="G886" s="51"/>
      <c r="H886" s="55"/>
      <c r="I886" s="55"/>
      <c r="J886" s="55"/>
      <c r="K886" s="55"/>
      <c r="L886" s="55"/>
      <c r="M886" s="55"/>
      <c r="N886" s="55"/>
      <c r="O886" s="55"/>
      <c r="P886" s="55"/>
      <c r="Q886" s="51"/>
      <c r="R886" s="51"/>
      <c r="S886" s="51"/>
      <c r="T886" s="51"/>
      <c r="U886" s="51"/>
      <c r="V886" s="51"/>
      <c r="W886" s="51"/>
      <c r="X886" s="51"/>
      <c r="Y886" s="51"/>
      <c r="Z886" s="51"/>
      <c r="AA886" s="51"/>
      <c r="AB886" s="51"/>
      <c r="AC886" s="51"/>
      <c r="AD886" s="51" t="s">
        <v>3237</v>
      </c>
      <c r="AE886" s="51" t="s">
        <v>3238</v>
      </c>
      <c r="AF886" s="51" t="str">
        <f t="shared" si="9"/>
        <v>A679078</v>
      </c>
      <c r="AG886" s="51" t="str">
        <f>VLOOKUP(AF886,AKT!$C$4:$E$324,3,FALSE)</f>
        <v>0942</v>
      </c>
    </row>
    <row r="887" spans="1:33" ht="15.75" hidden="1" customHeight="1">
      <c r="A887" s="51"/>
      <c r="B887" s="51"/>
      <c r="C887" s="51"/>
      <c r="D887" s="51"/>
      <c r="E887" s="51"/>
      <c r="F887" s="51"/>
      <c r="G887" s="51"/>
      <c r="H887" s="55"/>
      <c r="I887" s="55"/>
      <c r="J887" s="55"/>
      <c r="K887" s="55"/>
      <c r="L887" s="55"/>
      <c r="M887" s="55"/>
      <c r="N887" s="55"/>
      <c r="O887" s="55"/>
      <c r="P887" s="55"/>
      <c r="Q887" s="51"/>
      <c r="R887" s="51"/>
      <c r="S887" s="51"/>
      <c r="T887" s="51"/>
      <c r="U887" s="51"/>
      <c r="V887" s="51"/>
      <c r="W887" s="51"/>
      <c r="X887" s="51"/>
      <c r="Y887" s="51"/>
      <c r="Z887" s="51"/>
      <c r="AA887" s="51"/>
      <c r="AB887" s="51"/>
      <c r="AC887" s="51"/>
      <c r="AD887" s="51" t="s">
        <v>3239</v>
      </c>
      <c r="AE887" s="51" t="s">
        <v>3240</v>
      </c>
      <c r="AF887" s="51" t="str">
        <f t="shared" si="9"/>
        <v>A679078</v>
      </c>
      <c r="AG887" s="51" t="str">
        <f>VLOOKUP(AF887,AKT!$C$4:$E$324,3,FALSE)</f>
        <v>0942</v>
      </c>
    </row>
    <row r="888" spans="1:33" ht="15.75" hidden="1" customHeight="1">
      <c r="A888" s="51"/>
      <c r="B888" s="51"/>
      <c r="C888" s="51"/>
      <c r="D888" s="51"/>
      <c r="E888" s="51"/>
      <c r="F888" s="51"/>
      <c r="G888" s="51"/>
      <c r="H888" s="55"/>
      <c r="I888" s="55"/>
      <c r="J888" s="55"/>
      <c r="K888" s="55"/>
      <c r="L888" s="55"/>
      <c r="M888" s="55"/>
      <c r="N888" s="55"/>
      <c r="O888" s="55"/>
      <c r="P888" s="55"/>
      <c r="Q888" s="51"/>
      <c r="R888" s="51"/>
      <c r="S888" s="51"/>
      <c r="T888" s="51"/>
      <c r="U888" s="51"/>
      <c r="V888" s="51"/>
      <c r="W888" s="51"/>
      <c r="X888" s="51"/>
      <c r="Y888" s="51"/>
      <c r="Z888" s="51"/>
      <c r="AA888" s="51"/>
      <c r="AB888" s="51"/>
      <c r="AC888" s="51"/>
      <c r="AD888" s="51" t="s">
        <v>3241</v>
      </c>
      <c r="AE888" s="51" t="s">
        <v>3242</v>
      </c>
      <c r="AF888" s="51" t="str">
        <f t="shared" si="9"/>
        <v>A679078</v>
      </c>
      <c r="AG888" s="51" t="str">
        <f>VLOOKUP(AF888,AKT!$C$4:$E$324,3,FALSE)</f>
        <v>0942</v>
      </c>
    </row>
    <row r="889" spans="1:33" ht="15.75" hidden="1" customHeight="1">
      <c r="A889" s="51"/>
      <c r="B889" s="51"/>
      <c r="C889" s="51"/>
      <c r="D889" s="51"/>
      <c r="E889" s="51"/>
      <c r="F889" s="51"/>
      <c r="G889" s="51"/>
      <c r="H889" s="55"/>
      <c r="I889" s="55"/>
      <c r="J889" s="55"/>
      <c r="K889" s="55"/>
      <c r="L889" s="55"/>
      <c r="M889" s="55"/>
      <c r="N889" s="55"/>
      <c r="O889" s="55"/>
      <c r="P889" s="55"/>
      <c r="Q889" s="51"/>
      <c r="R889" s="51"/>
      <c r="S889" s="51"/>
      <c r="T889" s="51"/>
      <c r="U889" s="51"/>
      <c r="V889" s="51"/>
      <c r="W889" s="51"/>
      <c r="X889" s="51"/>
      <c r="Y889" s="51"/>
      <c r="Z889" s="51"/>
      <c r="AA889" s="51"/>
      <c r="AB889" s="51"/>
      <c r="AC889" s="51"/>
      <c r="AD889" s="51" t="s">
        <v>3243</v>
      </c>
      <c r="AE889" s="51" t="s">
        <v>3244</v>
      </c>
      <c r="AF889" s="51" t="str">
        <f t="shared" si="9"/>
        <v>A679078</v>
      </c>
      <c r="AG889" s="51" t="str">
        <f>VLOOKUP(AF889,AKT!$C$4:$E$324,3,FALSE)</f>
        <v>0942</v>
      </c>
    </row>
    <row r="890" spans="1:33" ht="15.75" hidden="1" customHeight="1">
      <c r="A890" s="51"/>
      <c r="B890" s="51"/>
      <c r="C890" s="51"/>
      <c r="D890" s="51"/>
      <c r="E890" s="51"/>
      <c r="F890" s="51"/>
      <c r="G890" s="51"/>
      <c r="H890" s="55"/>
      <c r="I890" s="55"/>
      <c r="J890" s="55"/>
      <c r="K890" s="55"/>
      <c r="L890" s="55"/>
      <c r="M890" s="55"/>
      <c r="N890" s="55"/>
      <c r="O890" s="55"/>
      <c r="P890" s="55"/>
      <c r="Q890" s="51"/>
      <c r="R890" s="51"/>
      <c r="S890" s="51"/>
      <c r="T890" s="51"/>
      <c r="U890" s="51"/>
      <c r="V890" s="51"/>
      <c r="W890" s="51"/>
      <c r="X890" s="51"/>
      <c r="Y890" s="51"/>
      <c r="Z890" s="51"/>
      <c r="AA890" s="51"/>
      <c r="AB890" s="51"/>
      <c r="AC890" s="51"/>
      <c r="AD890" s="51" t="s">
        <v>3245</v>
      </c>
      <c r="AE890" s="51" t="s">
        <v>3246</v>
      </c>
      <c r="AF890" s="51" t="str">
        <f t="shared" si="9"/>
        <v>A679078</v>
      </c>
      <c r="AG890" s="51" t="str">
        <f>VLOOKUP(AF890,AKT!$C$4:$E$324,3,FALSE)</f>
        <v>0942</v>
      </c>
    </row>
    <row r="891" spans="1:33" ht="15.75" hidden="1" customHeight="1">
      <c r="A891" s="51"/>
      <c r="B891" s="51"/>
      <c r="C891" s="51"/>
      <c r="D891" s="51"/>
      <c r="E891" s="51"/>
      <c r="F891" s="51"/>
      <c r="G891" s="51"/>
      <c r="H891" s="55"/>
      <c r="I891" s="55"/>
      <c r="J891" s="55"/>
      <c r="K891" s="55"/>
      <c r="L891" s="55"/>
      <c r="M891" s="55"/>
      <c r="N891" s="55"/>
      <c r="O891" s="55"/>
      <c r="P891" s="55"/>
      <c r="Q891" s="51"/>
      <c r="R891" s="51"/>
      <c r="S891" s="51"/>
      <c r="T891" s="51"/>
      <c r="U891" s="51"/>
      <c r="V891" s="51"/>
      <c r="W891" s="51"/>
      <c r="X891" s="51"/>
      <c r="Y891" s="51"/>
      <c r="Z891" s="51"/>
      <c r="AA891" s="51"/>
      <c r="AB891" s="51"/>
      <c r="AC891" s="51"/>
      <c r="AD891" s="51" t="s">
        <v>3247</v>
      </c>
      <c r="AE891" s="51" t="s">
        <v>3248</v>
      </c>
      <c r="AF891" s="51" t="str">
        <f t="shared" si="9"/>
        <v>A679078</v>
      </c>
      <c r="AG891" s="51" t="str">
        <f>VLOOKUP(AF891,AKT!$C$4:$E$324,3,FALSE)</f>
        <v>0942</v>
      </c>
    </row>
    <row r="892" spans="1:33" ht="15.75" hidden="1" customHeight="1">
      <c r="A892" s="51"/>
      <c r="B892" s="51"/>
      <c r="C892" s="51"/>
      <c r="D892" s="51"/>
      <c r="E892" s="51"/>
      <c r="F892" s="51"/>
      <c r="G892" s="51"/>
      <c r="H892" s="55"/>
      <c r="I892" s="55"/>
      <c r="J892" s="55"/>
      <c r="K892" s="55"/>
      <c r="L892" s="55"/>
      <c r="M892" s="55"/>
      <c r="N892" s="55"/>
      <c r="O892" s="55"/>
      <c r="P892" s="55"/>
      <c r="Q892" s="51"/>
      <c r="R892" s="51"/>
      <c r="S892" s="51"/>
      <c r="T892" s="51"/>
      <c r="U892" s="51"/>
      <c r="V892" s="51"/>
      <c r="W892" s="51"/>
      <c r="X892" s="51"/>
      <c r="Y892" s="51"/>
      <c r="Z892" s="51"/>
      <c r="AA892" s="51"/>
      <c r="AB892" s="51"/>
      <c r="AC892" s="51"/>
      <c r="AD892" s="51" t="s">
        <v>3249</v>
      </c>
      <c r="AE892" s="51" t="s">
        <v>3250</v>
      </c>
      <c r="AF892" s="51" t="str">
        <f t="shared" si="9"/>
        <v>A679078</v>
      </c>
      <c r="AG892" s="51" t="str">
        <f>VLOOKUP(AF892,AKT!$C$4:$E$324,3,FALSE)</f>
        <v>0942</v>
      </c>
    </row>
    <row r="893" spans="1:33" ht="15.75" hidden="1" customHeight="1">
      <c r="A893" s="51"/>
      <c r="B893" s="51"/>
      <c r="C893" s="51"/>
      <c r="D893" s="51"/>
      <c r="E893" s="51"/>
      <c r="F893" s="51"/>
      <c r="G893" s="51"/>
      <c r="H893" s="55"/>
      <c r="I893" s="55"/>
      <c r="J893" s="55"/>
      <c r="K893" s="55"/>
      <c r="L893" s="55"/>
      <c r="M893" s="55"/>
      <c r="N893" s="55"/>
      <c r="O893" s="55"/>
      <c r="P893" s="55"/>
      <c r="Q893" s="51"/>
      <c r="R893" s="51"/>
      <c r="S893" s="51"/>
      <c r="T893" s="51"/>
      <c r="U893" s="51"/>
      <c r="V893" s="51"/>
      <c r="W893" s="51"/>
      <c r="X893" s="51"/>
      <c r="Y893" s="51"/>
      <c r="Z893" s="51"/>
      <c r="AA893" s="51"/>
      <c r="AB893" s="51"/>
      <c r="AC893" s="51"/>
      <c r="AD893" s="51" t="s">
        <v>3251</v>
      </c>
      <c r="AE893" s="51" t="s">
        <v>3252</v>
      </c>
      <c r="AF893" s="51" t="str">
        <f t="shared" si="9"/>
        <v>A679078</v>
      </c>
      <c r="AG893" s="51" t="str">
        <f>VLOOKUP(AF893,AKT!$C$4:$E$324,3,FALSE)</f>
        <v>0942</v>
      </c>
    </row>
    <row r="894" spans="1:33" ht="15.75" hidden="1" customHeight="1">
      <c r="A894" s="51"/>
      <c r="B894" s="51"/>
      <c r="C894" s="51"/>
      <c r="D894" s="51"/>
      <c r="E894" s="51"/>
      <c r="F894" s="51"/>
      <c r="G894" s="51"/>
      <c r="H894" s="55"/>
      <c r="I894" s="55"/>
      <c r="J894" s="55"/>
      <c r="K894" s="55"/>
      <c r="L894" s="55"/>
      <c r="M894" s="55"/>
      <c r="N894" s="55"/>
      <c r="O894" s="55"/>
      <c r="P894" s="55"/>
      <c r="Q894" s="51"/>
      <c r="R894" s="51"/>
      <c r="S894" s="51"/>
      <c r="T894" s="51"/>
      <c r="U894" s="51"/>
      <c r="V894" s="51"/>
      <c r="W894" s="51"/>
      <c r="X894" s="51"/>
      <c r="Y894" s="51"/>
      <c r="Z894" s="51"/>
      <c r="AA894" s="51"/>
      <c r="AB894" s="51"/>
      <c r="AC894" s="51"/>
      <c r="AD894" s="51" t="s">
        <v>3253</v>
      </c>
      <c r="AE894" s="51" t="s">
        <v>3254</v>
      </c>
      <c r="AF894" s="51" t="str">
        <f t="shared" si="9"/>
        <v>A679078</v>
      </c>
      <c r="AG894" s="51" t="str">
        <f>VLOOKUP(AF894,AKT!$C$4:$E$324,3,FALSE)</f>
        <v>0942</v>
      </c>
    </row>
    <row r="895" spans="1:33" ht="15.75" hidden="1" customHeight="1">
      <c r="A895" s="51"/>
      <c r="B895" s="51"/>
      <c r="C895" s="51"/>
      <c r="D895" s="51"/>
      <c r="E895" s="51"/>
      <c r="F895" s="51"/>
      <c r="G895" s="51"/>
      <c r="H895" s="55"/>
      <c r="I895" s="55"/>
      <c r="J895" s="55"/>
      <c r="K895" s="55"/>
      <c r="L895" s="55"/>
      <c r="M895" s="55"/>
      <c r="N895" s="55"/>
      <c r="O895" s="55"/>
      <c r="P895" s="55"/>
      <c r="Q895" s="51"/>
      <c r="R895" s="51"/>
      <c r="S895" s="51"/>
      <c r="T895" s="51"/>
      <c r="U895" s="51"/>
      <c r="V895" s="51"/>
      <c r="W895" s="51"/>
      <c r="X895" s="51"/>
      <c r="Y895" s="51"/>
      <c r="Z895" s="51"/>
      <c r="AA895" s="51"/>
      <c r="AB895" s="51"/>
      <c r="AC895" s="51"/>
      <c r="AD895" s="51" t="s">
        <v>3255</v>
      </c>
      <c r="AE895" s="51" t="s">
        <v>3256</v>
      </c>
      <c r="AF895" s="51" t="str">
        <f t="shared" si="9"/>
        <v>A679078</v>
      </c>
      <c r="AG895" s="51" t="str">
        <f>VLOOKUP(AF895,AKT!$C$4:$E$324,3,FALSE)</f>
        <v>0942</v>
      </c>
    </row>
    <row r="896" spans="1:33" ht="15.75" hidden="1" customHeight="1">
      <c r="A896" s="51"/>
      <c r="B896" s="51"/>
      <c r="C896" s="51"/>
      <c r="D896" s="51"/>
      <c r="E896" s="51"/>
      <c r="F896" s="51"/>
      <c r="G896" s="51"/>
      <c r="H896" s="55"/>
      <c r="I896" s="55"/>
      <c r="J896" s="55"/>
      <c r="K896" s="55"/>
      <c r="L896" s="55"/>
      <c r="M896" s="55"/>
      <c r="N896" s="55"/>
      <c r="O896" s="55"/>
      <c r="P896" s="55"/>
      <c r="Q896" s="51"/>
      <c r="R896" s="51"/>
      <c r="S896" s="51"/>
      <c r="T896" s="51"/>
      <c r="U896" s="51"/>
      <c r="V896" s="51"/>
      <c r="W896" s="51"/>
      <c r="X896" s="51"/>
      <c r="Y896" s="51"/>
      <c r="Z896" s="51"/>
      <c r="AA896" s="51"/>
      <c r="AB896" s="51"/>
      <c r="AC896" s="51"/>
      <c r="AD896" s="51" t="s">
        <v>3257</v>
      </c>
      <c r="AE896" s="51" t="s">
        <v>3258</v>
      </c>
      <c r="AF896" s="51" t="str">
        <f t="shared" si="9"/>
        <v>A679078</v>
      </c>
      <c r="AG896" s="51" t="str">
        <f>VLOOKUP(AF896,AKT!$C$4:$E$324,3,FALSE)</f>
        <v>0942</v>
      </c>
    </row>
    <row r="897" spans="1:33" ht="15.75" hidden="1" customHeight="1">
      <c r="A897" s="51"/>
      <c r="B897" s="51"/>
      <c r="C897" s="51"/>
      <c r="D897" s="51"/>
      <c r="E897" s="51"/>
      <c r="F897" s="51"/>
      <c r="G897" s="51"/>
      <c r="H897" s="55"/>
      <c r="I897" s="55"/>
      <c r="J897" s="55"/>
      <c r="K897" s="55"/>
      <c r="L897" s="55"/>
      <c r="M897" s="55"/>
      <c r="N897" s="55"/>
      <c r="O897" s="55"/>
      <c r="P897" s="55"/>
      <c r="Q897" s="51"/>
      <c r="R897" s="51"/>
      <c r="S897" s="51"/>
      <c r="T897" s="51"/>
      <c r="U897" s="51"/>
      <c r="V897" s="51"/>
      <c r="W897" s="51"/>
      <c r="X897" s="51"/>
      <c r="Y897" s="51"/>
      <c r="Z897" s="51"/>
      <c r="AA897" s="51"/>
      <c r="AB897" s="51"/>
      <c r="AC897" s="51"/>
      <c r="AD897" s="51" t="s">
        <v>3259</v>
      </c>
      <c r="AE897" s="51" t="s">
        <v>3260</v>
      </c>
      <c r="AF897" s="51" t="str">
        <f t="shared" si="9"/>
        <v>A679078</v>
      </c>
      <c r="AG897" s="51" t="str">
        <f>VLOOKUP(AF897,AKT!$C$4:$E$324,3,FALSE)</f>
        <v>0942</v>
      </c>
    </row>
    <row r="898" spans="1:33" ht="15.75" hidden="1" customHeight="1">
      <c r="A898" s="51"/>
      <c r="B898" s="51"/>
      <c r="C898" s="51"/>
      <c r="D898" s="51"/>
      <c r="E898" s="51"/>
      <c r="F898" s="51"/>
      <c r="G898" s="51"/>
      <c r="H898" s="55"/>
      <c r="I898" s="55"/>
      <c r="J898" s="55"/>
      <c r="K898" s="55"/>
      <c r="L898" s="55"/>
      <c r="M898" s="55"/>
      <c r="N898" s="55"/>
      <c r="O898" s="55"/>
      <c r="P898" s="55"/>
      <c r="Q898" s="51"/>
      <c r="R898" s="51"/>
      <c r="S898" s="51"/>
      <c r="T898" s="51"/>
      <c r="U898" s="51"/>
      <c r="V898" s="51"/>
      <c r="W898" s="51"/>
      <c r="X898" s="51"/>
      <c r="Y898" s="51"/>
      <c r="Z898" s="51"/>
      <c r="AA898" s="51"/>
      <c r="AB898" s="51"/>
      <c r="AC898" s="51"/>
      <c r="AD898" s="51" t="s">
        <v>3261</v>
      </c>
      <c r="AE898" s="51" t="s">
        <v>3262</v>
      </c>
      <c r="AF898" s="51" t="str">
        <f t="shared" si="9"/>
        <v>A679078</v>
      </c>
      <c r="AG898" s="51" t="str">
        <f>VLOOKUP(AF898,AKT!$C$4:$E$324,3,FALSE)</f>
        <v>0942</v>
      </c>
    </row>
    <row r="899" spans="1:33" ht="15.75" hidden="1" customHeight="1">
      <c r="A899" s="51"/>
      <c r="B899" s="51"/>
      <c r="C899" s="51"/>
      <c r="D899" s="51"/>
      <c r="E899" s="51"/>
      <c r="F899" s="51"/>
      <c r="G899" s="51"/>
      <c r="H899" s="55"/>
      <c r="I899" s="55"/>
      <c r="J899" s="55"/>
      <c r="K899" s="55"/>
      <c r="L899" s="55"/>
      <c r="M899" s="55"/>
      <c r="N899" s="55"/>
      <c r="O899" s="55"/>
      <c r="P899" s="55"/>
      <c r="Q899" s="51"/>
      <c r="R899" s="51"/>
      <c r="S899" s="51"/>
      <c r="T899" s="51"/>
      <c r="U899" s="51"/>
      <c r="V899" s="51"/>
      <c r="W899" s="51"/>
      <c r="X899" s="51"/>
      <c r="Y899" s="51"/>
      <c r="Z899" s="51"/>
      <c r="AA899" s="51"/>
      <c r="AB899" s="51"/>
      <c r="AC899" s="51"/>
      <c r="AD899" s="51" t="s">
        <v>3263</v>
      </c>
      <c r="AE899" s="51" t="s">
        <v>3264</v>
      </c>
      <c r="AF899" s="51" t="str">
        <f t="shared" si="9"/>
        <v>A679078</v>
      </c>
      <c r="AG899" s="51" t="str">
        <f>VLOOKUP(AF899,AKT!$C$4:$E$324,3,FALSE)</f>
        <v>0942</v>
      </c>
    </row>
    <row r="900" spans="1:33" ht="15.75" hidden="1" customHeight="1">
      <c r="A900" s="51"/>
      <c r="B900" s="51"/>
      <c r="C900" s="51"/>
      <c r="D900" s="51"/>
      <c r="E900" s="51"/>
      <c r="F900" s="51"/>
      <c r="G900" s="51"/>
      <c r="H900" s="55"/>
      <c r="I900" s="55"/>
      <c r="J900" s="55"/>
      <c r="K900" s="55"/>
      <c r="L900" s="55"/>
      <c r="M900" s="55"/>
      <c r="N900" s="55"/>
      <c r="O900" s="55"/>
      <c r="P900" s="55"/>
      <c r="Q900" s="51"/>
      <c r="R900" s="51"/>
      <c r="S900" s="51"/>
      <c r="T900" s="51"/>
      <c r="U900" s="51"/>
      <c r="V900" s="51"/>
      <c r="W900" s="51"/>
      <c r="X900" s="51"/>
      <c r="Y900" s="51"/>
      <c r="Z900" s="51"/>
      <c r="AA900" s="51"/>
      <c r="AB900" s="51"/>
      <c r="AC900" s="51"/>
      <c r="AD900" s="51" t="s">
        <v>3265</v>
      </c>
      <c r="AE900" s="51" t="s">
        <v>3266</v>
      </c>
      <c r="AF900" s="51" t="str">
        <f t="shared" si="9"/>
        <v>A679078</v>
      </c>
      <c r="AG900" s="51" t="str">
        <f>VLOOKUP(AF900,AKT!$C$4:$E$324,3,FALSE)</f>
        <v>0942</v>
      </c>
    </row>
    <row r="901" spans="1:33" ht="15.75" hidden="1" customHeight="1">
      <c r="A901" s="51"/>
      <c r="B901" s="51"/>
      <c r="C901" s="51"/>
      <c r="D901" s="51"/>
      <c r="E901" s="51"/>
      <c r="F901" s="51"/>
      <c r="G901" s="51"/>
      <c r="H901" s="55"/>
      <c r="I901" s="55"/>
      <c r="J901" s="55"/>
      <c r="K901" s="55"/>
      <c r="L901" s="55"/>
      <c r="M901" s="55"/>
      <c r="N901" s="55"/>
      <c r="O901" s="55"/>
      <c r="P901" s="55"/>
      <c r="Q901" s="51"/>
      <c r="R901" s="51"/>
      <c r="S901" s="51"/>
      <c r="T901" s="51"/>
      <c r="U901" s="51"/>
      <c r="V901" s="51"/>
      <c r="W901" s="51"/>
      <c r="X901" s="51"/>
      <c r="Y901" s="51"/>
      <c r="Z901" s="51"/>
      <c r="AA901" s="51"/>
      <c r="AB901" s="51"/>
      <c r="AC901" s="51"/>
      <c r="AD901" s="51" t="s">
        <v>3267</v>
      </c>
      <c r="AE901" s="51" t="s">
        <v>3268</v>
      </c>
      <c r="AF901" s="51" t="str">
        <f t="shared" si="9"/>
        <v>A679078</v>
      </c>
      <c r="AG901" s="51" t="str">
        <f>VLOOKUP(AF901,AKT!$C$4:$E$324,3,FALSE)</f>
        <v>0942</v>
      </c>
    </row>
    <row r="902" spans="1:33" ht="15.75" hidden="1" customHeight="1">
      <c r="A902" s="51"/>
      <c r="B902" s="51"/>
      <c r="C902" s="51"/>
      <c r="D902" s="51"/>
      <c r="E902" s="51"/>
      <c r="F902" s="51"/>
      <c r="G902" s="51"/>
      <c r="H902" s="55"/>
      <c r="I902" s="55"/>
      <c r="J902" s="55"/>
      <c r="K902" s="55"/>
      <c r="L902" s="55"/>
      <c r="M902" s="55"/>
      <c r="N902" s="55"/>
      <c r="O902" s="55"/>
      <c r="P902" s="55"/>
      <c r="Q902" s="51"/>
      <c r="R902" s="51"/>
      <c r="S902" s="51"/>
      <c r="T902" s="51"/>
      <c r="U902" s="51"/>
      <c r="V902" s="51"/>
      <c r="W902" s="51"/>
      <c r="X902" s="51"/>
      <c r="Y902" s="51"/>
      <c r="Z902" s="51"/>
      <c r="AA902" s="51"/>
      <c r="AB902" s="51"/>
      <c r="AC902" s="51"/>
      <c r="AD902" s="51" t="s">
        <v>3269</v>
      </c>
      <c r="AE902" s="51" t="s">
        <v>1653</v>
      </c>
      <c r="AF902" s="51" t="str">
        <f t="shared" si="9"/>
        <v>A679078</v>
      </c>
      <c r="AG902" s="51" t="str">
        <f>VLOOKUP(AF902,AKT!$C$4:$E$324,3,FALSE)</f>
        <v>0942</v>
      </c>
    </row>
    <row r="903" spans="1:33" ht="15.75" hidden="1" customHeight="1">
      <c r="A903" s="51"/>
      <c r="B903" s="51"/>
      <c r="C903" s="51"/>
      <c r="D903" s="51"/>
      <c r="E903" s="51"/>
      <c r="F903" s="51"/>
      <c r="G903" s="51"/>
      <c r="H903" s="55"/>
      <c r="I903" s="55"/>
      <c r="J903" s="55"/>
      <c r="K903" s="55"/>
      <c r="L903" s="55"/>
      <c r="M903" s="55"/>
      <c r="N903" s="55"/>
      <c r="O903" s="55"/>
      <c r="P903" s="55"/>
      <c r="Q903" s="51"/>
      <c r="R903" s="51"/>
      <c r="S903" s="51"/>
      <c r="T903" s="51"/>
      <c r="U903" s="51"/>
      <c r="V903" s="51"/>
      <c r="W903" s="51"/>
      <c r="X903" s="51"/>
      <c r="Y903" s="51"/>
      <c r="Z903" s="51"/>
      <c r="AA903" s="51"/>
      <c r="AB903" s="51"/>
      <c r="AC903" s="51"/>
      <c r="AD903" s="51" t="s">
        <v>3270</v>
      </c>
      <c r="AE903" s="51" t="s">
        <v>1560</v>
      </c>
      <c r="AF903" s="51" t="str">
        <f t="shared" si="9"/>
        <v>A679078</v>
      </c>
      <c r="AG903" s="51" t="str">
        <f>VLOOKUP(AF903,AKT!$C$4:$E$324,3,FALSE)</f>
        <v>0942</v>
      </c>
    </row>
    <row r="904" spans="1:33" ht="15.75" hidden="1" customHeight="1">
      <c r="A904" s="51"/>
      <c r="B904" s="51"/>
      <c r="C904" s="51"/>
      <c r="D904" s="51"/>
      <c r="E904" s="51"/>
      <c r="F904" s="51"/>
      <c r="G904" s="51"/>
      <c r="H904" s="55"/>
      <c r="I904" s="55"/>
      <c r="J904" s="55"/>
      <c r="K904" s="55"/>
      <c r="L904" s="55"/>
      <c r="M904" s="55"/>
      <c r="N904" s="55"/>
      <c r="O904" s="55"/>
      <c r="P904" s="55"/>
      <c r="Q904" s="51"/>
      <c r="R904" s="51"/>
      <c r="S904" s="51"/>
      <c r="T904" s="51"/>
      <c r="U904" s="51"/>
      <c r="V904" s="51"/>
      <c r="W904" s="51"/>
      <c r="X904" s="51"/>
      <c r="Y904" s="51"/>
      <c r="Z904" s="51"/>
      <c r="AA904" s="51"/>
      <c r="AB904" s="51"/>
      <c r="AC904" s="51"/>
      <c r="AD904" s="51" t="s">
        <v>3271</v>
      </c>
      <c r="AE904" s="51" t="s">
        <v>3272</v>
      </c>
      <c r="AF904" s="51" t="str">
        <f t="shared" si="9"/>
        <v>A679078</v>
      </c>
      <c r="AG904" s="51" t="str">
        <f>VLOOKUP(AF904,AKT!$C$4:$E$324,3,FALSE)</f>
        <v>0942</v>
      </c>
    </row>
    <row r="905" spans="1:33" ht="15.75" hidden="1" customHeight="1">
      <c r="A905" s="51"/>
      <c r="B905" s="51"/>
      <c r="C905" s="51"/>
      <c r="D905" s="51"/>
      <c r="E905" s="51"/>
      <c r="F905" s="51"/>
      <c r="G905" s="51"/>
      <c r="H905" s="55"/>
      <c r="I905" s="55"/>
      <c r="J905" s="55"/>
      <c r="K905" s="55"/>
      <c r="L905" s="55"/>
      <c r="M905" s="55"/>
      <c r="N905" s="55"/>
      <c r="O905" s="55"/>
      <c r="P905" s="55"/>
      <c r="Q905" s="51"/>
      <c r="R905" s="51"/>
      <c r="S905" s="51"/>
      <c r="T905" s="51"/>
      <c r="U905" s="51"/>
      <c r="V905" s="51"/>
      <c r="W905" s="51"/>
      <c r="X905" s="51"/>
      <c r="Y905" s="51"/>
      <c r="Z905" s="51"/>
      <c r="AA905" s="51"/>
      <c r="AB905" s="51"/>
      <c r="AC905" s="51"/>
      <c r="AD905" s="51" t="s">
        <v>3273</v>
      </c>
      <c r="AE905" s="51" t="s">
        <v>3274</v>
      </c>
      <c r="AF905" s="51" t="str">
        <f t="shared" si="9"/>
        <v>A679078</v>
      </c>
      <c r="AG905" s="51" t="str">
        <f>VLOOKUP(AF905,AKT!$C$4:$E$324,3,FALSE)</f>
        <v>0942</v>
      </c>
    </row>
    <row r="906" spans="1:33" ht="15.75" hidden="1" customHeight="1">
      <c r="A906" s="51"/>
      <c r="B906" s="51"/>
      <c r="C906" s="51"/>
      <c r="D906" s="51"/>
      <c r="E906" s="51"/>
      <c r="F906" s="51"/>
      <c r="G906" s="51"/>
      <c r="H906" s="55"/>
      <c r="I906" s="55"/>
      <c r="J906" s="55"/>
      <c r="K906" s="55"/>
      <c r="L906" s="55"/>
      <c r="M906" s="55"/>
      <c r="N906" s="55"/>
      <c r="O906" s="55"/>
      <c r="P906" s="55"/>
      <c r="Q906" s="51"/>
      <c r="R906" s="51"/>
      <c r="S906" s="51"/>
      <c r="T906" s="51"/>
      <c r="U906" s="51"/>
      <c r="V906" s="51"/>
      <c r="W906" s="51"/>
      <c r="X906" s="51"/>
      <c r="Y906" s="51"/>
      <c r="Z906" s="51"/>
      <c r="AA906" s="51"/>
      <c r="AB906" s="51"/>
      <c r="AC906" s="51"/>
      <c r="AD906" s="51" t="s">
        <v>3275</v>
      </c>
      <c r="AE906" s="51" t="s">
        <v>1401</v>
      </c>
      <c r="AF906" s="51" t="str">
        <f t="shared" si="9"/>
        <v>A679078</v>
      </c>
      <c r="AG906" s="51" t="str">
        <f>VLOOKUP(AF906,AKT!$C$4:$E$324,3,FALSE)</f>
        <v>0942</v>
      </c>
    </row>
    <row r="907" spans="1:33" ht="15.75" hidden="1" customHeight="1">
      <c r="A907" s="51"/>
      <c r="B907" s="51"/>
      <c r="C907" s="51"/>
      <c r="D907" s="51"/>
      <c r="E907" s="51"/>
      <c r="F907" s="51"/>
      <c r="G907" s="51"/>
      <c r="H907" s="55"/>
      <c r="I907" s="55"/>
      <c r="J907" s="55"/>
      <c r="K907" s="55"/>
      <c r="L907" s="55"/>
      <c r="M907" s="55"/>
      <c r="N907" s="55"/>
      <c r="O907" s="55"/>
      <c r="P907" s="55"/>
      <c r="Q907" s="51"/>
      <c r="R907" s="51"/>
      <c r="S907" s="51"/>
      <c r="T907" s="51"/>
      <c r="U907" s="51"/>
      <c r="V907" s="51"/>
      <c r="W907" s="51"/>
      <c r="X907" s="51"/>
      <c r="Y907" s="51"/>
      <c r="Z907" s="51"/>
      <c r="AA907" s="51"/>
      <c r="AB907" s="51"/>
      <c r="AC907" s="51"/>
      <c r="AD907" s="51" t="s">
        <v>3276</v>
      </c>
      <c r="AE907" s="51" t="s">
        <v>1513</v>
      </c>
      <c r="AF907" s="51" t="str">
        <f t="shared" si="9"/>
        <v>A679078</v>
      </c>
      <c r="AG907" s="51" t="str">
        <f>VLOOKUP(AF907,AKT!$C$4:$E$324,3,FALSE)</f>
        <v>0942</v>
      </c>
    </row>
    <row r="908" spans="1:33" ht="15.75" hidden="1" customHeight="1">
      <c r="A908" s="51"/>
      <c r="B908" s="51"/>
      <c r="C908" s="51"/>
      <c r="D908" s="51"/>
      <c r="E908" s="51"/>
      <c r="F908" s="51"/>
      <c r="G908" s="51"/>
      <c r="H908" s="55"/>
      <c r="I908" s="55"/>
      <c r="J908" s="55"/>
      <c r="K908" s="55"/>
      <c r="L908" s="55"/>
      <c r="M908" s="55"/>
      <c r="N908" s="55"/>
      <c r="O908" s="55"/>
      <c r="P908" s="55"/>
      <c r="Q908" s="51"/>
      <c r="R908" s="51"/>
      <c r="S908" s="51"/>
      <c r="T908" s="51"/>
      <c r="U908" s="51"/>
      <c r="V908" s="51"/>
      <c r="W908" s="51"/>
      <c r="X908" s="51"/>
      <c r="Y908" s="51"/>
      <c r="Z908" s="51"/>
      <c r="AA908" s="51"/>
      <c r="AB908" s="51"/>
      <c r="AC908" s="51"/>
      <c r="AD908" s="51" t="s">
        <v>3277</v>
      </c>
      <c r="AE908" s="51" t="s">
        <v>3278</v>
      </c>
      <c r="AF908" s="51" t="str">
        <f t="shared" si="9"/>
        <v>A679078</v>
      </c>
      <c r="AG908" s="51" t="str">
        <f>VLOOKUP(AF908,AKT!$C$4:$E$324,3,FALSE)</f>
        <v>0942</v>
      </c>
    </row>
    <row r="909" spans="1:33" ht="15.75" hidden="1" customHeight="1">
      <c r="A909" s="51"/>
      <c r="B909" s="51"/>
      <c r="C909" s="51"/>
      <c r="D909" s="51"/>
      <c r="E909" s="51"/>
      <c r="F909" s="51"/>
      <c r="G909" s="51"/>
      <c r="H909" s="55"/>
      <c r="I909" s="55"/>
      <c r="J909" s="55"/>
      <c r="K909" s="55"/>
      <c r="L909" s="55"/>
      <c r="M909" s="55"/>
      <c r="N909" s="55"/>
      <c r="O909" s="55"/>
      <c r="P909" s="55"/>
      <c r="Q909" s="51"/>
      <c r="R909" s="51"/>
      <c r="S909" s="51"/>
      <c r="T909" s="51"/>
      <c r="U909" s="51"/>
      <c r="V909" s="51"/>
      <c r="W909" s="51"/>
      <c r="X909" s="51"/>
      <c r="Y909" s="51"/>
      <c r="Z909" s="51"/>
      <c r="AA909" s="51"/>
      <c r="AB909" s="51"/>
      <c r="AC909" s="51"/>
      <c r="AD909" s="51" t="s">
        <v>3279</v>
      </c>
      <c r="AE909" s="51" t="s">
        <v>3280</v>
      </c>
      <c r="AF909" s="51" t="str">
        <f t="shared" si="9"/>
        <v>A679078</v>
      </c>
      <c r="AG909" s="51" t="str">
        <f>VLOOKUP(AF909,AKT!$C$4:$E$324,3,FALSE)</f>
        <v>0942</v>
      </c>
    </row>
    <row r="910" spans="1:33" ht="15.75" hidden="1" customHeight="1">
      <c r="A910" s="51"/>
      <c r="B910" s="51"/>
      <c r="C910" s="51"/>
      <c r="D910" s="51"/>
      <c r="E910" s="51"/>
      <c r="F910" s="51"/>
      <c r="G910" s="51"/>
      <c r="H910" s="55"/>
      <c r="I910" s="55"/>
      <c r="J910" s="55"/>
      <c r="K910" s="55"/>
      <c r="L910" s="55"/>
      <c r="M910" s="55"/>
      <c r="N910" s="55"/>
      <c r="O910" s="55"/>
      <c r="P910" s="55"/>
      <c r="Q910" s="51"/>
      <c r="R910" s="51"/>
      <c r="S910" s="51"/>
      <c r="T910" s="51"/>
      <c r="U910" s="51"/>
      <c r="V910" s="51"/>
      <c r="W910" s="51"/>
      <c r="X910" s="51"/>
      <c r="Y910" s="51"/>
      <c r="Z910" s="51"/>
      <c r="AA910" s="51"/>
      <c r="AB910" s="51"/>
      <c r="AC910" s="51"/>
      <c r="AD910" s="51" t="s">
        <v>3281</v>
      </c>
      <c r="AE910" s="51" t="s">
        <v>3282</v>
      </c>
      <c r="AF910" s="51" t="str">
        <f t="shared" si="9"/>
        <v>A679081</v>
      </c>
      <c r="AG910" s="51" t="str">
        <f>VLOOKUP(AF910,AKT!$C$4:$E$324,3,FALSE)</f>
        <v>0942</v>
      </c>
    </row>
    <row r="911" spans="1:33" ht="15.75" hidden="1" customHeight="1">
      <c r="A911" s="51"/>
      <c r="B911" s="51"/>
      <c r="C911" s="51"/>
      <c r="D911" s="51"/>
      <c r="E911" s="51"/>
      <c r="F911" s="51"/>
      <c r="G911" s="51"/>
      <c r="H911" s="55"/>
      <c r="I911" s="55"/>
      <c r="J911" s="55"/>
      <c r="K911" s="55"/>
      <c r="L911" s="55"/>
      <c r="M911" s="55"/>
      <c r="N911" s="55"/>
      <c r="O911" s="55"/>
      <c r="P911" s="55"/>
      <c r="Q911" s="51"/>
      <c r="R911" s="51"/>
      <c r="S911" s="51"/>
      <c r="T911" s="51"/>
      <c r="U911" s="51"/>
      <c r="V911" s="51"/>
      <c r="W911" s="51"/>
      <c r="X911" s="51"/>
      <c r="Y911" s="51"/>
      <c r="Z911" s="51"/>
      <c r="AA911" s="51"/>
      <c r="AB911" s="51"/>
      <c r="AC911" s="51"/>
      <c r="AD911" s="51" t="s">
        <v>3283</v>
      </c>
      <c r="AE911" s="51" t="s">
        <v>3284</v>
      </c>
      <c r="AF911" s="51" t="str">
        <f t="shared" si="9"/>
        <v>A679081</v>
      </c>
      <c r="AG911" s="51" t="str">
        <f>VLOOKUP(AF911,AKT!$C$4:$E$324,3,FALSE)</f>
        <v>0942</v>
      </c>
    </row>
    <row r="912" spans="1:33" ht="15.75" hidden="1" customHeight="1">
      <c r="A912" s="51"/>
      <c r="B912" s="51"/>
      <c r="C912" s="51"/>
      <c r="D912" s="51"/>
      <c r="E912" s="51"/>
      <c r="F912" s="51"/>
      <c r="G912" s="51"/>
      <c r="H912" s="55"/>
      <c r="I912" s="55"/>
      <c r="J912" s="55"/>
      <c r="K912" s="55"/>
      <c r="L912" s="55"/>
      <c r="M912" s="55"/>
      <c r="N912" s="55"/>
      <c r="O912" s="55"/>
      <c r="P912" s="55"/>
      <c r="Q912" s="51"/>
      <c r="R912" s="51"/>
      <c r="S912" s="51"/>
      <c r="T912" s="51"/>
      <c r="U912" s="51"/>
      <c r="V912" s="51"/>
      <c r="W912" s="51"/>
      <c r="X912" s="51"/>
      <c r="Y912" s="51"/>
      <c r="Z912" s="51"/>
      <c r="AA912" s="51"/>
      <c r="AB912" s="51"/>
      <c r="AC912" s="51"/>
      <c r="AD912" s="51" t="s">
        <v>3285</v>
      </c>
      <c r="AE912" s="51" t="s">
        <v>3286</v>
      </c>
      <c r="AF912" s="51" t="str">
        <f t="shared" si="9"/>
        <v>A679081</v>
      </c>
      <c r="AG912" s="51" t="str">
        <f>VLOOKUP(AF912,AKT!$C$4:$E$324,3,FALSE)</f>
        <v>0942</v>
      </c>
    </row>
    <row r="913" spans="1:33" ht="15.75" hidden="1" customHeight="1">
      <c r="A913" s="51"/>
      <c r="B913" s="51"/>
      <c r="C913" s="51"/>
      <c r="D913" s="51"/>
      <c r="E913" s="51"/>
      <c r="F913" s="51"/>
      <c r="G913" s="51"/>
      <c r="H913" s="55"/>
      <c r="I913" s="55"/>
      <c r="J913" s="55"/>
      <c r="K913" s="55"/>
      <c r="L913" s="55"/>
      <c r="M913" s="55"/>
      <c r="N913" s="55"/>
      <c r="O913" s="55"/>
      <c r="P913" s="55"/>
      <c r="Q913" s="51"/>
      <c r="R913" s="51"/>
      <c r="S913" s="51"/>
      <c r="T913" s="51"/>
      <c r="U913" s="51"/>
      <c r="V913" s="51"/>
      <c r="W913" s="51"/>
      <c r="X913" s="51"/>
      <c r="Y913" s="51"/>
      <c r="Z913" s="51"/>
      <c r="AA913" s="51"/>
      <c r="AB913" s="51"/>
      <c r="AC913" s="51"/>
      <c r="AD913" s="51" t="s">
        <v>3287</v>
      </c>
      <c r="AE913" s="51" t="s">
        <v>3288</v>
      </c>
      <c r="AF913" s="51" t="str">
        <f t="shared" si="9"/>
        <v>A679081</v>
      </c>
      <c r="AG913" s="51" t="str">
        <f>VLOOKUP(AF913,AKT!$C$4:$E$324,3,FALSE)</f>
        <v>0942</v>
      </c>
    </row>
    <row r="914" spans="1:33" ht="15.75" hidden="1" customHeight="1">
      <c r="A914" s="51"/>
      <c r="B914" s="51"/>
      <c r="C914" s="51"/>
      <c r="D914" s="51"/>
      <c r="E914" s="51"/>
      <c r="F914" s="51"/>
      <c r="G914" s="51"/>
      <c r="H914" s="55"/>
      <c r="I914" s="55"/>
      <c r="J914" s="55"/>
      <c r="K914" s="55"/>
      <c r="L914" s="55"/>
      <c r="M914" s="55"/>
      <c r="N914" s="55"/>
      <c r="O914" s="55"/>
      <c r="P914" s="55"/>
      <c r="Q914" s="51"/>
      <c r="R914" s="51"/>
      <c r="S914" s="51"/>
      <c r="T914" s="51"/>
      <c r="U914" s="51"/>
      <c r="V914" s="51"/>
      <c r="W914" s="51"/>
      <c r="X914" s="51"/>
      <c r="Y914" s="51"/>
      <c r="Z914" s="51"/>
      <c r="AA914" s="51"/>
      <c r="AB914" s="51"/>
      <c r="AC914" s="51"/>
      <c r="AD914" s="51" t="s">
        <v>3289</v>
      </c>
      <c r="AE914" s="51" t="s">
        <v>3290</v>
      </c>
      <c r="AF914" s="51" t="str">
        <f t="shared" si="9"/>
        <v>A679081</v>
      </c>
      <c r="AG914" s="51" t="str">
        <f>VLOOKUP(AF914,AKT!$C$4:$E$324,3,FALSE)</f>
        <v>0942</v>
      </c>
    </row>
    <row r="915" spans="1:33" ht="15.75" hidden="1" customHeight="1">
      <c r="A915" s="51"/>
      <c r="B915" s="51"/>
      <c r="C915" s="51"/>
      <c r="D915" s="51"/>
      <c r="E915" s="51"/>
      <c r="F915" s="51"/>
      <c r="G915" s="51"/>
      <c r="H915" s="55"/>
      <c r="I915" s="55"/>
      <c r="J915" s="55"/>
      <c r="K915" s="55"/>
      <c r="L915" s="55"/>
      <c r="M915" s="55"/>
      <c r="N915" s="55"/>
      <c r="O915" s="55"/>
      <c r="P915" s="55"/>
      <c r="Q915" s="51"/>
      <c r="R915" s="51"/>
      <c r="S915" s="51"/>
      <c r="T915" s="51"/>
      <c r="U915" s="51"/>
      <c r="V915" s="51"/>
      <c r="W915" s="51"/>
      <c r="X915" s="51"/>
      <c r="Y915" s="51"/>
      <c r="Z915" s="51"/>
      <c r="AA915" s="51"/>
      <c r="AB915" s="51"/>
      <c r="AC915" s="51"/>
      <c r="AD915" s="51" t="s">
        <v>3291</v>
      </c>
      <c r="AE915" s="51" t="s">
        <v>3292</v>
      </c>
      <c r="AF915" s="51" t="str">
        <f t="shared" si="9"/>
        <v>A679081</v>
      </c>
      <c r="AG915" s="51" t="str">
        <f>VLOOKUP(AF915,AKT!$C$4:$E$324,3,FALSE)</f>
        <v>0942</v>
      </c>
    </row>
    <row r="916" spans="1:33" ht="15.75" hidden="1" customHeight="1">
      <c r="A916" s="51"/>
      <c r="B916" s="51"/>
      <c r="C916" s="51"/>
      <c r="D916" s="51"/>
      <c r="E916" s="51"/>
      <c r="F916" s="51"/>
      <c r="G916" s="51"/>
      <c r="H916" s="55"/>
      <c r="I916" s="55"/>
      <c r="J916" s="55"/>
      <c r="K916" s="55"/>
      <c r="L916" s="55"/>
      <c r="M916" s="55"/>
      <c r="N916" s="55"/>
      <c r="O916" s="55"/>
      <c r="P916" s="55"/>
      <c r="Q916" s="51"/>
      <c r="R916" s="51"/>
      <c r="S916" s="51"/>
      <c r="T916" s="51"/>
      <c r="U916" s="51"/>
      <c r="V916" s="51"/>
      <c r="W916" s="51"/>
      <c r="X916" s="51"/>
      <c r="Y916" s="51"/>
      <c r="Z916" s="51"/>
      <c r="AA916" s="51"/>
      <c r="AB916" s="51"/>
      <c r="AC916" s="51"/>
      <c r="AD916" s="51" t="s">
        <v>3293</v>
      </c>
      <c r="AE916" s="51" t="s">
        <v>3127</v>
      </c>
      <c r="AF916" s="51" t="str">
        <f t="shared" si="9"/>
        <v>A679081</v>
      </c>
      <c r="AG916" s="51" t="str">
        <f>VLOOKUP(AF916,AKT!$C$4:$E$324,3,FALSE)</f>
        <v>0942</v>
      </c>
    </row>
    <row r="917" spans="1:33" ht="15.75" hidden="1" customHeight="1">
      <c r="A917" s="51"/>
      <c r="B917" s="51"/>
      <c r="C917" s="51"/>
      <c r="D917" s="51"/>
      <c r="E917" s="51"/>
      <c r="F917" s="51"/>
      <c r="G917" s="51"/>
      <c r="H917" s="55"/>
      <c r="I917" s="55"/>
      <c r="J917" s="55"/>
      <c r="K917" s="55"/>
      <c r="L917" s="55"/>
      <c r="M917" s="55"/>
      <c r="N917" s="55"/>
      <c r="O917" s="55"/>
      <c r="P917" s="55"/>
      <c r="Q917" s="51"/>
      <c r="R917" s="51"/>
      <c r="S917" s="51"/>
      <c r="T917" s="51"/>
      <c r="U917" s="51"/>
      <c r="V917" s="51"/>
      <c r="W917" s="51"/>
      <c r="X917" s="51"/>
      <c r="Y917" s="51"/>
      <c r="Z917" s="51"/>
      <c r="AA917" s="51"/>
      <c r="AB917" s="51"/>
      <c r="AC917" s="51"/>
      <c r="AD917" s="51" t="s">
        <v>3294</v>
      </c>
      <c r="AE917" s="51" t="s">
        <v>3295</v>
      </c>
      <c r="AF917" s="51" t="str">
        <f t="shared" si="9"/>
        <v>A679081</v>
      </c>
      <c r="AG917" s="51" t="str">
        <f>VLOOKUP(AF917,AKT!$C$4:$E$324,3,FALSE)</f>
        <v>0942</v>
      </c>
    </row>
    <row r="918" spans="1:33" ht="15.75" hidden="1" customHeight="1">
      <c r="A918" s="51"/>
      <c r="B918" s="51"/>
      <c r="C918" s="51"/>
      <c r="D918" s="51"/>
      <c r="E918" s="51"/>
      <c r="F918" s="51"/>
      <c r="G918" s="51"/>
      <c r="H918" s="55"/>
      <c r="I918" s="55"/>
      <c r="J918" s="55"/>
      <c r="K918" s="55"/>
      <c r="L918" s="55"/>
      <c r="M918" s="55"/>
      <c r="N918" s="55"/>
      <c r="O918" s="55"/>
      <c r="P918" s="55"/>
      <c r="Q918" s="51"/>
      <c r="R918" s="51"/>
      <c r="S918" s="51"/>
      <c r="T918" s="51"/>
      <c r="U918" s="51"/>
      <c r="V918" s="51"/>
      <c r="W918" s="51"/>
      <c r="X918" s="51"/>
      <c r="Y918" s="51"/>
      <c r="Z918" s="51"/>
      <c r="AA918" s="51"/>
      <c r="AB918" s="51"/>
      <c r="AC918" s="51"/>
      <c r="AD918" s="51" t="s">
        <v>3296</v>
      </c>
      <c r="AE918" s="51" t="s">
        <v>3297</v>
      </c>
      <c r="AF918" s="51" t="str">
        <f t="shared" si="9"/>
        <v>A679081</v>
      </c>
      <c r="AG918" s="51" t="str">
        <f>VLOOKUP(AF918,AKT!$C$4:$E$324,3,FALSE)</f>
        <v>0942</v>
      </c>
    </row>
    <row r="919" spans="1:33" ht="15.75" hidden="1" customHeight="1">
      <c r="A919" s="51"/>
      <c r="B919" s="51"/>
      <c r="C919" s="51"/>
      <c r="D919" s="51"/>
      <c r="E919" s="51"/>
      <c r="F919" s="51"/>
      <c r="G919" s="51"/>
      <c r="H919" s="55"/>
      <c r="I919" s="55"/>
      <c r="J919" s="55"/>
      <c r="K919" s="55"/>
      <c r="L919" s="55"/>
      <c r="M919" s="55"/>
      <c r="N919" s="55"/>
      <c r="O919" s="55"/>
      <c r="P919" s="55"/>
      <c r="Q919" s="51"/>
      <c r="R919" s="51"/>
      <c r="S919" s="51"/>
      <c r="T919" s="51"/>
      <c r="U919" s="51"/>
      <c r="V919" s="51"/>
      <c r="W919" s="51"/>
      <c r="X919" s="51"/>
      <c r="Y919" s="51"/>
      <c r="Z919" s="51"/>
      <c r="AA919" s="51"/>
      <c r="AB919" s="51"/>
      <c r="AC919" s="51"/>
      <c r="AD919" s="51" t="s">
        <v>3298</v>
      </c>
      <c r="AE919" s="51" t="s">
        <v>3299</v>
      </c>
      <c r="AF919" s="51" t="str">
        <f t="shared" si="9"/>
        <v>A679081</v>
      </c>
      <c r="AG919" s="51" t="str">
        <f>VLOOKUP(AF919,AKT!$C$4:$E$324,3,FALSE)</f>
        <v>0942</v>
      </c>
    </row>
    <row r="920" spans="1:33" ht="15.75" hidden="1" customHeight="1">
      <c r="A920" s="51"/>
      <c r="B920" s="51"/>
      <c r="C920" s="51"/>
      <c r="D920" s="51"/>
      <c r="E920" s="51"/>
      <c r="F920" s="51"/>
      <c r="G920" s="51"/>
      <c r="H920" s="55"/>
      <c r="I920" s="55"/>
      <c r="J920" s="55"/>
      <c r="K920" s="55"/>
      <c r="L920" s="55"/>
      <c r="M920" s="55"/>
      <c r="N920" s="55"/>
      <c r="O920" s="55"/>
      <c r="P920" s="55"/>
      <c r="Q920" s="51"/>
      <c r="R920" s="51"/>
      <c r="S920" s="51"/>
      <c r="T920" s="51"/>
      <c r="U920" s="51"/>
      <c r="V920" s="51"/>
      <c r="W920" s="51"/>
      <c r="X920" s="51"/>
      <c r="Y920" s="51"/>
      <c r="Z920" s="51"/>
      <c r="AA920" s="51"/>
      <c r="AB920" s="51"/>
      <c r="AC920" s="51"/>
      <c r="AD920" s="51" t="s">
        <v>3300</v>
      </c>
      <c r="AE920" s="51" t="s">
        <v>3301</v>
      </c>
      <c r="AF920" s="51" t="str">
        <f t="shared" si="9"/>
        <v>A679081</v>
      </c>
      <c r="AG920" s="51" t="str">
        <f>VLOOKUP(AF920,AKT!$C$4:$E$324,3,FALSE)</f>
        <v>0942</v>
      </c>
    </row>
    <row r="921" spans="1:33" ht="15.75" hidden="1" customHeight="1">
      <c r="A921" s="51"/>
      <c r="B921" s="51"/>
      <c r="C921" s="51"/>
      <c r="D921" s="51"/>
      <c r="E921" s="51"/>
      <c r="F921" s="51"/>
      <c r="G921" s="51"/>
      <c r="H921" s="55"/>
      <c r="I921" s="55"/>
      <c r="J921" s="55"/>
      <c r="K921" s="55"/>
      <c r="L921" s="55"/>
      <c r="M921" s="55"/>
      <c r="N921" s="55"/>
      <c r="O921" s="55"/>
      <c r="P921" s="55"/>
      <c r="Q921" s="51"/>
      <c r="R921" s="51"/>
      <c r="S921" s="51"/>
      <c r="T921" s="51"/>
      <c r="U921" s="51"/>
      <c r="V921" s="51"/>
      <c r="W921" s="51"/>
      <c r="X921" s="51"/>
      <c r="Y921" s="51"/>
      <c r="Z921" s="51"/>
      <c r="AA921" s="51"/>
      <c r="AB921" s="51"/>
      <c r="AC921" s="51"/>
      <c r="AD921" s="51" t="s">
        <v>3302</v>
      </c>
      <c r="AE921" s="51" t="s">
        <v>3303</v>
      </c>
      <c r="AF921" s="51" t="str">
        <f t="shared" si="9"/>
        <v>A679115</v>
      </c>
      <c r="AG921" s="51" t="str">
        <f>VLOOKUP(AF921,AKT!$C$4:$E$324,3,FALSE)</f>
        <v>0942</v>
      </c>
    </row>
    <row r="922" spans="1:33" ht="15.75" hidden="1" customHeight="1">
      <c r="A922" s="51"/>
      <c r="B922" s="51"/>
      <c r="C922" s="51"/>
      <c r="D922" s="51"/>
      <c r="E922" s="51"/>
      <c r="F922" s="51"/>
      <c r="G922" s="51"/>
      <c r="H922" s="55"/>
      <c r="I922" s="55"/>
      <c r="J922" s="55"/>
      <c r="K922" s="55"/>
      <c r="L922" s="55"/>
      <c r="M922" s="55"/>
      <c r="N922" s="55"/>
      <c r="O922" s="55"/>
      <c r="P922" s="55"/>
      <c r="Q922" s="51"/>
      <c r="R922" s="51"/>
      <c r="S922" s="51"/>
      <c r="T922" s="51"/>
      <c r="U922" s="51"/>
      <c r="V922" s="51"/>
      <c r="W922" s="51"/>
      <c r="X922" s="51"/>
      <c r="Y922" s="51"/>
      <c r="Z922" s="51"/>
      <c r="AA922" s="51"/>
      <c r="AB922" s="51"/>
      <c r="AC922" s="51"/>
      <c r="AD922" s="51" t="s">
        <v>3304</v>
      </c>
      <c r="AE922" s="51" t="s">
        <v>3305</v>
      </c>
      <c r="AF922" s="51" t="str">
        <f t="shared" si="9"/>
        <v>A679115</v>
      </c>
      <c r="AG922" s="51" t="str">
        <f>VLOOKUP(AF922,AKT!$C$4:$E$324,3,FALSE)</f>
        <v>0942</v>
      </c>
    </row>
    <row r="923" spans="1:33" ht="15.75" hidden="1" customHeight="1">
      <c r="A923" s="51"/>
      <c r="B923" s="51"/>
      <c r="C923" s="51"/>
      <c r="D923" s="51"/>
      <c r="E923" s="51"/>
      <c r="F923" s="51"/>
      <c r="G923" s="51"/>
      <c r="H923" s="55"/>
      <c r="I923" s="55"/>
      <c r="J923" s="55"/>
      <c r="K923" s="55"/>
      <c r="L923" s="55"/>
      <c r="M923" s="55"/>
      <c r="N923" s="55"/>
      <c r="O923" s="55"/>
      <c r="P923" s="55"/>
      <c r="Q923" s="51"/>
      <c r="R923" s="51"/>
      <c r="S923" s="51"/>
      <c r="T923" s="51"/>
      <c r="U923" s="51"/>
      <c r="V923" s="51"/>
      <c r="W923" s="51"/>
      <c r="X923" s="51"/>
      <c r="Y923" s="51"/>
      <c r="Z923" s="51"/>
      <c r="AA923" s="51"/>
      <c r="AB923" s="51"/>
      <c r="AC923" s="51"/>
      <c r="AD923" s="51" t="s">
        <v>3306</v>
      </c>
      <c r="AE923" s="51" t="s">
        <v>3307</v>
      </c>
      <c r="AF923" s="51" t="str">
        <f t="shared" si="9"/>
        <v>A679115</v>
      </c>
      <c r="AG923" s="51" t="str">
        <f>VLOOKUP(AF923,AKT!$C$4:$E$324,3,FALSE)</f>
        <v>0942</v>
      </c>
    </row>
    <row r="924" spans="1:33" ht="15.75" hidden="1" customHeight="1">
      <c r="A924" s="51"/>
      <c r="B924" s="51"/>
      <c r="C924" s="51"/>
      <c r="D924" s="51"/>
      <c r="E924" s="51"/>
      <c r="F924" s="51"/>
      <c r="G924" s="51"/>
      <c r="H924" s="55"/>
      <c r="I924" s="55"/>
      <c r="J924" s="55"/>
      <c r="K924" s="55"/>
      <c r="L924" s="55"/>
      <c r="M924" s="55"/>
      <c r="N924" s="55"/>
      <c r="O924" s="55"/>
      <c r="P924" s="55"/>
      <c r="Q924" s="51"/>
      <c r="R924" s="51"/>
      <c r="S924" s="51"/>
      <c r="T924" s="51"/>
      <c r="U924" s="51"/>
      <c r="V924" s="51"/>
      <c r="W924" s="51"/>
      <c r="X924" s="51"/>
      <c r="Y924" s="51"/>
      <c r="Z924" s="51"/>
      <c r="AA924" s="51"/>
      <c r="AB924" s="51"/>
      <c r="AC924" s="51"/>
      <c r="AD924" s="51" t="s">
        <v>3308</v>
      </c>
      <c r="AE924" s="51" t="s">
        <v>3309</v>
      </c>
      <c r="AF924" s="51" t="str">
        <f t="shared" si="9"/>
        <v>A679115</v>
      </c>
      <c r="AG924" s="51" t="str">
        <f>VLOOKUP(AF924,AKT!$C$4:$E$324,3,FALSE)</f>
        <v>0942</v>
      </c>
    </row>
    <row r="925" spans="1:33" ht="15.75" hidden="1" customHeight="1">
      <c r="A925" s="51"/>
      <c r="B925" s="51"/>
      <c r="C925" s="51"/>
      <c r="D925" s="51"/>
      <c r="E925" s="51"/>
      <c r="F925" s="51"/>
      <c r="G925" s="51"/>
      <c r="H925" s="55"/>
      <c r="I925" s="55"/>
      <c r="J925" s="55"/>
      <c r="K925" s="55"/>
      <c r="L925" s="55"/>
      <c r="M925" s="55"/>
      <c r="N925" s="55"/>
      <c r="O925" s="55"/>
      <c r="P925" s="55"/>
      <c r="Q925" s="51"/>
      <c r="R925" s="51"/>
      <c r="S925" s="51"/>
      <c r="T925" s="51"/>
      <c r="U925" s="51"/>
      <c r="V925" s="51"/>
      <c r="W925" s="51"/>
      <c r="X925" s="51"/>
      <c r="Y925" s="51"/>
      <c r="Z925" s="51"/>
      <c r="AA925" s="51"/>
      <c r="AB925" s="51"/>
      <c r="AC925" s="51"/>
      <c r="AD925" s="51" t="s">
        <v>3310</v>
      </c>
      <c r="AE925" s="51" t="s">
        <v>3311</v>
      </c>
      <c r="AF925" s="51" t="str">
        <f t="shared" si="9"/>
        <v>A679115</v>
      </c>
      <c r="AG925" s="51" t="str">
        <f>VLOOKUP(AF925,AKT!$C$4:$E$324,3,FALSE)</f>
        <v>0942</v>
      </c>
    </row>
    <row r="926" spans="1:33" ht="15.75" hidden="1" customHeight="1">
      <c r="A926" s="51"/>
      <c r="B926" s="51"/>
      <c r="C926" s="51"/>
      <c r="D926" s="51"/>
      <c r="E926" s="51"/>
      <c r="F926" s="51"/>
      <c r="G926" s="51"/>
      <c r="H926" s="55"/>
      <c r="I926" s="55"/>
      <c r="J926" s="55"/>
      <c r="K926" s="55"/>
      <c r="L926" s="55"/>
      <c r="M926" s="55"/>
      <c r="N926" s="55"/>
      <c r="O926" s="55"/>
      <c r="P926" s="55"/>
      <c r="Q926" s="51"/>
      <c r="R926" s="51"/>
      <c r="S926" s="51"/>
      <c r="T926" s="51"/>
      <c r="U926" s="51"/>
      <c r="V926" s="51"/>
      <c r="W926" s="51"/>
      <c r="X926" s="51"/>
      <c r="Y926" s="51"/>
      <c r="Z926" s="51"/>
      <c r="AA926" s="51"/>
      <c r="AB926" s="51"/>
      <c r="AC926" s="51"/>
      <c r="AD926" s="51" t="s">
        <v>3312</v>
      </c>
      <c r="AE926" s="51" t="s">
        <v>3313</v>
      </c>
      <c r="AF926" s="51" t="str">
        <f t="shared" si="9"/>
        <v>A679115</v>
      </c>
      <c r="AG926" s="51" t="str">
        <f>VLOOKUP(AF926,AKT!$C$4:$E$324,3,FALSE)</f>
        <v>0942</v>
      </c>
    </row>
    <row r="927" spans="1:33" ht="15.75" hidden="1" customHeight="1">
      <c r="A927" s="51"/>
      <c r="B927" s="51"/>
      <c r="C927" s="51"/>
      <c r="D927" s="51"/>
      <c r="E927" s="51"/>
      <c r="F927" s="51"/>
      <c r="G927" s="51"/>
      <c r="H927" s="55"/>
      <c r="I927" s="55"/>
      <c r="J927" s="55"/>
      <c r="K927" s="55"/>
      <c r="L927" s="55"/>
      <c r="M927" s="55"/>
      <c r="N927" s="55"/>
      <c r="O927" s="55"/>
      <c r="P927" s="55"/>
      <c r="Q927" s="51"/>
      <c r="R927" s="51"/>
      <c r="S927" s="51"/>
      <c r="T927" s="51"/>
      <c r="U927" s="51"/>
      <c r="V927" s="51"/>
      <c r="W927" s="51"/>
      <c r="X927" s="51"/>
      <c r="Y927" s="51"/>
      <c r="Z927" s="51"/>
      <c r="AA927" s="51"/>
      <c r="AB927" s="51"/>
      <c r="AC927" s="51"/>
      <c r="AD927" s="51" t="s">
        <v>3314</v>
      </c>
      <c r="AE927" s="51" t="s">
        <v>3315</v>
      </c>
      <c r="AF927" s="51" t="str">
        <f t="shared" si="9"/>
        <v>A679115</v>
      </c>
      <c r="AG927" s="51" t="str">
        <f>VLOOKUP(AF927,AKT!$C$4:$E$324,3,FALSE)</f>
        <v>0942</v>
      </c>
    </row>
    <row r="928" spans="1:33" ht="15.75" hidden="1" customHeight="1">
      <c r="A928" s="51"/>
      <c r="B928" s="51"/>
      <c r="C928" s="51"/>
      <c r="D928" s="51"/>
      <c r="E928" s="51"/>
      <c r="F928" s="51"/>
      <c r="G928" s="51"/>
      <c r="H928" s="55"/>
      <c r="I928" s="55"/>
      <c r="J928" s="55"/>
      <c r="K928" s="55"/>
      <c r="L928" s="55"/>
      <c r="M928" s="55"/>
      <c r="N928" s="55"/>
      <c r="O928" s="55"/>
      <c r="P928" s="55"/>
      <c r="Q928" s="51"/>
      <c r="R928" s="51"/>
      <c r="S928" s="51"/>
      <c r="T928" s="51"/>
      <c r="U928" s="51"/>
      <c r="V928" s="51"/>
      <c r="W928" s="51"/>
      <c r="X928" s="51"/>
      <c r="Y928" s="51"/>
      <c r="Z928" s="51"/>
      <c r="AA928" s="51"/>
      <c r="AB928" s="51"/>
      <c r="AC928" s="51"/>
      <c r="AD928" s="51" t="s">
        <v>3316</v>
      </c>
      <c r="AE928" s="51" t="s">
        <v>3317</v>
      </c>
      <c r="AF928" s="51" t="str">
        <f t="shared" si="9"/>
        <v>A679115</v>
      </c>
      <c r="AG928" s="51" t="str">
        <f>VLOOKUP(AF928,AKT!$C$4:$E$324,3,FALSE)</f>
        <v>0942</v>
      </c>
    </row>
    <row r="929" spans="1:33" ht="15.75" hidden="1" customHeight="1">
      <c r="A929" s="51"/>
      <c r="B929" s="51"/>
      <c r="C929" s="51"/>
      <c r="D929" s="51"/>
      <c r="E929" s="51"/>
      <c r="F929" s="51"/>
      <c r="G929" s="51"/>
      <c r="H929" s="55"/>
      <c r="I929" s="55"/>
      <c r="J929" s="55"/>
      <c r="K929" s="55"/>
      <c r="L929" s="55"/>
      <c r="M929" s="55"/>
      <c r="N929" s="55"/>
      <c r="O929" s="55"/>
      <c r="P929" s="55"/>
      <c r="Q929" s="51"/>
      <c r="R929" s="51"/>
      <c r="S929" s="51"/>
      <c r="T929" s="51"/>
      <c r="U929" s="51"/>
      <c r="V929" s="51"/>
      <c r="W929" s="51"/>
      <c r="X929" s="51"/>
      <c r="Y929" s="51"/>
      <c r="Z929" s="51"/>
      <c r="AA929" s="51"/>
      <c r="AB929" s="51"/>
      <c r="AC929" s="51"/>
      <c r="AD929" s="51" t="s">
        <v>3318</v>
      </c>
      <c r="AE929" s="51" t="s">
        <v>3319</v>
      </c>
      <c r="AF929" s="51" t="str">
        <f t="shared" si="9"/>
        <v>K679084</v>
      </c>
      <c r="AG929" s="51" t="str">
        <f>VLOOKUP(AF929,AKT!$C$4:$E$324,3,FALSE)</f>
        <v>0942</v>
      </c>
    </row>
    <row r="930" spans="1:33" ht="15.75" hidden="1" customHeight="1">
      <c r="A930" s="51"/>
      <c r="B930" s="51"/>
      <c r="C930" s="51"/>
      <c r="D930" s="51"/>
      <c r="E930" s="51"/>
      <c r="F930" s="51"/>
      <c r="G930" s="51"/>
      <c r="H930" s="55"/>
      <c r="I930" s="55"/>
      <c r="J930" s="55"/>
      <c r="K930" s="55"/>
      <c r="L930" s="55"/>
      <c r="M930" s="55"/>
      <c r="N930" s="55"/>
      <c r="O930" s="55"/>
      <c r="P930" s="55"/>
      <c r="Q930" s="51"/>
      <c r="R930" s="51"/>
      <c r="S930" s="51"/>
      <c r="T930" s="51"/>
      <c r="U930" s="51"/>
      <c r="V930" s="51"/>
      <c r="W930" s="51"/>
      <c r="X930" s="51"/>
      <c r="Y930" s="51"/>
      <c r="Z930" s="51"/>
      <c r="AA930" s="51"/>
      <c r="AB930" s="51"/>
      <c r="AC930" s="51"/>
      <c r="AD930" s="51" t="s">
        <v>3320</v>
      </c>
      <c r="AE930" s="51" t="s">
        <v>1409</v>
      </c>
      <c r="AF930" s="51" t="str">
        <f t="shared" si="9"/>
        <v>K679084</v>
      </c>
      <c r="AG930" s="51" t="str">
        <f>VLOOKUP(AF930,AKT!$C$4:$E$324,3,FALSE)</f>
        <v>0942</v>
      </c>
    </row>
    <row r="931" spans="1:33" ht="15.75" hidden="1" customHeight="1">
      <c r="A931" s="51"/>
      <c r="B931" s="51"/>
      <c r="C931" s="51"/>
      <c r="D931" s="51"/>
      <c r="E931" s="51"/>
      <c r="F931" s="51"/>
      <c r="G931" s="51"/>
      <c r="H931" s="55"/>
      <c r="I931" s="55"/>
      <c r="J931" s="55"/>
      <c r="K931" s="55"/>
      <c r="L931" s="55"/>
      <c r="M931" s="55"/>
      <c r="N931" s="55"/>
      <c r="O931" s="55"/>
      <c r="P931" s="55"/>
      <c r="Q931" s="51"/>
      <c r="R931" s="51"/>
      <c r="S931" s="51"/>
      <c r="T931" s="51"/>
      <c r="U931" s="51"/>
      <c r="V931" s="51"/>
      <c r="W931" s="51"/>
      <c r="X931" s="51"/>
      <c r="Y931" s="51"/>
      <c r="Z931" s="51"/>
      <c r="AA931" s="51"/>
      <c r="AB931" s="51"/>
      <c r="AC931" s="51"/>
      <c r="AD931" s="51" t="s">
        <v>3321</v>
      </c>
      <c r="AE931" s="51" t="s">
        <v>3322</v>
      </c>
      <c r="AF931" s="51" t="str">
        <f t="shared" si="9"/>
        <v>K679084</v>
      </c>
      <c r="AG931" s="51" t="str">
        <f>VLOOKUP(AF931,AKT!$C$4:$E$324,3,FALSE)</f>
        <v>0942</v>
      </c>
    </row>
    <row r="932" spans="1:33" ht="15.75" hidden="1" customHeight="1">
      <c r="A932" s="51"/>
      <c r="B932" s="51"/>
      <c r="C932" s="51"/>
      <c r="D932" s="51"/>
      <c r="E932" s="51"/>
      <c r="F932" s="51"/>
      <c r="G932" s="51"/>
      <c r="H932" s="55"/>
      <c r="I932" s="55"/>
      <c r="J932" s="55"/>
      <c r="K932" s="55"/>
      <c r="L932" s="55"/>
      <c r="M932" s="55"/>
      <c r="N932" s="55"/>
      <c r="O932" s="55"/>
      <c r="P932" s="55"/>
      <c r="Q932" s="51"/>
      <c r="R932" s="51"/>
      <c r="S932" s="51"/>
      <c r="T932" s="51"/>
      <c r="U932" s="51"/>
      <c r="V932" s="51"/>
      <c r="W932" s="51"/>
      <c r="X932" s="51"/>
      <c r="Y932" s="51"/>
      <c r="Z932" s="51"/>
      <c r="AA932" s="51"/>
      <c r="AB932" s="51"/>
      <c r="AC932" s="51"/>
      <c r="AD932" s="51" t="s">
        <v>3323</v>
      </c>
      <c r="AE932" s="51" t="s">
        <v>3324</v>
      </c>
      <c r="AF932" s="51" t="str">
        <f t="shared" si="9"/>
        <v>K679084</v>
      </c>
      <c r="AG932" s="51" t="str">
        <f>VLOOKUP(AF932,AKT!$C$4:$E$324,3,FALSE)</f>
        <v>0942</v>
      </c>
    </row>
    <row r="933" spans="1:33" ht="15.75" hidden="1" customHeight="1">
      <c r="A933" s="51"/>
      <c r="B933" s="51"/>
      <c r="C933" s="51"/>
      <c r="D933" s="51"/>
      <c r="E933" s="51"/>
      <c r="F933" s="51"/>
      <c r="G933" s="51"/>
      <c r="H933" s="55"/>
      <c r="I933" s="55"/>
      <c r="J933" s="55"/>
      <c r="K933" s="55"/>
      <c r="L933" s="55"/>
      <c r="M933" s="55"/>
      <c r="N933" s="55"/>
      <c r="O933" s="55"/>
      <c r="P933" s="55"/>
      <c r="Q933" s="51"/>
      <c r="R933" s="51"/>
      <c r="S933" s="51"/>
      <c r="T933" s="51"/>
      <c r="U933" s="51"/>
      <c r="V933" s="51"/>
      <c r="W933" s="51"/>
      <c r="X933" s="51"/>
      <c r="Y933" s="51"/>
      <c r="Z933" s="51"/>
      <c r="AA933" s="51"/>
      <c r="AB933" s="51"/>
      <c r="AC933" s="51"/>
      <c r="AD933" s="51" t="s">
        <v>3325</v>
      </c>
      <c r="AE933" s="51" t="s">
        <v>1403</v>
      </c>
      <c r="AF933" s="51" t="str">
        <f t="shared" si="9"/>
        <v>K679084</v>
      </c>
      <c r="AG933" s="51" t="str">
        <f>VLOOKUP(AF933,AKT!$C$4:$E$324,3,FALSE)</f>
        <v>0942</v>
      </c>
    </row>
    <row r="934" spans="1:33" ht="15.75" hidden="1" customHeight="1">
      <c r="A934" s="51"/>
      <c r="B934" s="51"/>
      <c r="C934" s="51"/>
      <c r="D934" s="51"/>
      <c r="E934" s="51"/>
      <c r="F934" s="51"/>
      <c r="G934" s="51"/>
      <c r="H934" s="55"/>
      <c r="I934" s="55"/>
      <c r="J934" s="55"/>
      <c r="K934" s="55"/>
      <c r="L934" s="55"/>
      <c r="M934" s="55"/>
      <c r="N934" s="55"/>
      <c r="O934" s="55"/>
      <c r="P934" s="55"/>
      <c r="Q934" s="51"/>
      <c r="R934" s="51"/>
      <c r="S934" s="51"/>
      <c r="T934" s="51"/>
      <c r="U934" s="51"/>
      <c r="V934" s="51"/>
      <c r="W934" s="51"/>
      <c r="X934" s="51"/>
      <c r="Y934" s="51"/>
      <c r="Z934" s="51"/>
      <c r="AA934" s="51"/>
      <c r="AB934" s="51"/>
      <c r="AC934" s="51"/>
      <c r="AD934" s="51" t="s">
        <v>1907</v>
      </c>
      <c r="AE934" s="51" t="s">
        <v>3274</v>
      </c>
      <c r="AF934" s="51" t="str">
        <f t="shared" si="9"/>
        <v>K679084</v>
      </c>
      <c r="AG934" s="51" t="str">
        <f>VLOOKUP(AF934,AKT!$C$4:$E$324,3,FALSE)</f>
        <v>0942</v>
      </c>
    </row>
    <row r="935" spans="1:33" ht="15.75" hidden="1" customHeight="1">
      <c r="A935" s="51"/>
      <c r="B935" s="51"/>
      <c r="C935" s="51"/>
      <c r="D935" s="51"/>
      <c r="E935" s="51"/>
      <c r="F935" s="51"/>
      <c r="G935" s="51"/>
      <c r="H935" s="55"/>
      <c r="I935" s="55"/>
      <c r="J935" s="55"/>
      <c r="K935" s="55"/>
      <c r="L935" s="55"/>
      <c r="M935" s="55"/>
      <c r="N935" s="55"/>
      <c r="O935" s="55"/>
      <c r="P935" s="55"/>
      <c r="Q935" s="51"/>
      <c r="R935" s="51"/>
      <c r="S935" s="51"/>
      <c r="T935" s="51"/>
      <c r="U935" s="51"/>
      <c r="V935" s="51"/>
      <c r="W935" s="51"/>
      <c r="X935" s="51"/>
      <c r="Y935" s="51"/>
      <c r="Z935" s="51"/>
      <c r="AA935" s="51"/>
      <c r="AB935" s="51"/>
      <c r="AC935" s="51"/>
      <c r="AD935" s="51" t="s">
        <v>3326</v>
      </c>
      <c r="AE935" s="51" t="s">
        <v>1413</v>
      </c>
      <c r="AF935" s="51" t="str">
        <f t="shared" si="9"/>
        <v>K679084</v>
      </c>
      <c r="AG935" s="51" t="str">
        <f>VLOOKUP(AF935,AKT!$C$4:$E$324,3,FALSE)</f>
        <v>0942</v>
      </c>
    </row>
    <row r="936" spans="1:33" ht="15.75" hidden="1" customHeight="1">
      <c r="A936" s="51"/>
      <c r="B936" s="51"/>
      <c r="C936" s="51"/>
      <c r="D936" s="51"/>
      <c r="E936" s="51"/>
      <c r="F936" s="51"/>
      <c r="G936" s="51"/>
      <c r="H936" s="55"/>
      <c r="I936" s="55"/>
      <c r="J936" s="55"/>
      <c r="K936" s="55"/>
      <c r="L936" s="55"/>
      <c r="M936" s="55"/>
      <c r="N936" s="55"/>
      <c r="O936" s="55"/>
      <c r="P936" s="55"/>
      <c r="Q936" s="51"/>
      <c r="R936" s="51"/>
      <c r="S936" s="51"/>
      <c r="T936" s="51"/>
      <c r="U936" s="51"/>
      <c r="V936" s="51"/>
      <c r="W936" s="51"/>
      <c r="X936" s="51"/>
      <c r="Y936" s="51"/>
      <c r="Z936" s="51"/>
      <c r="AA936" s="51"/>
      <c r="AB936" s="51"/>
      <c r="AC936" s="51"/>
      <c r="AD936" s="51" t="s">
        <v>3327</v>
      </c>
      <c r="AE936" s="51" t="s">
        <v>1431</v>
      </c>
      <c r="AF936" s="51" t="str">
        <f t="shared" si="9"/>
        <v>K679106</v>
      </c>
      <c r="AG936" s="51" t="str">
        <f>VLOOKUP(AF936,AKT!$C$4:$E$324,3,FALSE)</f>
        <v>0942</v>
      </c>
    </row>
    <row r="937" spans="1:33" ht="15.75" hidden="1" customHeight="1">
      <c r="A937" s="51"/>
      <c r="B937" s="51"/>
      <c r="C937" s="51"/>
      <c r="D937" s="51"/>
      <c r="E937" s="51"/>
      <c r="F937" s="51"/>
      <c r="G937" s="51"/>
      <c r="H937" s="55"/>
      <c r="I937" s="55"/>
      <c r="J937" s="55"/>
      <c r="K937" s="55"/>
      <c r="L937" s="55"/>
      <c r="M937" s="55"/>
      <c r="N937" s="55"/>
      <c r="O937" s="55"/>
      <c r="P937" s="55"/>
      <c r="Q937" s="51"/>
      <c r="R937" s="51"/>
      <c r="S937" s="51"/>
      <c r="T937" s="51"/>
      <c r="U937" s="51"/>
      <c r="V937" s="51"/>
      <c r="W937" s="51"/>
      <c r="X937" s="51"/>
      <c r="Y937" s="51"/>
      <c r="Z937" s="51"/>
      <c r="AA937" s="51"/>
      <c r="AB937" s="51"/>
      <c r="AC937" s="51"/>
      <c r="AD937" s="51" t="s">
        <v>3328</v>
      </c>
      <c r="AE937" s="51" t="s">
        <v>1434</v>
      </c>
      <c r="AF937" s="51" t="str">
        <f t="shared" si="9"/>
        <v>K679106</v>
      </c>
      <c r="AG937" s="51" t="str">
        <f>VLOOKUP(AF937,AKT!$C$4:$E$324,3,FALSE)</f>
        <v>0942</v>
      </c>
    </row>
    <row r="938" spans="1:33" ht="15.75" hidden="1" customHeight="1">
      <c r="A938" s="51"/>
      <c r="B938" s="51"/>
      <c r="C938" s="51"/>
      <c r="D938" s="51"/>
      <c r="E938" s="51"/>
      <c r="F938" s="51"/>
      <c r="G938" s="51"/>
      <c r="H938" s="55"/>
      <c r="I938" s="55"/>
      <c r="J938" s="55"/>
      <c r="K938" s="55"/>
      <c r="L938" s="55"/>
      <c r="M938" s="55"/>
      <c r="N938" s="55"/>
      <c r="O938" s="55"/>
      <c r="P938" s="55"/>
      <c r="Q938" s="51"/>
      <c r="R938" s="51"/>
      <c r="S938" s="51"/>
      <c r="T938" s="51"/>
      <c r="U938" s="51"/>
      <c r="V938" s="51"/>
      <c r="W938" s="51"/>
      <c r="X938" s="51"/>
      <c r="Y938" s="51"/>
      <c r="Z938" s="51"/>
      <c r="AA938" s="51"/>
      <c r="AB938" s="51"/>
      <c r="AC938" s="51"/>
      <c r="AD938" s="51" t="s">
        <v>3329</v>
      </c>
      <c r="AE938" s="51" t="s">
        <v>1436</v>
      </c>
      <c r="AF938" s="51" t="str">
        <f t="shared" si="9"/>
        <v>K679106</v>
      </c>
      <c r="AG938" s="51" t="str">
        <f>VLOOKUP(AF938,AKT!$C$4:$E$324,3,FALSE)</f>
        <v>0942</v>
      </c>
    </row>
    <row r="939" spans="1:33" ht="15.75" hidden="1" customHeight="1">
      <c r="A939" s="51"/>
      <c r="B939" s="51"/>
      <c r="C939" s="51"/>
      <c r="D939" s="51"/>
      <c r="E939" s="51"/>
      <c r="F939" s="51"/>
      <c r="G939" s="51"/>
      <c r="H939" s="55"/>
      <c r="I939" s="55"/>
      <c r="J939" s="55"/>
      <c r="K939" s="55"/>
      <c r="L939" s="55"/>
      <c r="M939" s="55"/>
      <c r="N939" s="55"/>
      <c r="O939" s="55"/>
      <c r="P939" s="55"/>
      <c r="Q939" s="51"/>
      <c r="R939" s="51"/>
      <c r="S939" s="51"/>
      <c r="T939" s="51"/>
      <c r="U939" s="51"/>
      <c r="V939" s="51"/>
      <c r="W939" s="51"/>
      <c r="X939" s="51"/>
      <c r="Y939" s="51"/>
      <c r="Z939" s="51"/>
      <c r="AA939" s="51"/>
      <c r="AB939" s="51"/>
      <c r="AC939" s="51"/>
      <c r="AD939" s="51" t="s">
        <v>3330</v>
      </c>
      <c r="AE939" s="51" t="s">
        <v>3331</v>
      </c>
      <c r="AF939" s="51" t="str">
        <f t="shared" si="9"/>
        <v>K679106</v>
      </c>
      <c r="AG939" s="51" t="str">
        <f>VLOOKUP(AF939,AKT!$C$4:$E$324,3,FALSE)</f>
        <v>0942</v>
      </c>
    </row>
    <row r="940" spans="1:33" ht="15.75" hidden="1" customHeight="1">
      <c r="A940" s="51"/>
      <c r="B940" s="51"/>
      <c r="C940" s="51"/>
      <c r="D940" s="51"/>
      <c r="E940" s="51"/>
      <c r="F940" s="51"/>
      <c r="G940" s="51"/>
      <c r="H940" s="55"/>
      <c r="I940" s="55"/>
      <c r="J940" s="55"/>
      <c r="K940" s="55"/>
      <c r="L940" s="55"/>
      <c r="M940" s="55"/>
      <c r="N940" s="55"/>
      <c r="O940" s="55"/>
      <c r="P940" s="55"/>
      <c r="Q940" s="51"/>
      <c r="R940" s="51"/>
      <c r="S940" s="51"/>
      <c r="T940" s="51"/>
      <c r="U940" s="51"/>
      <c r="V940" s="51"/>
      <c r="W940" s="51"/>
      <c r="X940" s="51"/>
      <c r="Y940" s="51"/>
      <c r="Z940" s="51"/>
      <c r="AA940" s="51"/>
      <c r="AB940" s="51"/>
      <c r="AC940" s="51"/>
      <c r="AD940" s="51" t="s">
        <v>3332</v>
      </c>
      <c r="AE940" s="51" t="s">
        <v>3333</v>
      </c>
      <c r="AF940" s="51" t="str">
        <f t="shared" si="9"/>
        <v>K679106</v>
      </c>
      <c r="AG940" s="51" t="str">
        <f>VLOOKUP(AF940,AKT!$C$4:$E$324,3,FALSE)</f>
        <v>0942</v>
      </c>
    </row>
    <row r="941" spans="1:33" ht="15.75" hidden="1" customHeight="1">
      <c r="A941" s="51"/>
      <c r="B941" s="51"/>
      <c r="C941" s="51"/>
      <c r="D941" s="51"/>
      <c r="E941" s="51"/>
      <c r="F941" s="51"/>
      <c r="G941" s="51"/>
      <c r="H941" s="55"/>
      <c r="I941" s="55"/>
      <c r="J941" s="55"/>
      <c r="K941" s="55"/>
      <c r="L941" s="55"/>
      <c r="M941" s="55"/>
      <c r="N941" s="55"/>
      <c r="O941" s="55"/>
      <c r="P941" s="55"/>
      <c r="Q941" s="51"/>
      <c r="R941" s="51"/>
      <c r="S941" s="51"/>
      <c r="T941" s="51"/>
      <c r="U941" s="51"/>
      <c r="V941" s="51"/>
      <c r="W941" s="51"/>
      <c r="X941" s="51"/>
      <c r="Y941" s="51"/>
      <c r="Z941" s="51"/>
      <c r="AA941" s="51"/>
      <c r="AB941" s="51"/>
      <c r="AC941" s="51"/>
      <c r="AD941" s="51" t="s">
        <v>3334</v>
      </c>
      <c r="AE941" s="51" t="s">
        <v>3335</v>
      </c>
      <c r="AF941" s="51" t="str">
        <f t="shared" si="9"/>
        <v>K679111</v>
      </c>
      <c r="AG941" s="51" t="str">
        <f>IFERROR(VLOOKUP(AF941,AKT!$C$4:$E$324,3,FALSE),"0942")</f>
        <v>0942</v>
      </c>
    </row>
    <row r="942" spans="1:33" ht="15.75" hidden="1" customHeight="1">
      <c r="A942" s="51"/>
      <c r="B942" s="51"/>
      <c r="C942" s="51"/>
      <c r="D942" s="51"/>
      <c r="E942" s="51"/>
      <c r="F942" s="51"/>
      <c r="G942" s="51"/>
      <c r="H942" s="55"/>
      <c r="I942" s="55"/>
      <c r="J942" s="55"/>
      <c r="K942" s="55"/>
      <c r="L942" s="55"/>
      <c r="M942" s="55"/>
      <c r="N942" s="55"/>
      <c r="O942" s="55"/>
      <c r="P942" s="55"/>
      <c r="Q942" s="51"/>
      <c r="R942" s="51"/>
      <c r="S942" s="51"/>
      <c r="T942" s="51"/>
      <c r="U942" s="51"/>
      <c r="V942" s="51"/>
      <c r="W942" s="51"/>
      <c r="X942" s="51"/>
      <c r="Y942" s="51"/>
      <c r="Z942" s="51"/>
      <c r="AA942" s="51"/>
      <c r="AB942" s="51"/>
      <c r="AC942" s="51"/>
      <c r="AD942" s="51" t="s">
        <v>3336</v>
      </c>
      <c r="AE942" s="51" t="s">
        <v>3337</v>
      </c>
      <c r="AF942" s="51" t="str">
        <f t="shared" si="9"/>
        <v>A622125</v>
      </c>
      <c r="AG942" s="51" t="str">
        <f>VLOOKUP(AF942,AKT!$C$4:$E$324,3,FALSE)</f>
        <v>0150</v>
      </c>
    </row>
    <row r="943" spans="1:33" ht="15.75" hidden="1" customHeight="1">
      <c r="A943" s="51"/>
      <c r="B943" s="51"/>
      <c r="C943" s="51"/>
      <c r="D943" s="51"/>
      <c r="E943" s="51"/>
      <c r="F943" s="51"/>
      <c r="G943" s="51"/>
      <c r="H943" s="55"/>
      <c r="I943" s="55"/>
      <c r="J943" s="55"/>
      <c r="K943" s="55"/>
      <c r="L943" s="55"/>
      <c r="M943" s="55"/>
      <c r="N943" s="55"/>
      <c r="O943" s="55"/>
      <c r="P943" s="55"/>
      <c r="Q943" s="51"/>
      <c r="R943" s="51"/>
      <c r="S943" s="51"/>
      <c r="T943" s="51"/>
      <c r="U943" s="51"/>
      <c r="V943" s="51"/>
      <c r="W943" s="51"/>
      <c r="X943" s="51"/>
      <c r="Y943" s="51"/>
      <c r="Z943" s="51"/>
      <c r="AA943" s="51"/>
      <c r="AB943" s="51"/>
      <c r="AC943" s="51"/>
      <c r="AD943" s="51" t="s">
        <v>3338</v>
      </c>
      <c r="AE943" s="51" t="s">
        <v>3337</v>
      </c>
      <c r="AF943" s="51" t="str">
        <f t="shared" si="9"/>
        <v>A622125</v>
      </c>
      <c r="AG943" s="51" t="str">
        <f>VLOOKUP(AF943,AKT!$C$4:$E$324,3,FALSE)</f>
        <v>0150</v>
      </c>
    </row>
    <row r="944" spans="1:33" ht="15.75" hidden="1" customHeight="1">
      <c r="A944" s="51"/>
      <c r="B944" s="51"/>
      <c r="C944" s="51"/>
      <c r="D944" s="51"/>
      <c r="E944" s="51"/>
      <c r="F944" s="51"/>
      <c r="G944" s="51"/>
      <c r="H944" s="55"/>
      <c r="I944" s="55"/>
      <c r="J944" s="55"/>
      <c r="K944" s="55"/>
      <c r="L944" s="55"/>
      <c r="M944" s="55"/>
      <c r="N944" s="55"/>
      <c r="O944" s="55"/>
      <c r="P944" s="55"/>
      <c r="Q944" s="51"/>
      <c r="R944" s="51"/>
      <c r="S944" s="51"/>
      <c r="T944" s="51"/>
      <c r="U944" s="51"/>
      <c r="V944" s="51"/>
      <c r="W944" s="51"/>
      <c r="X944" s="51"/>
      <c r="Y944" s="51"/>
      <c r="Z944" s="51"/>
      <c r="AA944" s="51"/>
      <c r="AB944" s="51"/>
      <c r="AC944" s="51"/>
      <c r="AD944" s="51" t="s">
        <v>3339</v>
      </c>
      <c r="AE944" s="51" t="s">
        <v>3340</v>
      </c>
      <c r="AF944" s="51" t="str">
        <f t="shared" si="9"/>
        <v>A622125</v>
      </c>
      <c r="AG944" s="51" t="str">
        <f>VLOOKUP(AF944,AKT!$C$4:$E$324,3,FALSE)</f>
        <v>0150</v>
      </c>
    </row>
    <row r="945" spans="1:33" ht="15.75" hidden="1" customHeight="1">
      <c r="A945" s="51"/>
      <c r="B945" s="51"/>
      <c r="C945" s="51"/>
      <c r="D945" s="51"/>
      <c r="E945" s="51"/>
      <c r="F945" s="51"/>
      <c r="G945" s="51"/>
      <c r="H945" s="55"/>
      <c r="I945" s="55"/>
      <c r="J945" s="55"/>
      <c r="K945" s="55"/>
      <c r="L945" s="55"/>
      <c r="M945" s="55"/>
      <c r="N945" s="55"/>
      <c r="O945" s="55"/>
      <c r="P945" s="55"/>
      <c r="Q945" s="51"/>
      <c r="R945" s="51"/>
      <c r="S945" s="51"/>
      <c r="T945" s="51"/>
      <c r="U945" s="51"/>
      <c r="V945" s="51"/>
      <c r="W945" s="51"/>
      <c r="X945" s="51"/>
      <c r="Y945" s="51"/>
      <c r="Z945" s="51"/>
      <c r="AA945" s="51"/>
      <c r="AB945" s="51"/>
      <c r="AC945" s="51"/>
      <c r="AD945" s="51" t="s">
        <v>3341</v>
      </c>
      <c r="AE945" s="51" t="s">
        <v>3342</v>
      </c>
      <c r="AF945" s="51" t="str">
        <f t="shared" si="9"/>
        <v>A622125</v>
      </c>
      <c r="AG945" s="51" t="str">
        <f>VLOOKUP(AF945,AKT!$C$4:$E$324,3,FALSE)</f>
        <v>0150</v>
      </c>
    </row>
    <row r="946" spans="1:33" ht="15.75" hidden="1" customHeight="1">
      <c r="A946" s="51"/>
      <c r="B946" s="51"/>
      <c r="C946" s="51"/>
      <c r="D946" s="51"/>
      <c r="E946" s="51"/>
      <c r="F946" s="51"/>
      <c r="G946" s="51"/>
      <c r="H946" s="55"/>
      <c r="I946" s="55"/>
      <c r="J946" s="55"/>
      <c r="K946" s="55"/>
      <c r="L946" s="55"/>
      <c r="M946" s="55"/>
      <c r="N946" s="55"/>
      <c r="O946" s="55"/>
      <c r="P946" s="55"/>
      <c r="Q946" s="51"/>
      <c r="R946" s="51"/>
      <c r="S946" s="51"/>
      <c r="T946" s="51"/>
      <c r="U946" s="51"/>
      <c r="V946" s="51"/>
      <c r="W946" s="51"/>
      <c r="X946" s="51"/>
      <c r="Y946" s="51"/>
      <c r="Z946" s="51"/>
      <c r="AA946" s="51"/>
      <c r="AB946" s="51"/>
      <c r="AC946" s="51"/>
      <c r="AD946" s="51" t="s">
        <v>3343</v>
      </c>
      <c r="AE946" s="51" t="s">
        <v>3344</v>
      </c>
      <c r="AF946" s="51" t="str">
        <f t="shared" si="9"/>
        <v>A622125</v>
      </c>
      <c r="AG946" s="51" t="str">
        <f>VLOOKUP(AF946,AKT!$C$4:$E$324,3,FALSE)</f>
        <v>0150</v>
      </c>
    </row>
    <row r="947" spans="1:33" ht="15.75" hidden="1" customHeight="1">
      <c r="A947" s="51"/>
      <c r="B947" s="51"/>
      <c r="C947" s="51"/>
      <c r="D947" s="51"/>
      <c r="E947" s="51"/>
      <c r="F947" s="51"/>
      <c r="G947" s="51"/>
      <c r="H947" s="55"/>
      <c r="I947" s="55"/>
      <c r="J947" s="55"/>
      <c r="K947" s="55"/>
      <c r="L947" s="55"/>
      <c r="M947" s="55"/>
      <c r="N947" s="55"/>
      <c r="O947" s="55"/>
      <c r="P947" s="55"/>
      <c r="Q947" s="51"/>
      <c r="R947" s="51"/>
      <c r="S947" s="51"/>
      <c r="T947" s="51"/>
      <c r="U947" s="51"/>
      <c r="V947" s="51"/>
      <c r="W947" s="51"/>
      <c r="X947" s="51"/>
      <c r="Y947" s="51"/>
      <c r="Z947" s="51"/>
      <c r="AA947" s="51"/>
      <c r="AB947" s="51"/>
      <c r="AC947" s="51"/>
      <c r="AD947" s="51" t="s">
        <v>3345</v>
      </c>
      <c r="AE947" s="51" t="s">
        <v>3346</v>
      </c>
      <c r="AF947" s="51" t="str">
        <f t="shared" si="9"/>
        <v>A622125</v>
      </c>
      <c r="AG947" s="51" t="str">
        <f>VLOOKUP(AF947,AKT!$C$4:$E$324,3,FALSE)</f>
        <v>0150</v>
      </c>
    </row>
    <row r="948" spans="1:33" ht="15.75" hidden="1" customHeight="1">
      <c r="A948" s="51"/>
      <c r="B948" s="51"/>
      <c r="C948" s="51"/>
      <c r="D948" s="51"/>
      <c r="E948" s="51"/>
      <c r="F948" s="51"/>
      <c r="G948" s="51"/>
      <c r="H948" s="55"/>
      <c r="I948" s="55"/>
      <c r="J948" s="55"/>
      <c r="K948" s="55"/>
      <c r="L948" s="55"/>
      <c r="M948" s="55"/>
      <c r="N948" s="55"/>
      <c r="O948" s="55"/>
      <c r="P948" s="55"/>
      <c r="Q948" s="51"/>
      <c r="R948" s="51"/>
      <c r="S948" s="51"/>
      <c r="T948" s="51"/>
      <c r="U948" s="51"/>
      <c r="V948" s="51"/>
      <c r="W948" s="51"/>
      <c r="X948" s="51"/>
      <c r="Y948" s="51"/>
      <c r="Z948" s="51"/>
      <c r="AA948" s="51"/>
      <c r="AB948" s="51"/>
      <c r="AC948" s="51"/>
      <c r="AD948" s="51" t="s">
        <v>3347</v>
      </c>
      <c r="AE948" s="51" t="s">
        <v>3348</v>
      </c>
      <c r="AF948" s="51" t="str">
        <f t="shared" si="9"/>
        <v>A622125</v>
      </c>
      <c r="AG948" s="51" t="str">
        <f>VLOOKUP(AF948,AKT!$C$4:$E$324,3,FALSE)</f>
        <v>0150</v>
      </c>
    </row>
    <row r="949" spans="1:33" ht="15.75" hidden="1" customHeight="1">
      <c r="A949" s="51"/>
      <c r="B949" s="51"/>
      <c r="C949" s="51"/>
      <c r="D949" s="51"/>
      <c r="E949" s="51"/>
      <c r="F949" s="51"/>
      <c r="G949" s="51"/>
      <c r="H949" s="55"/>
      <c r="I949" s="55"/>
      <c r="J949" s="55"/>
      <c r="K949" s="55"/>
      <c r="L949" s="55"/>
      <c r="M949" s="55"/>
      <c r="N949" s="55"/>
      <c r="O949" s="55"/>
      <c r="P949" s="55"/>
      <c r="Q949" s="51"/>
      <c r="R949" s="51"/>
      <c r="S949" s="51"/>
      <c r="T949" s="51"/>
      <c r="U949" s="51"/>
      <c r="V949" s="51"/>
      <c r="W949" s="51"/>
      <c r="X949" s="51"/>
      <c r="Y949" s="51"/>
      <c r="Z949" s="51"/>
      <c r="AA949" s="51"/>
      <c r="AB949" s="51"/>
      <c r="AC949" s="51"/>
      <c r="AD949" s="51" t="s">
        <v>3349</v>
      </c>
      <c r="AE949" s="51" t="s">
        <v>3350</v>
      </c>
      <c r="AF949" s="51" t="str">
        <f t="shared" si="9"/>
        <v>A622125</v>
      </c>
      <c r="AG949" s="51" t="str">
        <f>VLOOKUP(AF949,AKT!$C$4:$E$324,3,FALSE)</f>
        <v>0150</v>
      </c>
    </row>
    <row r="950" spans="1:33" ht="15.75" hidden="1" customHeight="1">
      <c r="A950" s="51"/>
      <c r="B950" s="51"/>
      <c r="C950" s="51"/>
      <c r="D950" s="51"/>
      <c r="E950" s="51"/>
      <c r="F950" s="51"/>
      <c r="G950" s="51"/>
      <c r="H950" s="55"/>
      <c r="I950" s="55"/>
      <c r="J950" s="55"/>
      <c r="K950" s="55"/>
      <c r="L950" s="55"/>
      <c r="M950" s="55"/>
      <c r="N950" s="55"/>
      <c r="O950" s="55"/>
      <c r="P950" s="55"/>
      <c r="Q950" s="51"/>
      <c r="R950" s="51"/>
      <c r="S950" s="51"/>
      <c r="T950" s="51"/>
      <c r="U950" s="51"/>
      <c r="V950" s="51"/>
      <c r="W950" s="51"/>
      <c r="X950" s="51"/>
      <c r="Y950" s="51"/>
      <c r="Z950" s="51"/>
      <c r="AA950" s="51"/>
      <c r="AB950" s="51"/>
      <c r="AC950" s="51"/>
      <c r="AD950" s="51" t="s">
        <v>3351</v>
      </c>
      <c r="AE950" s="51" t="s">
        <v>3352</v>
      </c>
      <c r="AF950" s="51" t="str">
        <f t="shared" si="9"/>
        <v>A622125</v>
      </c>
      <c r="AG950" s="51" t="str">
        <f>VLOOKUP(AF950,AKT!$C$4:$E$324,3,FALSE)</f>
        <v>0150</v>
      </c>
    </row>
    <row r="951" spans="1:33" ht="15.75" hidden="1" customHeight="1">
      <c r="A951" s="51"/>
      <c r="B951" s="51"/>
      <c r="C951" s="51"/>
      <c r="D951" s="51"/>
      <c r="E951" s="51"/>
      <c r="F951" s="51"/>
      <c r="G951" s="51"/>
      <c r="H951" s="55"/>
      <c r="I951" s="55"/>
      <c r="J951" s="55"/>
      <c r="K951" s="55"/>
      <c r="L951" s="55"/>
      <c r="M951" s="55"/>
      <c r="N951" s="55"/>
      <c r="O951" s="55"/>
      <c r="P951" s="55"/>
      <c r="Q951" s="51"/>
      <c r="R951" s="51"/>
      <c r="S951" s="51"/>
      <c r="T951" s="51"/>
      <c r="U951" s="51"/>
      <c r="V951" s="51"/>
      <c r="W951" s="51"/>
      <c r="X951" s="51"/>
      <c r="Y951" s="51"/>
      <c r="Z951" s="51"/>
      <c r="AA951" s="51"/>
      <c r="AB951" s="51"/>
      <c r="AC951" s="51"/>
      <c r="AD951" s="51" t="s">
        <v>3353</v>
      </c>
      <c r="AE951" s="51" t="s">
        <v>3354</v>
      </c>
      <c r="AF951" s="51" t="str">
        <f t="shared" si="9"/>
        <v>A622125</v>
      </c>
      <c r="AG951" s="51" t="str">
        <f>VLOOKUP(AF951,AKT!$C$4:$E$324,3,FALSE)</f>
        <v>0150</v>
      </c>
    </row>
    <row r="952" spans="1:33" ht="15.75" hidden="1" customHeight="1">
      <c r="A952" s="51"/>
      <c r="B952" s="51"/>
      <c r="C952" s="51"/>
      <c r="D952" s="51"/>
      <c r="E952" s="51"/>
      <c r="F952" s="51"/>
      <c r="G952" s="51"/>
      <c r="H952" s="55"/>
      <c r="I952" s="55"/>
      <c r="J952" s="55"/>
      <c r="K952" s="55"/>
      <c r="L952" s="55"/>
      <c r="M952" s="55"/>
      <c r="N952" s="55"/>
      <c r="O952" s="55"/>
      <c r="P952" s="55"/>
      <c r="Q952" s="51"/>
      <c r="R952" s="51"/>
      <c r="S952" s="51"/>
      <c r="T952" s="51"/>
      <c r="U952" s="51"/>
      <c r="V952" s="51"/>
      <c r="W952" s="51"/>
      <c r="X952" s="51"/>
      <c r="Y952" s="51"/>
      <c r="Z952" s="51"/>
      <c r="AA952" s="51"/>
      <c r="AB952" s="51"/>
      <c r="AC952" s="51"/>
      <c r="AD952" s="51" t="s">
        <v>1583</v>
      </c>
      <c r="AE952" s="51" t="s">
        <v>3355</v>
      </c>
      <c r="AF952" s="51" t="str">
        <f t="shared" si="9"/>
        <v>A622125</v>
      </c>
      <c r="AG952" s="51" t="str">
        <f>VLOOKUP(AF952,AKT!$C$4:$E$324,3,FALSE)</f>
        <v>0150</v>
      </c>
    </row>
    <row r="953" spans="1:33" ht="15.75" hidden="1" customHeight="1">
      <c r="A953" s="51"/>
      <c r="B953" s="51"/>
      <c r="C953" s="51"/>
      <c r="D953" s="51"/>
      <c r="E953" s="51"/>
      <c r="F953" s="51"/>
      <c r="G953" s="51"/>
      <c r="H953" s="55"/>
      <c r="I953" s="55"/>
      <c r="J953" s="55"/>
      <c r="K953" s="55"/>
      <c r="L953" s="55"/>
      <c r="M953" s="55"/>
      <c r="N953" s="55"/>
      <c r="O953" s="55"/>
      <c r="P953" s="55"/>
      <c r="Q953" s="51"/>
      <c r="R953" s="51"/>
      <c r="S953" s="51"/>
      <c r="T953" s="51"/>
      <c r="U953" s="51"/>
      <c r="V953" s="51"/>
      <c r="W953" s="51"/>
      <c r="X953" s="51"/>
      <c r="Y953" s="51"/>
      <c r="Z953" s="51"/>
      <c r="AA953" s="51"/>
      <c r="AB953" s="51"/>
      <c r="AC953" s="51"/>
      <c r="AD953" s="51" t="s">
        <v>3356</v>
      </c>
      <c r="AE953" s="51" t="s">
        <v>3357</v>
      </c>
      <c r="AF953" s="51" t="str">
        <f t="shared" si="9"/>
        <v>A622125</v>
      </c>
      <c r="AG953" s="51" t="str">
        <f>VLOOKUP(AF953,AKT!$C$4:$E$324,3,FALSE)</f>
        <v>0150</v>
      </c>
    </row>
    <row r="954" spans="1:33" ht="15.75" hidden="1" customHeight="1">
      <c r="A954" s="51"/>
      <c r="B954" s="51"/>
      <c r="C954" s="51"/>
      <c r="D954" s="51"/>
      <c r="E954" s="51"/>
      <c r="F954" s="51"/>
      <c r="G954" s="51"/>
      <c r="H954" s="55"/>
      <c r="I954" s="55"/>
      <c r="J954" s="55"/>
      <c r="K954" s="55"/>
      <c r="L954" s="55"/>
      <c r="M954" s="55"/>
      <c r="N954" s="55"/>
      <c r="O954" s="55"/>
      <c r="P954" s="55"/>
      <c r="Q954" s="51"/>
      <c r="R954" s="51"/>
      <c r="S954" s="51"/>
      <c r="T954" s="51"/>
      <c r="U954" s="51"/>
      <c r="V954" s="51"/>
      <c r="W954" s="51"/>
      <c r="X954" s="51"/>
      <c r="Y954" s="51"/>
      <c r="Z954" s="51"/>
      <c r="AA954" s="51"/>
      <c r="AB954" s="51"/>
      <c r="AC954" s="51"/>
      <c r="AD954" s="51" t="s">
        <v>3358</v>
      </c>
      <c r="AE954" s="51" t="s">
        <v>3359</v>
      </c>
      <c r="AF954" s="51" t="str">
        <f t="shared" si="9"/>
        <v>A622125</v>
      </c>
      <c r="AG954" s="51" t="str">
        <f>VLOOKUP(AF954,AKT!$C$4:$E$324,3,FALSE)</f>
        <v>0150</v>
      </c>
    </row>
    <row r="955" spans="1:33" ht="15.75" hidden="1" customHeight="1">
      <c r="A955" s="51"/>
      <c r="B955" s="51"/>
      <c r="C955" s="51"/>
      <c r="D955" s="51"/>
      <c r="E955" s="51"/>
      <c r="F955" s="51"/>
      <c r="G955" s="51"/>
      <c r="H955" s="55"/>
      <c r="I955" s="55"/>
      <c r="J955" s="55"/>
      <c r="K955" s="55"/>
      <c r="L955" s="55"/>
      <c r="M955" s="55"/>
      <c r="N955" s="55"/>
      <c r="O955" s="55"/>
      <c r="P955" s="55"/>
      <c r="Q955" s="51"/>
      <c r="R955" s="51"/>
      <c r="S955" s="51"/>
      <c r="T955" s="51"/>
      <c r="U955" s="51"/>
      <c r="V955" s="51"/>
      <c r="W955" s="51"/>
      <c r="X955" s="51"/>
      <c r="Y955" s="51"/>
      <c r="Z955" s="51"/>
      <c r="AA955" s="51"/>
      <c r="AB955" s="51"/>
      <c r="AC955" s="51"/>
      <c r="AD955" s="51" t="s">
        <v>3360</v>
      </c>
      <c r="AE955" s="51" t="s">
        <v>3361</v>
      </c>
      <c r="AF955" s="51" t="str">
        <f t="shared" si="9"/>
        <v>A622125</v>
      </c>
      <c r="AG955" s="51" t="str">
        <f>VLOOKUP(AF955,AKT!$C$4:$E$324,3,FALSE)</f>
        <v>0150</v>
      </c>
    </row>
    <row r="956" spans="1:33" ht="15.75" hidden="1" customHeight="1">
      <c r="A956" s="51"/>
      <c r="B956" s="51"/>
      <c r="C956" s="51"/>
      <c r="D956" s="51"/>
      <c r="E956" s="51"/>
      <c r="F956" s="51"/>
      <c r="G956" s="51"/>
      <c r="H956" s="55"/>
      <c r="I956" s="55"/>
      <c r="J956" s="55"/>
      <c r="K956" s="55"/>
      <c r="L956" s="55"/>
      <c r="M956" s="55"/>
      <c r="N956" s="55"/>
      <c r="O956" s="55"/>
      <c r="P956" s="55"/>
      <c r="Q956" s="51"/>
      <c r="R956" s="51"/>
      <c r="S956" s="51"/>
      <c r="T956" s="51"/>
      <c r="U956" s="51"/>
      <c r="V956" s="51"/>
      <c r="W956" s="51"/>
      <c r="X956" s="51"/>
      <c r="Y956" s="51"/>
      <c r="Z956" s="51"/>
      <c r="AA956" s="51"/>
      <c r="AB956" s="51"/>
      <c r="AC956" s="51"/>
      <c r="AD956" s="51" t="s">
        <v>3362</v>
      </c>
      <c r="AE956" s="51" t="s">
        <v>3363</v>
      </c>
      <c r="AF956" s="51" t="str">
        <f t="shared" si="9"/>
        <v>A622125</v>
      </c>
      <c r="AG956" s="51" t="str">
        <f>VLOOKUP(AF956,AKT!$C$4:$E$324,3,FALSE)</f>
        <v>0150</v>
      </c>
    </row>
    <row r="957" spans="1:33" ht="15.75" hidden="1" customHeight="1">
      <c r="A957" s="51"/>
      <c r="B957" s="51"/>
      <c r="C957" s="51"/>
      <c r="D957" s="51"/>
      <c r="E957" s="51"/>
      <c r="F957" s="51"/>
      <c r="G957" s="51"/>
      <c r="H957" s="55"/>
      <c r="I957" s="55"/>
      <c r="J957" s="55"/>
      <c r="K957" s="55"/>
      <c r="L957" s="55"/>
      <c r="M957" s="55"/>
      <c r="N957" s="55"/>
      <c r="O957" s="55"/>
      <c r="P957" s="55"/>
      <c r="Q957" s="51"/>
      <c r="R957" s="51"/>
      <c r="S957" s="51"/>
      <c r="T957" s="51"/>
      <c r="U957" s="51"/>
      <c r="V957" s="51"/>
      <c r="W957" s="51"/>
      <c r="X957" s="51"/>
      <c r="Y957" s="51"/>
      <c r="Z957" s="51"/>
      <c r="AA957" s="51"/>
      <c r="AB957" s="51"/>
      <c r="AC957" s="51"/>
      <c r="AD957" s="51" t="s">
        <v>3364</v>
      </c>
      <c r="AE957" s="51" t="s">
        <v>3365</v>
      </c>
      <c r="AF957" s="51" t="str">
        <f t="shared" si="9"/>
        <v>A622125</v>
      </c>
      <c r="AG957" s="51" t="str">
        <f>VLOOKUP(AF957,AKT!$C$4:$E$324,3,FALSE)</f>
        <v>0150</v>
      </c>
    </row>
    <row r="958" spans="1:33" ht="15.75" hidden="1" customHeight="1">
      <c r="A958" s="51"/>
      <c r="B958" s="51"/>
      <c r="C958" s="51"/>
      <c r="D958" s="51"/>
      <c r="E958" s="51"/>
      <c r="F958" s="51"/>
      <c r="G958" s="51"/>
      <c r="H958" s="55"/>
      <c r="I958" s="55"/>
      <c r="J958" s="55"/>
      <c r="K958" s="55"/>
      <c r="L958" s="55"/>
      <c r="M958" s="55"/>
      <c r="N958" s="55"/>
      <c r="O958" s="55"/>
      <c r="P958" s="55"/>
      <c r="Q958" s="51"/>
      <c r="R958" s="51"/>
      <c r="S958" s="51"/>
      <c r="T958" s="51"/>
      <c r="U958" s="51"/>
      <c r="V958" s="51"/>
      <c r="W958" s="51"/>
      <c r="X958" s="51"/>
      <c r="Y958" s="51"/>
      <c r="Z958" s="51"/>
      <c r="AA958" s="51"/>
      <c r="AB958" s="51"/>
      <c r="AC958" s="51"/>
      <c r="AD958" s="51" t="s">
        <v>3366</v>
      </c>
      <c r="AE958" s="51" t="s">
        <v>3367</v>
      </c>
      <c r="AF958" s="51" t="str">
        <f t="shared" si="9"/>
        <v>A622125</v>
      </c>
      <c r="AG958" s="51" t="str">
        <f>VLOOKUP(AF958,AKT!$C$4:$E$324,3,FALSE)</f>
        <v>0150</v>
      </c>
    </row>
    <row r="959" spans="1:33" ht="15.75" hidden="1" customHeight="1">
      <c r="A959" s="51"/>
      <c r="B959" s="51"/>
      <c r="C959" s="51"/>
      <c r="D959" s="51"/>
      <c r="E959" s="51"/>
      <c r="F959" s="51"/>
      <c r="G959" s="51"/>
      <c r="H959" s="55"/>
      <c r="I959" s="55"/>
      <c r="J959" s="55"/>
      <c r="K959" s="55"/>
      <c r="L959" s="55"/>
      <c r="M959" s="55"/>
      <c r="N959" s="55"/>
      <c r="O959" s="55"/>
      <c r="P959" s="55"/>
      <c r="Q959" s="51"/>
      <c r="R959" s="51"/>
      <c r="S959" s="51"/>
      <c r="T959" s="51"/>
      <c r="U959" s="51"/>
      <c r="V959" s="51"/>
      <c r="W959" s="51"/>
      <c r="X959" s="51"/>
      <c r="Y959" s="51"/>
      <c r="Z959" s="51"/>
      <c r="AA959" s="51"/>
      <c r="AB959" s="51"/>
      <c r="AC959" s="51"/>
      <c r="AD959" s="51" t="s">
        <v>3368</v>
      </c>
      <c r="AE959" s="51" t="s">
        <v>3369</v>
      </c>
      <c r="AF959" s="51" t="str">
        <f t="shared" si="9"/>
        <v>A622125</v>
      </c>
      <c r="AG959" s="51" t="str">
        <f>VLOOKUP(AF959,AKT!$C$4:$E$324,3,FALSE)</f>
        <v>0150</v>
      </c>
    </row>
    <row r="960" spans="1:33" ht="15.75" hidden="1" customHeight="1">
      <c r="A960" s="51"/>
      <c r="B960" s="51"/>
      <c r="C960" s="51"/>
      <c r="D960" s="51"/>
      <c r="E960" s="51"/>
      <c r="F960" s="51"/>
      <c r="G960" s="51"/>
      <c r="H960" s="55"/>
      <c r="I960" s="55"/>
      <c r="J960" s="55"/>
      <c r="K960" s="55"/>
      <c r="L960" s="55"/>
      <c r="M960" s="55"/>
      <c r="N960" s="55"/>
      <c r="O960" s="55"/>
      <c r="P960" s="55"/>
      <c r="Q960" s="51"/>
      <c r="R960" s="51"/>
      <c r="S960" s="51"/>
      <c r="T960" s="51"/>
      <c r="U960" s="51"/>
      <c r="V960" s="51"/>
      <c r="W960" s="51"/>
      <c r="X960" s="51"/>
      <c r="Y960" s="51"/>
      <c r="Z960" s="51"/>
      <c r="AA960" s="51"/>
      <c r="AB960" s="51"/>
      <c r="AC960" s="51"/>
      <c r="AD960" s="51" t="s">
        <v>3370</v>
      </c>
      <c r="AE960" s="51" t="s">
        <v>3371</v>
      </c>
      <c r="AF960" s="51" t="str">
        <f t="shared" si="9"/>
        <v>A622125</v>
      </c>
      <c r="AG960" s="51" t="str">
        <f>VLOOKUP(AF960,AKT!$C$4:$E$324,3,FALSE)</f>
        <v>0150</v>
      </c>
    </row>
    <row r="961" spans="1:33" ht="15.75" hidden="1" customHeight="1">
      <c r="A961" s="51"/>
      <c r="B961" s="51"/>
      <c r="C961" s="51"/>
      <c r="D961" s="51"/>
      <c r="E961" s="51"/>
      <c r="F961" s="51"/>
      <c r="G961" s="51"/>
      <c r="H961" s="55"/>
      <c r="I961" s="55"/>
      <c r="J961" s="55"/>
      <c r="K961" s="55"/>
      <c r="L961" s="55"/>
      <c r="M961" s="55"/>
      <c r="N961" s="55"/>
      <c r="O961" s="55"/>
      <c r="P961" s="55"/>
      <c r="Q961" s="51"/>
      <c r="R961" s="51"/>
      <c r="S961" s="51"/>
      <c r="T961" s="51"/>
      <c r="U961" s="51"/>
      <c r="V961" s="51"/>
      <c r="W961" s="51"/>
      <c r="X961" s="51"/>
      <c r="Y961" s="51"/>
      <c r="Z961" s="51"/>
      <c r="AA961" s="51"/>
      <c r="AB961" s="51"/>
      <c r="AC961" s="51"/>
      <c r="AD961" s="51" t="s">
        <v>3372</v>
      </c>
      <c r="AE961" s="51" t="s">
        <v>3373</v>
      </c>
      <c r="AF961" s="51" t="str">
        <f t="shared" si="9"/>
        <v>A622125</v>
      </c>
      <c r="AG961" s="51" t="str">
        <f>VLOOKUP(AF961,AKT!$C$4:$E$324,3,FALSE)</f>
        <v>0150</v>
      </c>
    </row>
    <row r="962" spans="1:33" ht="15.75" hidden="1" customHeight="1">
      <c r="A962" s="51"/>
      <c r="B962" s="51"/>
      <c r="C962" s="51"/>
      <c r="D962" s="51"/>
      <c r="E962" s="51"/>
      <c r="F962" s="51"/>
      <c r="G962" s="51"/>
      <c r="H962" s="55"/>
      <c r="I962" s="55"/>
      <c r="J962" s="55"/>
      <c r="K962" s="55"/>
      <c r="L962" s="55"/>
      <c r="M962" s="55"/>
      <c r="N962" s="55"/>
      <c r="O962" s="55"/>
      <c r="P962" s="55"/>
      <c r="Q962" s="51"/>
      <c r="R962" s="51"/>
      <c r="S962" s="51"/>
      <c r="T962" s="51"/>
      <c r="U962" s="51"/>
      <c r="V962" s="51"/>
      <c r="W962" s="51"/>
      <c r="X962" s="51"/>
      <c r="Y962" s="51"/>
      <c r="Z962" s="51"/>
      <c r="AA962" s="51"/>
      <c r="AB962" s="51"/>
      <c r="AC962" s="51"/>
      <c r="AD962" s="51" t="s">
        <v>3374</v>
      </c>
      <c r="AE962" s="51" t="s">
        <v>3375</v>
      </c>
      <c r="AF962" s="51" t="str">
        <f t="shared" si="9"/>
        <v>A622125</v>
      </c>
      <c r="AG962" s="51" t="str">
        <f>VLOOKUP(AF962,AKT!$C$4:$E$324,3,FALSE)</f>
        <v>0150</v>
      </c>
    </row>
    <row r="963" spans="1:33" ht="15.75" hidden="1" customHeight="1">
      <c r="A963" s="51"/>
      <c r="B963" s="51"/>
      <c r="C963" s="51"/>
      <c r="D963" s="51"/>
      <c r="E963" s="51"/>
      <c r="F963" s="51"/>
      <c r="G963" s="51"/>
      <c r="H963" s="55"/>
      <c r="I963" s="55"/>
      <c r="J963" s="55"/>
      <c r="K963" s="55"/>
      <c r="L963" s="55"/>
      <c r="M963" s="55"/>
      <c r="N963" s="55"/>
      <c r="O963" s="55"/>
      <c r="P963" s="55"/>
      <c r="Q963" s="51"/>
      <c r="R963" s="51"/>
      <c r="S963" s="51"/>
      <c r="T963" s="51"/>
      <c r="U963" s="51"/>
      <c r="V963" s="51"/>
      <c r="W963" s="51"/>
      <c r="X963" s="51"/>
      <c r="Y963" s="51"/>
      <c r="Z963" s="51"/>
      <c r="AA963" s="51"/>
      <c r="AB963" s="51"/>
      <c r="AC963" s="51"/>
      <c r="AD963" s="51" t="s">
        <v>3376</v>
      </c>
      <c r="AE963" s="51" t="s">
        <v>3377</v>
      </c>
      <c r="AF963" s="51" t="str">
        <f t="shared" si="9"/>
        <v>A622125</v>
      </c>
      <c r="AG963" s="51" t="str">
        <f>VLOOKUP(AF963,AKT!$C$4:$E$324,3,FALSE)</f>
        <v>0150</v>
      </c>
    </row>
    <row r="964" spans="1:33" ht="15.75" hidden="1" customHeight="1">
      <c r="A964" s="51"/>
      <c r="B964" s="51"/>
      <c r="C964" s="51"/>
      <c r="D964" s="51"/>
      <c r="E964" s="51"/>
      <c r="F964" s="51"/>
      <c r="G964" s="51"/>
      <c r="H964" s="55"/>
      <c r="I964" s="55"/>
      <c r="J964" s="55"/>
      <c r="K964" s="55"/>
      <c r="L964" s="55"/>
      <c r="M964" s="55"/>
      <c r="N964" s="55"/>
      <c r="O964" s="55"/>
      <c r="P964" s="55"/>
      <c r="Q964" s="51"/>
      <c r="R964" s="51"/>
      <c r="S964" s="51"/>
      <c r="T964" s="51"/>
      <c r="U964" s="51"/>
      <c r="V964" s="51"/>
      <c r="W964" s="51"/>
      <c r="X964" s="51"/>
      <c r="Y964" s="51"/>
      <c r="Z964" s="51"/>
      <c r="AA964" s="51"/>
      <c r="AB964" s="51"/>
      <c r="AC964" s="51"/>
      <c r="AD964" s="51" t="s">
        <v>3378</v>
      </c>
      <c r="AE964" s="51" t="s">
        <v>3379</v>
      </c>
      <c r="AF964" s="51" t="str">
        <f t="shared" si="9"/>
        <v>A622125</v>
      </c>
      <c r="AG964" s="51" t="str">
        <f>VLOOKUP(AF964,AKT!$C$4:$E$324,3,FALSE)</f>
        <v>0150</v>
      </c>
    </row>
    <row r="965" spans="1:33" ht="15.75" hidden="1" customHeight="1">
      <c r="A965" s="51"/>
      <c r="B965" s="51"/>
      <c r="C965" s="51"/>
      <c r="D965" s="51"/>
      <c r="E965" s="51"/>
      <c r="F965" s="51"/>
      <c r="G965" s="51"/>
      <c r="H965" s="55"/>
      <c r="I965" s="55"/>
      <c r="J965" s="55"/>
      <c r="K965" s="55"/>
      <c r="L965" s="55"/>
      <c r="M965" s="55"/>
      <c r="N965" s="55"/>
      <c r="O965" s="55"/>
      <c r="P965" s="55"/>
      <c r="Q965" s="51"/>
      <c r="R965" s="51"/>
      <c r="S965" s="51"/>
      <c r="T965" s="51"/>
      <c r="U965" s="51"/>
      <c r="V965" s="51"/>
      <c r="W965" s="51"/>
      <c r="X965" s="51"/>
      <c r="Y965" s="51"/>
      <c r="Z965" s="51"/>
      <c r="AA965" s="51"/>
      <c r="AB965" s="51"/>
      <c r="AC965" s="51"/>
      <c r="AD965" s="51" t="s">
        <v>3380</v>
      </c>
      <c r="AE965" s="51" t="s">
        <v>3381</v>
      </c>
      <c r="AF965" s="51" t="str">
        <f t="shared" si="9"/>
        <v>A622125</v>
      </c>
      <c r="AG965" s="51" t="str">
        <f>VLOOKUP(AF965,AKT!$C$4:$E$324,3,FALSE)</f>
        <v>0150</v>
      </c>
    </row>
    <row r="966" spans="1:33" ht="15.75" hidden="1" customHeight="1">
      <c r="A966" s="51"/>
      <c r="B966" s="51"/>
      <c r="C966" s="51"/>
      <c r="D966" s="51"/>
      <c r="E966" s="51"/>
      <c r="F966" s="51"/>
      <c r="G966" s="51"/>
      <c r="H966" s="55"/>
      <c r="I966" s="55"/>
      <c r="J966" s="55"/>
      <c r="K966" s="55"/>
      <c r="L966" s="55"/>
      <c r="M966" s="55"/>
      <c r="N966" s="55"/>
      <c r="O966" s="55"/>
      <c r="P966" s="55"/>
      <c r="Q966" s="51"/>
      <c r="R966" s="51"/>
      <c r="S966" s="51"/>
      <c r="T966" s="51"/>
      <c r="U966" s="51"/>
      <c r="V966" s="51"/>
      <c r="W966" s="51"/>
      <c r="X966" s="51"/>
      <c r="Y966" s="51"/>
      <c r="Z966" s="51"/>
      <c r="AA966" s="51"/>
      <c r="AB966" s="51"/>
      <c r="AC966" s="51"/>
      <c r="AD966" s="51" t="s">
        <v>3382</v>
      </c>
      <c r="AE966" s="51" t="s">
        <v>3383</v>
      </c>
      <c r="AF966" s="51" t="str">
        <f t="shared" si="9"/>
        <v>A622125</v>
      </c>
      <c r="AG966" s="51" t="str">
        <f>VLOOKUP(AF966,AKT!$C$4:$E$324,3,FALSE)</f>
        <v>0150</v>
      </c>
    </row>
    <row r="967" spans="1:33" ht="15.75" hidden="1" customHeight="1">
      <c r="A967" s="51"/>
      <c r="B967" s="51"/>
      <c r="C967" s="51"/>
      <c r="D967" s="51"/>
      <c r="E967" s="51"/>
      <c r="F967" s="51"/>
      <c r="G967" s="51"/>
      <c r="H967" s="55"/>
      <c r="I967" s="55"/>
      <c r="J967" s="55"/>
      <c r="K967" s="55"/>
      <c r="L967" s="55"/>
      <c r="M967" s="55"/>
      <c r="N967" s="55"/>
      <c r="O967" s="55"/>
      <c r="P967" s="55"/>
      <c r="Q967" s="51"/>
      <c r="R967" s="51"/>
      <c r="S967" s="51"/>
      <c r="T967" s="51"/>
      <c r="U967" s="51"/>
      <c r="V967" s="51"/>
      <c r="W967" s="51"/>
      <c r="X967" s="51"/>
      <c r="Y967" s="51"/>
      <c r="Z967" s="51"/>
      <c r="AA967" s="51"/>
      <c r="AB967" s="51"/>
      <c r="AC967" s="51"/>
      <c r="AD967" s="51" t="s">
        <v>3384</v>
      </c>
      <c r="AE967" s="51" t="s">
        <v>3385</v>
      </c>
      <c r="AF967" s="51" t="str">
        <f t="shared" si="9"/>
        <v>A622125</v>
      </c>
      <c r="AG967" s="51" t="str">
        <f>VLOOKUP(AF967,AKT!$C$4:$E$324,3,FALSE)</f>
        <v>0150</v>
      </c>
    </row>
    <row r="968" spans="1:33" ht="15.75" hidden="1" customHeight="1">
      <c r="A968" s="51"/>
      <c r="B968" s="51"/>
      <c r="C968" s="51"/>
      <c r="D968" s="51"/>
      <c r="E968" s="51"/>
      <c r="F968" s="51"/>
      <c r="G968" s="51"/>
      <c r="H968" s="55"/>
      <c r="I968" s="55"/>
      <c r="J968" s="55"/>
      <c r="K968" s="55"/>
      <c r="L968" s="55"/>
      <c r="M968" s="55"/>
      <c r="N968" s="55"/>
      <c r="O968" s="55"/>
      <c r="P968" s="55"/>
      <c r="Q968" s="51"/>
      <c r="R968" s="51"/>
      <c r="S968" s="51"/>
      <c r="T968" s="51"/>
      <c r="U968" s="51"/>
      <c r="V968" s="51"/>
      <c r="W968" s="51"/>
      <c r="X968" s="51"/>
      <c r="Y968" s="51"/>
      <c r="Z968" s="51"/>
      <c r="AA968" s="51"/>
      <c r="AB968" s="51"/>
      <c r="AC968" s="51"/>
      <c r="AD968" s="51" t="s">
        <v>3386</v>
      </c>
      <c r="AE968" s="51" t="s">
        <v>3387</v>
      </c>
      <c r="AF968" s="51" t="str">
        <f t="shared" si="9"/>
        <v>A622125</v>
      </c>
      <c r="AG968" s="51" t="str">
        <f>VLOOKUP(AF968,AKT!$C$4:$E$324,3,FALSE)</f>
        <v>0150</v>
      </c>
    </row>
    <row r="969" spans="1:33" ht="15.75" hidden="1" customHeight="1">
      <c r="A969" s="51"/>
      <c r="B969" s="51"/>
      <c r="C969" s="51"/>
      <c r="D969" s="51"/>
      <c r="E969" s="51"/>
      <c r="F969" s="51"/>
      <c r="G969" s="51"/>
      <c r="H969" s="55"/>
      <c r="I969" s="55"/>
      <c r="J969" s="55"/>
      <c r="K969" s="55"/>
      <c r="L969" s="55"/>
      <c r="M969" s="55"/>
      <c r="N969" s="55"/>
      <c r="O969" s="55"/>
      <c r="P969" s="55"/>
      <c r="Q969" s="51"/>
      <c r="R969" s="51"/>
      <c r="S969" s="51"/>
      <c r="T969" s="51"/>
      <c r="U969" s="51"/>
      <c r="V969" s="51"/>
      <c r="W969" s="51"/>
      <c r="X969" s="51"/>
      <c r="Y969" s="51"/>
      <c r="Z969" s="51"/>
      <c r="AA969" s="51"/>
      <c r="AB969" s="51"/>
      <c r="AC969" s="51"/>
      <c r="AD969" s="51" t="s">
        <v>3388</v>
      </c>
      <c r="AE969" s="51" t="s">
        <v>3389</v>
      </c>
      <c r="AF969" s="51" t="str">
        <f t="shared" si="9"/>
        <v>A622125</v>
      </c>
      <c r="AG969" s="51" t="str">
        <f>VLOOKUP(AF969,AKT!$C$4:$E$324,3,FALSE)</f>
        <v>0150</v>
      </c>
    </row>
    <row r="970" spans="1:33" ht="15.75" hidden="1" customHeight="1">
      <c r="A970" s="51"/>
      <c r="B970" s="51"/>
      <c r="C970" s="51"/>
      <c r="D970" s="51"/>
      <c r="E970" s="51"/>
      <c r="F970" s="51"/>
      <c r="G970" s="51"/>
      <c r="H970" s="55"/>
      <c r="I970" s="55"/>
      <c r="J970" s="55"/>
      <c r="K970" s="55"/>
      <c r="L970" s="55"/>
      <c r="M970" s="55"/>
      <c r="N970" s="55"/>
      <c r="O970" s="55"/>
      <c r="P970" s="55"/>
      <c r="Q970" s="51"/>
      <c r="R970" s="51"/>
      <c r="S970" s="51"/>
      <c r="T970" s="51"/>
      <c r="U970" s="51"/>
      <c r="V970" s="51"/>
      <c r="W970" s="51"/>
      <c r="X970" s="51"/>
      <c r="Y970" s="51"/>
      <c r="Z970" s="51"/>
      <c r="AA970" s="51"/>
      <c r="AB970" s="51"/>
      <c r="AC970" s="51"/>
      <c r="AD970" s="51" t="s">
        <v>3390</v>
      </c>
      <c r="AE970" s="51" t="s">
        <v>3391</v>
      </c>
      <c r="AF970" s="51" t="str">
        <f t="shared" si="9"/>
        <v>A622125</v>
      </c>
      <c r="AG970" s="51" t="str">
        <f>VLOOKUP(AF970,AKT!$C$4:$E$324,3,FALSE)</f>
        <v>0150</v>
      </c>
    </row>
    <row r="971" spans="1:33" ht="15.75" hidden="1" customHeight="1">
      <c r="A971" s="51"/>
      <c r="B971" s="51"/>
      <c r="C971" s="51"/>
      <c r="D971" s="51"/>
      <c r="E971" s="51"/>
      <c r="F971" s="51"/>
      <c r="G971" s="51"/>
      <c r="H971" s="55"/>
      <c r="I971" s="55"/>
      <c r="J971" s="55"/>
      <c r="K971" s="55"/>
      <c r="L971" s="55"/>
      <c r="M971" s="55"/>
      <c r="N971" s="55"/>
      <c r="O971" s="55"/>
      <c r="P971" s="55"/>
      <c r="Q971" s="51"/>
      <c r="R971" s="51"/>
      <c r="S971" s="51"/>
      <c r="T971" s="51"/>
      <c r="U971" s="51"/>
      <c r="V971" s="51"/>
      <c r="W971" s="51"/>
      <c r="X971" s="51"/>
      <c r="Y971" s="51"/>
      <c r="Z971" s="51"/>
      <c r="AA971" s="51"/>
      <c r="AB971" s="51"/>
      <c r="AC971" s="51"/>
      <c r="AD971" s="51" t="s">
        <v>3392</v>
      </c>
      <c r="AE971" s="51" t="s">
        <v>3393</v>
      </c>
      <c r="AF971" s="51" t="str">
        <f t="shared" si="9"/>
        <v>A622125</v>
      </c>
      <c r="AG971" s="51" t="str">
        <f>VLOOKUP(AF971,AKT!$C$4:$E$324,3,FALSE)</f>
        <v>0150</v>
      </c>
    </row>
    <row r="972" spans="1:33" ht="15.75" hidden="1" customHeight="1">
      <c r="A972" s="51"/>
      <c r="B972" s="51"/>
      <c r="C972" s="51"/>
      <c r="D972" s="51"/>
      <c r="E972" s="51"/>
      <c r="F972" s="51"/>
      <c r="G972" s="51"/>
      <c r="H972" s="55"/>
      <c r="I972" s="55"/>
      <c r="J972" s="55"/>
      <c r="K972" s="55"/>
      <c r="L972" s="55"/>
      <c r="M972" s="55"/>
      <c r="N972" s="55"/>
      <c r="O972" s="55"/>
      <c r="P972" s="55"/>
      <c r="Q972" s="51"/>
      <c r="R972" s="51"/>
      <c r="S972" s="51"/>
      <c r="T972" s="51"/>
      <c r="U972" s="51"/>
      <c r="V972" s="51"/>
      <c r="W972" s="51"/>
      <c r="X972" s="51"/>
      <c r="Y972" s="51"/>
      <c r="Z972" s="51"/>
      <c r="AA972" s="51"/>
      <c r="AB972" s="51"/>
      <c r="AC972" s="51"/>
      <c r="AD972" s="51" t="s">
        <v>3394</v>
      </c>
      <c r="AE972" s="51" t="s">
        <v>3395</v>
      </c>
      <c r="AF972" s="51" t="str">
        <f t="shared" si="9"/>
        <v>A622125</v>
      </c>
      <c r="AG972" s="51" t="str">
        <f>VLOOKUP(AF972,AKT!$C$4:$E$324,3,FALSE)</f>
        <v>0150</v>
      </c>
    </row>
    <row r="973" spans="1:33" ht="15.75" hidden="1" customHeight="1">
      <c r="A973" s="51"/>
      <c r="B973" s="51"/>
      <c r="C973" s="51"/>
      <c r="D973" s="51"/>
      <c r="E973" s="51"/>
      <c r="F973" s="51"/>
      <c r="G973" s="51"/>
      <c r="H973" s="55"/>
      <c r="I973" s="55"/>
      <c r="J973" s="55"/>
      <c r="K973" s="55"/>
      <c r="L973" s="55"/>
      <c r="M973" s="55"/>
      <c r="N973" s="55"/>
      <c r="O973" s="55"/>
      <c r="P973" s="55"/>
      <c r="Q973" s="51"/>
      <c r="R973" s="51"/>
      <c r="S973" s="51"/>
      <c r="T973" s="51"/>
      <c r="U973" s="51"/>
      <c r="V973" s="51"/>
      <c r="W973" s="51"/>
      <c r="X973" s="51"/>
      <c r="Y973" s="51"/>
      <c r="Z973" s="51"/>
      <c r="AA973" s="51"/>
      <c r="AB973" s="51"/>
      <c r="AC973" s="51"/>
      <c r="AD973" s="51" t="s">
        <v>3396</v>
      </c>
      <c r="AE973" s="51" t="s">
        <v>3397</v>
      </c>
      <c r="AF973" s="51" t="str">
        <f t="shared" si="9"/>
        <v>A622125</v>
      </c>
      <c r="AG973" s="51" t="str">
        <f>VLOOKUP(AF973,AKT!$C$4:$E$324,3,FALSE)</f>
        <v>0150</v>
      </c>
    </row>
    <row r="974" spans="1:33" ht="15.75" hidden="1" customHeight="1">
      <c r="A974" s="51"/>
      <c r="B974" s="51"/>
      <c r="C974" s="51"/>
      <c r="D974" s="51"/>
      <c r="E974" s="51"/>
      <c r="F974" s="51"/>
      <c r="G974" s="51"/>
      <c r="H974" s="55"/>
      <c r="I974" s="55"/>
      <c r="J974" s="55"/>
      <c r="K974" s="55"/>
      <c r="L974" s="55"/>
      <c r="M974" s="55"/>
      <c r="N974" s="55"/>
      <c r="O974" s="55"/>
      <c r="P974" s="55"/>
      <c r="Q974" s="51"/>
      <c r="R974" s="51"/>
      <c r="S974" s="51"/>
      <c r="T974" s="51"/>
      <c r="U974" s="51"/>
      <c r="V974" s="51"/>
      <c r="W974" s="51"/>
      <c r="X974" s="51"/>
      <c r="Y974" s="51"/>
      <c r="Z974" s="51"/>
      <c r="AA974" s="51"/>
      <c r="AB974" s="51"/>
      <c r="AC974" s="51"/>
      <c r="AD974" s="51" t="s">
        <v>3398</v>
      </c>
      <c r="AE974" s="51" t="s">
        <v>3399</v>
      </c>
      <c r="AF974" s="51" t="str">
        <f t="shared" si="9"/>
        <v>A622125</v>
      </c>
      <c r="AG974" s="51" t="str">
        <f>VLOOKUP(AF974,AKT!$C$4:$E$324,3,FALSE)</f>
        <v>0150</v>
      </c>
    </row>
    <row r="975" spans="1:33" ht="15.75" hidden="1" customHeight="1">
      <c r="A975" s="51"/>
      <c r="B975" s="51"/>
      <c r="C975" s="51"/>
      <c r="D975" s="51"/>
      <c r="E975" s="51"/>
      <c r="F975" s="51"/>
      <c r="G975" s="51"/>
      <c r="H975" s="55"/>
      <c r="I975" s="55"/>
      <c r="J975" s="55"/>
      <c r="K975" s="55"/>
      <c r="L975" s="55"/>
      <c r="M975" s="55"/>
      <c r="N975" s="55"/>
      <c r="O975" s="55"/>
      <c r="P975" s="55"/>
      <c r="Q975" s="51"/>
      <c r="R975" s="51"/>
      <c r="S975" s="51"/>
      <c r="T975" s="51"/>
      <c r="U975" s="51"/>
      <c r="V975" s="51"/>
      <c r="W975" s="51"/>
      <c r="X975" s="51"/>
      <c r="Y975" s="51"/>
      <c r="Z975" s="51"/>
      <c r="AA975" s="51"/>
      <c r="AB975" s="51"/>
      <c r="AC975" s="51"/>
      <c r="AD975" s="51" t="s">
        <v>3400</v>
      </c>
      <c r="AE975" s="51" t="s">
        <v>3401</v>
      </c>
      <c r="AF975" s="51" t="str">
        <f t="shared" si="9"/>
        <v>A622125</v>
      </c>
      <c r="AG975" s="51" t="str">
        <f>VLOOKUP(AF975,AKT!$C$4:$E$324,3,FALSE)</f>
        <v>0150</v>
      </c>
    </row>
    <row r="976" spans="1:33" ht="15.75" hidden="1" customHeight="1">
      <c r="A976" s="51"/>
      <c r="B976" s="51"/>
      <c r="C976" s="51"/>
      <c r="D976" s="51"/>
      <c r="E976" s="51"/>
      <c r="F976" s="51"/>
      <c r="G976" s="51"/>
      <c r="H976" s="55"/>
      <c r="I976" s="55"/>
      <c r="J976" s="55"/>
      <c r="K976" s="55"/>
      <c r="L976" s="55"/>
      <c r="M976" s="55"/>
      <c r="N976" s="55"/>
      <c r="O976" s="55"/>
      <c r="P976" s="55"/>
      <c r="Q976" s="51"/>
      <c r="R976" s="51"/>
      <c r="S976" s="51"/>
      <c r="T976" s="51"/>
      <c r="U976" s="51"/>
      <c r="V976" s="51"/>
      <c r="W976" s="51"/>
      <c r="X976" s="51"/>
      <c r="Y976" s="51"/>
      <c r="Z976" s="51"/>
      <c r="AA976" s="51"/>
      <c r="AB976" s="51"/>
      <c r="AC976" s="51"/>
      <c r="AD976" s="51" t="s">
        <v>3402</v>
      </c>
      <c r="AE976" s="51" t="s">
        <v>3403</v>
      </c>
      <c r="AF976" s="51" t="str">
        <f t="shared" si="9"/>
        <v>A622125</v>
      </c>
      <c r="AG976" s="51" t="str">
        <f>VLOOKUP(AF976,AKT!$C$4:$E$324,3,FALSE)</f>
        <v>0150</v>
      </c>
    </row>
    <row r="977" spans="1:33" ht="15.75" hidden="1" customHeight="1">
      <c r="A977" s="51"/>
      <c r="B977" s="51"/>
      <c r="C977" s="51"/>
      <c r="D977" s="51"/>
      <c r="E977" s="51"/>
      <c r="F977" s="51"/>
      <c r="G977" s="51"/>
      <c r="H977" s="55"/>
      <c r="I977" s="55"/>
      <c r="J977" s="55"/>
      <c r="K977" s="55"/>
      <c r="L977" s="55"/>
      <c r="M977" s="55"/>
      <c r="N977" s="55"/>
      <c r="O977" s="55"/>
      <c r="P977" s="55"/>
      <c r="Q977" s="51"/>
      <c r="R977" s="51"/>
      <c r="S977" s="51"/>
      <c r="T977" s="51"/>
      <c r="U977" s="51"/>
      <c r="V977" s="51"/>
      <c r="W977" s="51"/>
      <c r="X977" s="51"/>
      <c r="Y977" s="51"/>
      <c r="Z977" s="51"/>
      <c r="AA977" s="51"/>
      <c r="AB977" s="51"/>
      <c r="AC977" s="51"/>
      <c r="AD977" s="51" t="s">
        <v>3404</v>
      </c>
      <c r="AE977" s="51" t="s">
        <v>3405</v>
      </c>
      <c r="AF977" s="51" t="str">
        <f t="shared" si="9"/>
        <v>A622125</v>
      </c>
      <c r="AG977" s="51" t="str">
        <f>VLOOKUP(AF977,AKT!$C$4:$E$324,3,FALSE)</f>
        <v>0150</v>
      </c>
    </row>
    <row r="978" spans="1:33" ht="15.75" hidden="1" customHeight="1">
      <c r="A978" s="51"/>
      <c r="B978" s="51"/>
      <c r="C978" s="51"/>
      <c r="D978" s="51"/>
      <c r="E978" s="51"/>
      <c r="F978" s="51"/>
      <c r="G978" s="51"/>
      <c r="H978" s="55"/>
      <c r="I978" s="55"/>
      <c r="J978" s="55"/>
      <c r="K978" s="55"/>
      <c r="L978" s="55"/>
      <c r="M978" s="55"/>
      <c r="N978" s="55"/>
      <c r="O978" s="55"/>
      <c r="P978" s="55"/>
      <c r="Q978" s="51"/>
      <c r="R978" s="51"/>
      <c r="S978" s="51"/>
      <c r="T978" s="51"/>
      <c r="U978" s="51"/>
      <c r="V978" s="51"/>
      <c r="W978" s="51"/>
      <c r="X978" s="51"/>
      <c r="Y978" s="51"/>
      <c r="Z978" s="51"/>
      <c r="AA978" s="51"/>
      <c r="AB978" s="51"/>
      <c r="AC978" s="51"/>
      <c r="AD978" s="51" t="s">
        <v>3406</v>
      </c>
      <c r="AE978" s="51" t="s">
        <v>3407</v>
      </c>
      <c r="AF978" s="51" t="str">
        <f t="shared" si="9"/>
        <v>A622125</v>
      </c>
      <c r="AG978" s="51" t="str">
        <f>VLOOKUP(AF978,AKT!$C$4:$E$324,3,FALSE)</f>
        <v>0150</v>
      </c>
    </row>
    <row r="979" spans="1:33" ht="15.75" hidden="1" customHeight="1">
      <c r="A979" s="51"/>
      <c r="B979" s="51"/>
      <c r="C979" s="51"/>
      <c r="D979" s="51"/>
      <c r="E979" s="51"/>
      <c r="F979" s="51"/>
      <c r="G979" s="51"/>
      <c r="H979" s="55"/>
      <c r="I979" s="55"/>
      <c r="J979" s="55"/>
      <c r="K979" s="55"/>
      <c r="L979" s="55"/>
      <c r="M979" s="55"/>
      <c r="N979" s="55"/>
      <c r="O979" s="55"/>
      <c r="P979" s="55"/>
      <c r="Q979" s="51"/>
      <c r="R979" s="51"/>
      <c r="S979" s="51"/>
      <c r="T979" s="51"/>
      <c r="U979" s="51"/>
      <c r="V979" s="51"/>
      <c r="W979" s="51"/>
      <c r="X979" s="51"/>
      <c r="Y979" s="51"/>
      <c r="Z979" s="51"/>
      <c r="AA979" s="51"/>
      <c r="AB979" s="51"/>
      <c r="AC979" s="51"/>
      <c r="AD979" s="51" t="s">
        <v>3408</v>
      </c>
      <c r="AE979" s="51" t="s">
        <v>3409</v>
      </c>
      <c r="AF979" s="51" t="str">
        <f t="shared" si="9"/>
        <v>A622125</v>
      </c>
      <c r="AG979" s="51" t="str">
        <f>VLOOKUP(AF979,AKT!$C$4:$E$324,3,FALSE)</f>
        <v>0150</v>
      </c>
    </row>
    <row r="980" spans="1:33" ht="15.75" hidden="1" customHeight="1">
      <c r="A980" s="51"/>
      <c r="B980" s="51"/>
      <c r="C980" s="51"/>
      <c r="D980" s="51"/>
      <c r="E980" s="51"/>
      <c r="F980" s="51"/>
      <c r="G980" s="51"/>
      <c r="H980" s="55"/>
      <c r="I980" s="55"/>
      <c r="J980" s="55"/>
      <c r="K980" s="55"/>
      <c r="L980" s="55"/>
      <c r="M980" s="55"/>
      <c r="N980" s="55"/>
      <c r="O980" s="55"/>
      <c r="P980" s="55"/>
      <c r="Q980" s="51"/>
      <c r="R980" s="51"/>
      <c r="S980" s="51"/>
      <c r="T980" s="51"/>
      <c r="U980" s="51"/>
      <c r="V980" s="51"/>
      <c r="W980" s="51"/>
      <c r="X980" s="51"/>
      <c r="Y980" s="51"/>
      <c r="Z980" s="51"/>
      <c r="AA980" s="51"/>
      <c r="AB980" s="51"/>
      <c r="AC980" s="51"/>
      <c r="AD980" s="51" t="s">
        <v>3410</v>
      </c>
      <c r="AE980" s="51" t="s">
        <v>3411</v>
      </c>
      <c r="AF980" s="51" t="str">
        <f t="shared" si="9"/>
        <v>A622125</v>
      </c>
      <c r="AG980" s="51" t="str">
        <f>VLOOKUP(AF980,AKT!$C$4:$E$324,3,FALSE)</f>
        <v>0150</v>
      </c>
    </row>
    <row r="981" spans="1:33" ht="15.75" hidden="1" customHeight="1">
      <c r="A981" s="51"/>
      <c r="B981" s="51"/>
      <c r="C981" s="51"/>
      <c r="D981" s="51"/>
      <c r="E981" s="51"/>
      <c r="F981" s="51"/>
      <c r="G981" s="51"/>
      <c r="H981" s="55"/>
      <c r="I981" s="55"/>
      <c r="J981" s="55"/>
      <c r="K981" s="55"/>
      <c r="L981" s="55"/>
      <c r="M981" s="55"/>
      <c r="N981" s="55"/>
      <c r="O981" s="55"/>
      <c r="P981" s="55"/>
      <c r="Q981" s="51"/>
      <c r="R981" s="51"/>
      <c r="S981" s="51"/>
      <c r="T981" s="51"/>
      <c r="U981" s="51"/>
      <c r="V981" s="51"/>
      <c r="W981" s="51"/>
      <c r="X981" s="51"/>
      <c r="Y981" s="51"/>
      <c r="Z981" s="51"/>
      <c r="AA981" s="51"/>
      <c r="AB981" s="51"/>
      <c r="AC981" s="51"/>
      <c r="AD981" s="51" t="s">
        <v>3412</v>
      </c>
      <c r="AE981" s="51" t="s">
        <v>3413</v>
      </c>
      <c r="AF981" s="51" t="str">
        <f t="shared" si="9"/>
        <v>A622125</v>
      </c>
      <c r="AG981" s="51" t="str">
        <f>VLOOKUP(AF981,AKT!$C$4:$E$324,3,FALSE)</f>
        <v>0150</v>
      </c>
    </row>
    <row r="982" spans="1:33" ht="15.75" hidden="1" customHeight="1">
      <c r="A982" s="51"/>
      <c r="B982" s="51"/>
      <c r="C982" s="51"/>
      <c r="D982" s="51"/>
      <c r="E982" s="51"/>
      <c r="F982" s="51"/>
      <c r="G982" s="51"/>
      <c r="H982" s="55"/>
      <c r="I982" s="55"/>
      <c r="J982" s="55"/>
      <c r="K982" s="55"/>
      <c r="L982" s="55"/>
      <c r="M982" s="55"/>
      <c r="N982" s="55"/>
      <c r="O982" s="55"/>
      <c r="P982" s="55"/>
      <c r="Q982" s="51"/>
      <c r="R982" s="51"/>
      <c r="S982" s="51"/>
      <c r="T982" s="51"/>
      <c r="U982" s="51"/>
      <c r="V982" s="51"/>
      <c r="W982" s="51"/>
      <c r="X982" s="51"/>
      <c r="Y982" s="51"/>
      <c r="Z982" s="51"/>
      <c r="AA982" s="51"/>
      <c r="AB982" s="51"/>
      <c r="AC982" s="51"/>
      <c r="AD982" s="51" t="s">
        <v>3414</v>
      </c>
      <c r="AE982" s="51" t="s">
        <v>3415</v>
      </c>
      <c r="AF982" s="51" t="str">
        <f t="shared" si="9"/>
        <v>A622125</v>
      </c>
      <c r="AG982" s="51" t="str">
        <f>VLOOKUP(AF982,AKT!$C$4:$E$324,3,FALSE)</f>
        <v>0150</v>
      </c>
    </row>
    <row r="983" spans="1:33" ht="15.75" hidden="1" customHeight="1">
      <c r="A983" s="51"/>
      <c r="B983" s="51"/>
      <c r="C983" s="51"/>
      <c r="D983" s="51"/>
      <c r="E983" s="51"/>
      <c r="F983" s="51"/>
      <c r="G983" s="51"/>
      <c r="H983" s="55"/>
      <c r="I983" s="55"/>
      <c r="J983" s="55"/>
      <c r="K983" s="55"/>
      <c r="L983" s="55"/>
      <c r="M983" s="55"/>
      <c r="N983" s="55"/>
      <c r="O983" s="55"/>
      <c r="P983" s="55"/>
      <c r="Q983" s="51"/>
      <c r="R983" s="51"/>
      <c r="S983" s="51"/>
      <c r="T983" s="51"/>
      <c r="U983" s="51"/>
      <c r="V983" s="51"/>
      <c r="W983" s="51"/>
      <c r="X983" s="51"/>
      <c r="Y983" s="51"/>
      <c r="Z983" s="51"/>
      <c r="AA983" s="51"/>
      <c r="AB983" s="51"/>
      <c r="AC983" s="51"/>
      <c r="AD983" s="51" t="s">
        <v>3416</v>
      </c>
      <c r="AE983" s="51" t="s">
        <v>3417</v>
      </c>
      <c r="AF983" s="51" t="str">
        <f t="shared" si="9"/>
        <v>A622125</v>
      </c>
      <c r="AG983" s="51" t="str">
        <f>VLOOKUP(AF983,AKT!$C$4:$E$324,3,FALSE)</f>
        <v>0150</v>
      </c>
    </row>
    <row r="984" spans="1:33" ht="15.75" hidden="1" customHeight="1">
      <c r="A984" s="51"/>
      <c r="B984" s="51"/>
      <c r="C984" s="51"/>
      <c r="D984" s="51"/>
      <c r="E984" s="51"/>
      <c r="F984" s="51"/>
      <c r="G984" s="51"/>
      <c r="H984" s="55"/>
      <c r="I984" s="55"/>
      <c r="J984" s="55"/>
      <c r="K984" s="55"/>
      <c r="L984" s="55"/>
      <c r="M984" s="55"/>
      <c r="N984" s="55"/>
      <c r="O984" s="55"/>
      <c r="P984" s="55"/>
      <c r="Q984" s="51"/>
      <c r="R984" s="51"/>
      <c r="S984" s="51"/>
      <c r="T984" s="51"/>
      <c r="U984" s="51"/>
      <c r="V984" s="51"/>
      <c r="W984" s="51"/>
      <c r="X984" s="51"/>
      <c r="Y984" s="51"/>
      <c r="Z984" s="51"/>
      <c r="AA984" s="51"/>
      <c r="AB984" s="51"/>
      <c r="AC984" s="51"/>
      <c r="AD984" s="51" t="s">
        <v>3418</v>
      </c>
      <c r="AE984" s="51" t="s">
        <v>3419</v>
      </c>
      <c r="AF984" s="51" t="str">
        <f t="shared" si="9"/>
        <v>A622125</v>
      </c>
      <c r="AG984" s="51" t="str">
        <f>VLOOKUP(AF984,AKT!$C$4:$E$324,3,FALSE)</f>
        <v>0150</v>
      </c>
    </row>
    <row r="985" spans="1:33" ht="15.75" hidden="1" customHeight="1">
      <c r="A985" s="51"/>
      <c r="B985" s="51"/>
      <c r="C985" s="51"/>
      <c r="D985" s="51"/>
      <c r="E985" s="51"/>
      <c r="F985" s="51"/>
      <c r="G985" s="51"/>
      <c r="H985" s="55"/>
      <c r="I985" s="55"/>
      <c r="J985" s="55"/>
      <c r="K985" s="55"/>
      <c r="L985" s="55"/>
      <c r="M985" s="55"/>
      <c r="N985" s="55"/>
      <c r="O985" s="55"/>
      <c r="P985" s="55"/>
      <c r="Q985" s="51"/>
      <c r="R985" s="51"/>
      <c r="S985" s="51"/>
      <c r="T985" s="51"/>
      <c r="U985" s="51"/>
      <c r="V985" s="51"/>
      <c r="W985" s="51"/>
      <c r="X985" s="51"/>
      <c r="Y985" s="51"/>
      <c r="Z985" s="51"/>
      <c r="AA985" s="51"/>
      <c r="AB985" s="51"/>
      <c r="AC985" s="51"/>
      <c r="AD985" s="51" t="s">
        <v>3420</v>
      </c>
      <c r="AE985" s="51" t="s">
        <v>3421</v>
      </c>
      <c r="AF985" s="51" t="str">
        <f t="shared" si="9"/>
        <v>A622125</v>
      </c>
      <c r="AG985" s="51" t="str">
        <f>VLOOKUP(AF985,AKT!$C$4:$E$324,3,FALSE)</f>
        <v>0150</v>
      </c>
    </row>
    <row r="986" spans="1:33" ht="15.75" hidden="1" customHeight="1">
      <c r="A986" s="51"/>
      <c r="B986" s="51"/>
      <c r="C986" s="51"/>
      <c r="D986" s="51"/>
      <c r="E986" s="51"/>
      <c r="F986" s="51"/>
      <c r="G986" s="51"/>
      <c r="H986" s="55"/>
      <c r="I986" s="55"/>
      <c r="J986" s="55"/>
      <c r="K986" s="55"/>
      <c r="L986" s="55"/>
      <c r="M986" s="55"/>
      <c r="N986" s="55"/>
      <c r="O986" s="55"/>
      <c r="P986" s="55"/>
      <c r="Q986" s="51"/>
      <c r="R986" s="51"/>
      <c r="S986" s="51"/>
      <c r="T986" s="51"/>
      <c r="U986" s="51"/>
      <c r="V986" s="51"/>
      <c r="W986" s="51"/>
      <c r="X986" s="51"/>
      <c r="Y986" s="51"/>
      <c r="Z986" s="51"/>
      <c r="AA986" s="51"/>
      <c r="AB986" s="51"/>
      <c r="AC986" s="51"/>
      <c r="AD986" s="51" t="s">
        <v>3422</v>
      </c>
      <c r="AE986" s="51" t="s">
        <v>3423</v>
      </c>
      <c r="AF986" s="51" t="str">
        <f t="shared" si="9"/>
        <v>A622125</v>
      </c>
      <c r="AG986" s="51" t="str">
        <f>VLOOKUP(AF986,AKT!$C$4:$E$324,3,FALSE)</f>
        <v>0150</v>
      </c>
    </row>
    <row r="987" spans="1:33" ht="15.75" hidden="1" customHeight="1">
      <c r="A987" s="51"/>
      <c r="B987" s="51"/>
      <c r="C987" s="51"/>
      <c r="D987" s="51"/>
      <c r="E987" s="51"/>
      <c r="F987" s="51"/>
      <c r="G987" s="51"/>
      <c r="H987" s="55"/>
      <c r="I987" s="55"/>
      <c r="J987" s="55"/>
      <c r="K987" s="55"/>
      <c r="L987" s="55"/>
      <c r="M987" s="55"/>
      <c r="N987" s="55"/>
      <c r="O987" s="55"/>
      <c r="P987" s="55"/>
      <c r="Q987" s="51"/>
      <c r="R987" s="51"/>
      <c r="S987" s="51"/>
      <c r="T987" s="51"/>
      <c r="U987" s="51"/>
      <c r="V987" s="51"/>
      <c r="W987" s="51"/>
      <c r="X987" s="51"/>
      <c r="Y987" s="51"/>
      <c r="Z987" s="51"/>
      <c r="AA987" s="51"/>
      <c r="AB987" s="51"/>
      <c r="AC987" s="51"/>
      <c r="AD987" s="51" t="s">
        <v>3424</v>
      </c>
      <c r="AE987" s="51" t="s">
        <v>3425</v>
      </c>
      <c r="AF987" s="51" t="str">
        <f t="shared" si="9"/>
        <v>A622125</v>
      </c>
      <c r="AG987" s="51" t="str">
        <f>VLOOKUP(AF987,AKT!$C$4:$E$324,3,FALSE)</f>
        <v>0150</v>
      </c>
    </row>
    <row r="988" spans="1:33" ht="15.75" hidden="1" customHeight="1">
      <c r="A988" s="51"/>
      <c r="B988" s="51"/>
      <c r="C988" s="51"/>
      <c r="D988" s="51"/>
      <c r="E988" s="51"/>
      <c r="F988" s="51"/>
      <c r="G988" s="51"/>
      <c r="H988" s="55"/>
      <c r="I988" s="55"/>
      <c r="J988" s="55"/>
      <c r="K988" s="55"/>
      <c r="L988" s="55"/>
      <c r="M988" s="55"/>
      <c r="N988" s="55"/>
      <c r="O988" s="55"/>
      <c r="P988" s="55"/>
      <c r="Q988" s="51"/>
      <c r="R988" s="51"/>
      <c r="S988" s="51"/>
      <c r="T988" s="51"/>
      <c r="U988" s="51"/>
      <c r="V988" s="51"/>
      <c r="W988" s="51"/>
      <c r="X988" s="51"/>
      <c r="Y988" s="51"/>
      <c r="Z988" s="51"/>
      <c r="AA988" s="51"/>
      <c r="AB988" s="51"/>
      <c r="AC988" s="51"/>
      <c r="AD988" s="51" t="s">
        <v>3426</v>
      </c>
      <c r="AE988" s="51" t="s">
        <v>3427</v>
      </c>
      <c r="AF988" s="51" t="str">
        <f t="shared" si="9"/>
        <v>A622125</v>
      </c>
      <c r="AG988" s="51" t="str">
        <f>VLOOKUP(AF988,AKT!$C$4:$E$324,3,FALSE)</f>
        <v>0150</v>
      </c>
    </row>
    <row r="989" spans="1:33" ht="15.75" hidden="1" customHeight="1">
      <c r="A989" s="51"/>
      <c r="B989" s="51"/>
      <c r="C989" s="51"/>
      <c r="D989" s="51"/>
      <c r="E989" s="51"/>
      <c r="F989" s="51"/>
      <c r="G989" s="51"/>
      <c r="H989" s="55"/>
      <c r="I989" s="55"/>
      <c r="J989" s="55"/>
      <c r="K989" s="55"/>
      <c r="L989" s="55"/>
      <c r="M989" s="55"/>
      <c r="N989" s="55"/>
      <c r="O989" s="55"/>
      <c r="P989" s="55"/>
      <c r="Q989" s="51"/>
      <c r="R989" s="51"/>
      <c r="S989" s="51"/>
      <c r="T989" s="51"/>
      <c r="U989" s="51"/>
      <c r="V989" s="51"/>
      <c r="W989" s="51"/>
      <c r="X989" s="51"/>
      <c r="Y989" s="51"/>
      <c r="Z989" s="51"/>
      <c r="AA989" s="51"/>
      <c r="AB989" s="51"/>
      <c r="AC989" s="51"/>
      <c r="AD989" s="51" t="s">
        <v>3428</v>
      </c>
      <c r="AE989" s="51" t="s">
        <v>3429</v>
      </c>
      <c r="AF989" s="51" t="str">
        <f t="shared" si="9"/>
        <v>A622125</v>
      </c>
      <c r="AG989" s="51" t="str">
        <f>VLOOKUP(AF989,AKT!$C$4:$E$324,3,FALSE)</f>
        <v>0150</v>
      </c>
    </row>
    <row r="990" spans="1:33" ht="15.75" hidden="1" customHeight="1">
      <c r="A990" s="51"/>
      <c r="B990" s="51"/>
      <c r="C990" s="51"/>
      <c r="D990" s="51"/>
      <c r="E990" s="51"/>
      <c r="F990" s="51"/>
      <c r="G990" s="51"/>
      <c r="H990" s="55"/>
      <c r="I990" s="55"/>
      <c r="J990" s="55"/>
      <c r="K990" s="55"/>
      <c r="L990" s="55"/>
      <c r="M990" s="55"/>
      <c r="N990" s="55"/>
      <c r="O990" s="55"/>
      <c r="P990" s="55"/>
      <c r="Q990" s="51"/>
      <c r="R990" s="51"/>
      <c r="S990" s="51"/>
      <c r="T990" s="51"/>
      <c r="U990" s="51"/>
      <c r="V990" s="51"/>
      <c r="W990" s="51"/>
      <c r="X990" s="51"/>
      <c r="Y990" s="51"/>
      <c r="Z990" s="51"/>
      <c r="AA990" s="51"/>
      <c r="AB990" s="51"/>
      <c r="AC990" s="51"/>
      <c r="AD990" s="51" t="s">
        <v>3430</v>
      </c>
      <c r="AE990" s="51" t="s">
        <v>3431</v>
      </c>
      <c r="AF990" s="51" t="str">
        <f t="shared" si="9"/>
        <v>A622125</v>
      </c>
      <c r="AG990" s="51" t="str">
        <f>VLOOKUP(AF990,AKT!$C$4:$E$324,3,FALSE)</f>
        <v>0150</v>
      </c>
    </row>
    <row r="991" spans="1:33" ht="15.75" hidden="1" customHeight="1">
      <c r="A991" s="51"/>
      <c r="B991" s="51"/>
      <c r="C991" s="51"/>
      <c r="D991" s="51"/>
      <c r="E991" s="51"/>
      <c r="F991" s="51"/>
      <c r="G991" s="51"/>
      <c r="H991" s="55"/>
      <c r="I991" s="55"/>
      <c r="J991" s="55"/>
      <c r="K991" s="55"/>
      <c r="L991" s="55"/>
      <c r="M991" s="55"/>
      <c r="N991" s="55"/>
      <c r="O991" s="55"/>
      <c r="P991" s="55"/>
      <c r="Q991" s="51"/>
      <c r="R991" s="51"/>
      <c r="S991" s="51"/>
      <c r="T991" s="51"/>
      <c r="U991" s="51"/>
      <c r="V991" s="51"/>
      <c r="W991" s="51"/>
      <c r="X991" s="51"/>
      <c r="Y991" s="51"/>
      <c r="Z991" s="51"/>
      <c r="AA991" s="51"/>
      <c r="AB991" s="51"/>
      <c r="AC991" s="51"/>
      <c r="AD991" s="51" t="s">
        <v>3432</v>
      </c>
      <c r="AE991" s="51" t="s">
        <v>3433</v>
      </c>
      <c r="AF991" s="51" t="str">
        <f t="shared" si="9"/>
        <v>A622125</v>
      </c>
      <c r="AG991" s="51" t="str">
        <f>VLOOKUP(AF991,AKT!$C$4:$E$324,3,FALSE)</f>
        <v>0150</v>
      </c>
    </row>
    <row r="992" spans="1:33" ht="15.75" hidden="1" customHeight="1">
      <c r="A992" s="51"/>
      <c r="B992" s="51"/>
      <c r="C992" s="51"/>
      <c r="D992" s="51"/>
      <c r="E992" s="51"/>
      <c r="F992" s="51"/>
      <c r="G992" s="51"/>
      <c r="H992" s="55"/>
      <c r="I992" s="55"/>
      <c r="J992" s="55"/>
      <c r="K992" s="55"/>
      <c r="L992" s="55"/>
      <c r="M992" s="55"/>
      <c r="N992" s="55"/>
      <c r="O992" s="55"/>
      <c r="P992" s="55"/>
      <c r="Q992" s="51"/>
      <c r="R992" s="51"/>
      <c r="S992" s="51"/>
      <c r="T992" s="51"/>
      <c r="U992" s="51"/>
      <c r="V992" s="51"/>
      <c r="W992" s="51"/>
      <c r="X992" s="51"/>
      <c r="Y992" s="51"/>
      <c r="Z992" s="51"/>
      <c r="AA992" s="51"/>
      <c r="AB992" s="51"/>
      <c r="AC992" s="51"/>
      <c r="AD992" s="51" t="s">
        <v>3434</v>
      </c>
      <c r="AE992" s="51" t="s">
        <v>3435</v>
      </c>
      <c r="AF992" s="51" t="str">
        <f t="shared" si="9"/>
        <v>A622125</v>
      </c>
      <c r="AG992" s="51" t="str">
        <f>VLOOKUP(AF992,AKT!$C$4:$E$324,3,FALSE)</f>
        <v>0150</v>
      </c>
    </row>
    <row r="993" spans="1:33" ht="15.75" hidden="1" customHeight="1">
      <c r="A993" s="51"/>
      <c r="B993" s="51"/>
      <c r="C993" s="51"/>
      <c r="D993" s="51"/>
      <c r="E993" s="51"/>
      <c r="F993" s="51"/>
      <c r="G993" s="51"/>
      <c r="H993" s="55"/>
      <c r="I993" s="55"/>
      <c r="J993" s="55"/>
      <c r="K993" s="55"/>
      <c r="L993" s="55"/>
      <c r="M993" s="55"/>
      <c r="N993" s="55"/>
      <c r="O993" s="55"/>
      <c r="P993" s="55"/>
      <c r="Q993" s="51"/>
      <c r="R993" s="51"/>
      <c r="S993" s="51"/>
      <c r="T993" s="51"/>
      <c r="U993" s="51"/>
      <c r="V993" s="51"/>
      <c r="W993" s="51"/>
      <c r="X993" s="51"/>
      <c r="Y993" s="51"/>
      <c r="Z993" s="51"/>
      <c r="AA993" s="51"/>
      <c r="AB993" s="51"/>
      <c r="AC993" s="51"/>
      <c r="AD993" s="51" t="s">
        <v>3436</v>
      </c>
      <c r="AE993" s="51" t="s">
        <v>3437</v>
      </c>
      <c r="AF993" s="51" t="str">
        <f t="shared" si="9"/>
        <v>A622125</v>
      </c>
      <c r="AG993" s="51" t="str">
        <f>VLOOKUP(AF993,AKT!$C$4:$E$324,3,FALSE)</f>
        <v>0150</v>
      </c>
    </row>
    <row r="994" spans="1:33" ht="15.75" hidden="1" customHeight="1">
      <c r="A994" s="51"/>
      <c r="B994" s="51"/>
      <c r="C994" s="51"/>
      <c r="D994" s="51"/>
      <c r="E994" s="51"/>
      <c r="F994" s="51"/>
      <c r="G994" s="51"/>
      <c r="H994" s="55"/>
      <c r="I994" s="55"/>
      <c r="J994" s="55"/>
      <c r="K994" s="55"/>
      <c r="L994" s="55"/>
      <c r="M994" s="55"/>
      <c r="N994" s="55"/>
      <c r="O994" s="55"/>
      <c r="P994" s="55"/>
      <c r="Q994" s="51"/>
      <c r="R994" s="51"/>
      <c r="S994" s="51"/>
      <c r="T994" s="51"/>
      <c r="U994" s="51"/>
      <c r="V994" s="51"/>
      <c r="W994" s="51"/>
      <c r="X994" s="51"/>
      <c r="Y994" s="51"/>
      <c r="Z994" s="51"/>
      <c r="AA994" s="51"/>
      <c r="AB994" s="51"/>
      <c r="AC994" s="51"/>
      <c r="AD994" s="51" t="s">
        <v>3438</v>
      </c>
      <c r="AE994" s="51" t="s">
        <v>3439</v>
      </c>
      <c r="AF994" s="51" t="str">
        <f t="shared" si="9"/>
        <v>A622125</v>
      </c>
      <c r="AG994" s="51" t="str">
        <f>VLOOKUP(AF994,AKT!$C$4:$E$324,3,FALSE)</f>
        <v>0150</v>
      </c>
    </row>
    <row r="995" spans="1:33" ht="15.75" hidden="1" customHeight="1">
      <c r="A995" s="51"/>
      <c r="B995" s="51"/>
      <c r="C995" s="51"/>
      <c r="D995" s="51"/>
      <c r="E995" s="51"/>
      <c r="F995" s="51"/>
      <c r="G995" s="51"/>
      <c r="H995" s="55"/>
      <c r="I995" s="55"/>
      <c r="J995" s="55"/>
      <c r="K995" s="55"/>
      <c r="L995" s="55"/>
      <c r="M995" s="55"/>
      <c r="N995" s="55"/>
      <c r="O995" s="55"/>
      <c r="P995" s="55"/>
      <c r="Q995" s="51"/>
      <c r="R995" s="51"/>
      <c r="S995" s="51"/>
      <c r="T995" s="51"/>
      <c r="U995" s="51"/>
      <c r="V995" s="51"/>
      <c r="W995" s="51"/>
      <c r="X995" s="51"/>
      <c r="Y995" s="51"/>
      <c r="Z995" s="51"/>
      <c r="AA995" s="51"/>
      <c r="AB995" s="51"/>
      <c r="AC995" s="51"/>
      <c r="AD995" s="51" t="s">
        <v>3440</v>
      </c>
      <c r="AE995" s="51" t="s">
        <v>3441</v>
      </c>
      <c r="AF995" s="51" t="str">
        <f t="shared" si="9"/>
        <v>A622125</v>
      </c>
      <c r="AG995" s="51" t="str">
        <f>VLOOKUP(AF995,AKT!$C$4:$E$324,3,FALSE)</f>
        <v>0150</v>
      </c>
    </row>
    <row r="996" spans="1:33" ht="15.75" hidden="1" customHeight="1">
      <c r="A996" s="51"/>
      <c r="B996" s="51"/>
      <c r="C996" s="51"/>
      <c r="D996" s="51"/>
      <c r="E996" s="51"/>
      <c r="F996" s="51"/>
      <c r="G996" s="51"/>
      <c r="H996" s="55"/>
      <c r="I996" s="55"/>
      <c r="J996" s="55"/>
      <c r="K996" s="55"/>
      <c r="L996" s="55"/>
      <c r="M996" s="55"/>
      <c r="N996" s="55"/>
      <c r="O996" s="55"/>
      <c r="P996" s="55"/>
      <c r="Q996" s="51"/>
      <c r="R996" s="51"/>
      <c r="S996" s="51"/>
      <c r="T996" s="51"/>
      <c r="U996" s="51"/>
      <c r="V996" s="51"/>
      <c r="W996" s="51"/>
      <c r="X996" s="51"/>
      <c r="Y996" s="51"/>
      <c r="Z996" s="51"/>
      <c r="AA996" s="51"/>
      <c r="AB996" s="51"/>
      <c r="AC996" s="51"/>
      <c r="AD996" s="51" t="s">
        <v>3442</v>
      </c>
      <c r="AE996" s="51" t="s">
        <v>3443</v>
      </c>
      <c r="AF996" s="51" t="str">
        <f t="shared" si="9"/>
        <v>A622125</v>
      </c>
      <c r="AG996" s="51" t="str">
        <f>VLOOKUP(AF996,AKT!$C$4:$E$324,3,FALSE)</f>
        <v>0150</v>
      </c>
    </row>
    <row r="997" spans="1:33" ht="15.75" hidden="1" customHeight="1">
      <c r="A997" s="51"/>
      <c r="B997" s="51"/>
      <c r="C997" s="51"/>
      <c r="D997" s="51"/>
      <c r="E997" s="51"/>
      <c r="F997" s="51"/>
      <c r="G997" s="51"/>
      <c r="H997" s="55"/>
      <c r="I997" s="55"/>
      <c r="J997" s="55"/>
      <c r="K997" s="55"/>
      <c r="L997" s="55"/>
      <c r="M997" s="55"/>
      <c r="N997" s="55"/>
      <c r="O997" s="55"/>
      <c r="P997" s="55"/>
      <c r="Q997" s="51"/>
      <c r="R997" s="51"/>
      <c r="S997" s="51"/>
      <c r="T997" s="51"/>
      <c r="U997" s="51"/>
      <c r="V997" s="51"/>
      <c r="W997" s="51"/>
      <c r="X997" s="51"/>
      <c r="Y997" s="51"/>
      <c r="Z997" s="51"/>
      <c r="AA997" s="51"/>
      <c r="AB997" s="51"/>
      <c r="AC997" s="51"/>
      <c r="AD997" s="51" t="s">
        <v>3444</v>
      </c>
      <c r="AE997" s="51" t="s">
        <v>3445</v>
      </c>
      <c r="AF997" s="51" t="str">
        <f t="shared" si="9"/>
        <v>A622125</v>
      </c>
      <c r="AG997" s="51" t="str">
        <f>VLOOKUP(AF997,AKT!$C$4:$E$324,3,FALSE)</f>
        <v>0150</v>
      </c>
    </row>
    <row r="998" spans="1:33" ht="15.75" hidden="1" customHeight="1">
      <c r="A998" s="51"/>
      <c r="B998" s="51"/>
      <c r="C998" s="51"/>
      <c r="D998" s="51"/>
      <c r="E998" s="51"/>
      <c r="F998" s="51"/>
      <c r="G998" s="51"/>
      <c r="H998" s="55"/>
      <c r="I998" s="55"/>
      <c r="J998" s="55"/>
      <c r="K998" s="55"/>
      <c r="L998" s="55"/>
      <c r="M998" s="55"/>
      <c r="N998" s="55"/>
      <c r="O998" s="55"/>
      <c r="P998" s="55"/>
      <c r="Q998" s="51"/>
      <c r="R998" s="51"/>
      <c r="S998" s="51"/>
      <c r="T998" s="51"/>
      <c r="U998" s="51"/>
      <c r="V998" s="51"/>
      <c r="W998" s="51"/>
      <c r="X998" s="51"/>
      <c r="Y998" s="51"/>
      <c r="Z998" s="51"/>
      <c r="AA998" s="51"/>
      <c r="AB998" s="51"/>
      <c r="AC998" s="51"/>
      <c r="AD998" s="51" t="s">
        <v>3446</v>
      </c>
      <c r="AE998" s="51" t="s">
        <v>3447</v>
      </c>
      <c r="AF998" s="51" t="str">
        <f t="shared" si="9"/>
        <v>A622125</v>
      </c>
      <c r="AG998" s="51" t="str">
        <f>VLOOKUP(AF998,AKT!$C$4:$E$324,3,FALSE)</f>
        <v>0150</v>
      </c>
    </row>
    <row r="999" spans="1:33" ht="15.75" hidden="1" customHeight="1">
      <c r="A999" s="51"/>
      <c r="B999" s="51"/>
      <c r="C999" s="51"/>
      <c r="D999" s="51"/>
      <c r="E999" s="51"/>
      <c r="F999" s="51"/>
      <c r="G999" s="51"/>
      <c r="H999" s="55"/>
      <c r="I999" s="55"/>
      <c r="J999" s="55"/>
      <c r="K999" s="55"/>
      <c r="L999" s="55"/>
      <c r="M999" s="55"/>
      <c r="N999" s="55"/>
      <c r="O999" s="55"/>
      <c r="P999" s="55"/>
      <c r="Q999" s="51"/>
      <c r="R999" s="51"/>
      <c r="S999" s="51"/>
      <c r="T999" s="51"/>
      <c r="U999" s="51"/>
      <c r="V999" s="51"/>
      <c r="W999" s="51"/>
      <c r="X999" s="51"/>
      <c r="Y999" s="51"/>
      <c r="Z999" s="51"/>
      <c r="AA999" s="51"/>
      <c r="AB999" s="51"/>
      <c r="AC999" s="51"/>
      <c r="AD999" s="51" t="s">
        <v>3448</v>
      </c>
      <c r="AE999" s="51" t="s">
        <v>3449</v>
      </c>
      <c r="AF999" s="51" t="str">
        <f t="shared" si="9"/>
        <v>A622125</v>
      </c>
      <c r="AG999" s="51" t="str">
        <f>VLOOKUP(AF999,AKT!$C$4:$E$324,3,FALSE)</f>
        <v>0150</v>
      </c>
    </row>
    <row r="1000" spans="1:33" ht="15.75" hidden="1" customHeight="1">
      <c r="A1000" s="51"/>
      <c r="B1000" s="51"/>
      <c r="C1000" s="51"/>
      <c r="D1000" s="51"/>
      <c r="E1000" s="51"/>
      <c r="F1000" s="51"/>
      <c r="G1000" s="51"/>
      <c r="H1000" s="55"/>
      <c r="I1000" s="55"/>
      <c r="J1000" s="55"/>
      <c r="K1000" s="55"/>
      <c r="L1000" s="55"/>
      <c r="M1000" s="55"/>
      <c r="N1000" s="55"/>
      <c r="O1000" s="55"/>
      <c r="P1000" s="55"/>
      <c r="Q1000" s="51"/>
      <c r="R1000" s="51"/>
      <c r="S1000" s="51"/>
      <c r="T1000" s="51"/>
      <c r="U1000" s="51"/>
      <c r="V1000" s="51"/>
      <c r="W1000" s="51"/>
      <c r="X1000" s="51"/>
      <c r="Y1000" s="51"/>
      <c r="Z1000" s="51"/>
      <c r="AA1000" s="51"/>
      <c r="AB1000" s="51"/>
      <c r="AC1000" s="51"/>
      <c r="AD1000" s="51" t="s">
        <v>3450</v>
      </c>
      <c r="AE1000" s="51" t="s">
        <v>3451</v>
      </c>
      <c r="AF1000" s="51" t="str">
        <f t="shared" si="9"/>
        <v>A622125</v>
      </c>
      <c r="AG1000" s="51" t="str">
        <f>VLOOKUP(AF1000,AKT!$C$4:$E$324,3,FALSE)</f>
        <v>0150</v>
      </c>
    </row>
    <row r="1001" spans="1:33" ht="15.75" hidden="1" customHeight="1">
      <c r="A1001" s="51"/>
      <c r="B1001" s="51"/>
      <c r="C1001" s="51"/>
      <c r="D1001" s="51"/>
      <c r="E1001" s="51"/>
      <c r="F1001" s="51"/>
      <c r="G1001" s="51"/>
      <c r="H1001" s="55"/>
      <c r="I1001" s="55"/>
      <c r="J1001" s="55"/>
      <c r="K1001" s="55"/>
      <c r="L1001" s="55"/>
      <c r="M1001" s="55"/>
      <c r="N1001" s="55"/>
      <c r="O1001" s="55"/>
      <c r="P1001" s="55"/>
      <c r="Q1001" s="51"/>
      <c r="R1001" s="51"/>
      <c r="S1001" s="51"/>
      <c r="T1001" s="51"/>
      <c r="U1001" s="51"/>
      <c r="V1001" s="51"/>
      <c r="W1001" s="51"/>
      <c r="X1001" s="51"/>
      <c r="Y1001" s="51"/>
      <c r="Z1001" s="51"/>
      <c r="AA1001" s="51"/>
      <c r="AB1001" s="51"/>
      <c r="AC1001" s="51"/>
      <c r="AD1001" s="51" t="s">
        <v>3452</v>
      </c>
      <c r="AE1001" s="51" t="s">
        <v>3453</v>
      </c>
      <c r="AF1001" s="51" t="str">
        <f t="shared" si="9"/>
        <v>A622125</v>
      </c>
      <c r="AG1001" s="51" t="str">
        <f>VLOOKUP(AF1001,AKT!$C$4:$E$324,3,FALSE)</f>
        <v>0150</v>
      </c>
    </row>
    <row r="1002" spans="1:33" ht="15.75" hidden="1" customHeight="1">
      <c r="A1002" s="51"/>
      <c r="B1002" s="51"/>
      <c r="C1002" s="51"/>
      <c r="D1002" s="51"/>
      <c r="E1002" s="51"/>
      <c r="F1002" s="51"/>
      <c r="G1002" s="51"/>
      <c r="H1002" s="55"/>
      <c r="I1002" s="55"/>
      <c r="J1002" s="55"/>
      <c r="K1002" s="55"/>
      <c r="L1002" s="55"/>
      <c r="M1002" s="55"/>
      <c r="N1002" s="55"/>
      <c r="O1002" s="55"/>
      <c r="P1002" s="55"/>
      <c r="Q1002" s="51"/>
      <c r="R1002" s="51"/>
      <c r="S1002" s="51"/>
      <c r="T1002" s="51"/>
      <c r="U1002" s="51"/>
      <c r="V1002" s="51"/>
      <c r="W1002" s="51"/>
      <c r="X1002" s="51"/>
      <c r="Y1002" s="51"/>
      <c r="Z1002" s="51"/>
      <c r="AA1002" s="51"/>
      <c r="AB1002" s="51"/>
      <c r="AC1002" s="51"/>
      <c r="AD1002" s="51" t="s">
        <v>3454</v>
      </c>
      <c r="AE1002" s="51" t="s">
        <v>3455</v>
      </c>
      <c r="AF1002" s="51" t="str">
        <f t="shared" si="9"/>
        <v>A622125</v>
      </c>
      <c r="AG1002" s="51" t="str">
        <f>VLOOKUP(AF1002,AKT!$C$4:$E$324,3,FALSE)</f>
        <v>0150</v>
      </c>
    </row>
    <row r="1003" spans="1:33" ht="15.75" hidden="1" customHeight="1">
      <c r="A1003" s="51"/>
      <c r="B1003" s="51"/>
      <c r="C1003" s="51"/>
      <c r="D1003" s="51"/>
      <c r="E1003" s="51"/>
      <c r="F1003" s="51"/>
      <c r="G1003" s="51"/>
      <c r="H1003" s="55"/>
      <c r="I1003" s="55"/>
      <c r="J1003" s="55"/>
      <c r="K1003" s="55"/>
      <c r="L1003" s="55"/>
      <c r="M1003" s="55"/>
      <c r="N1003" s="55"/>
      <c r="O1003" s="55"/>
      <c r="P1003" s="55"/>
      <c r="Q1003" s="51"/>
      <c r="R1003" s="51"/>
      <c r="S1003" s="51"/>
      <c r="T1003" s="51"/>
      <c r="U1003" s="51"/>
      <c r="V1003" s="51"/>
      <c r="W1003" s="51"/>
      <c r="X1003" s="51"/>
      <c r="Y1003" s="51"/>
      <c r="Z1003" s="51"/>
      <c r="AA1003" s="51"/>
      <c r="AB1003" s="51"/>
      <c r="AC1003" s="51"/>
      <c r="AD1003" s="51" t="s">
        <v>3456</v>
      </c>
      <c r="AE1003" s="51" t="s">
        <v>3457</v>
      </c>
      <c r="AF1003" s="51" t="str">
        <f t="shared" si="9"/>
        <v>A622125</v>
      </c>
      <c r="AG1003" s="51" t="str">
        <f>VLOOKUP(AF1003,AKT!$C$4:$E$324,3,FALSE)</f>
        <v>0150</v>
      </c>
    </row>
    <row r="1004" spans="1:33" ht="15.75" hidden="1" customHeight="1">
      <c r="A1004" s="51"/>
      <c r="B1004" s="51"/>
      <c r="C1004" s="51"/>
      <c r="D1004" s="51"/>
      <c r="E1004" s="51"/>
      <c r="F1004" s="51"/>
      <c r="G1004" s="51"/>
      <c r="H1004" s="55"/>
      <c r="I1004" s="55"/>
      <c r="J1004" s="55"/>
      <c r="K1004" s="55"/>
      <c r="L1004" s="55"/>
      <c r="M1004" s="55"/>
      <c r="N1004" s="55"/>
      <c r="O1004" s="55"/>
      <c r="P1004" s="55"/>
      <c r="Q1004" s="51"/>
      <c r="R1004" s="51"/>
      <c r="S1004" s="51"/>
      <c r="T1004" s="51"/>
      <c r="U1004" s="51"/>
      <c r="V1004" s="51"/>
      <c r="W1004" s="51"/>
      <c r="X1004" s="51"/>
      <c r="Y1004" s="51"/>
      <c r="Z1004" s="51"/>
      <c r="AA1004" s="51"/>
      <c r="AB1004" s="51"/>
      <c r="AC1004" s="51"/>
      <c r="AD1004" s="51" t="s">
        <v>3458</v>
      </c>
      <c r="AE1004" s="51" t="s">
        <v>3459</v>
      </c>
      <c r="AF1004" s="51" t="str">
        <f t="shared" si="9"/>
        <v>A622125</v>
      </c>
      <c r="AG1004" s="51" t="str">
        <f>VLOOKUP(AF1004,AKT!$C$4:$E$324,3,FALSE)</f>
        <v>0150</v>
      </c>
    </row>
    <row r="1005" spans="1:33" ht="15.75" hidden="1" customHeight="1">
      <c r="A1005" s="51"/>
      <c r="B1005" s="51"/>
      <c r="C1005" s="51"/>
      <c r="D1005" s="51"/>
      <c r="E1005" s="51"/>
      <c r="F1005" s="51"/>
      <c r="G1005" s="51"/>
      <c r="H1005" s="55"/>
      <c r="I1005" s="55"/>
      <c r="J1005" s="55"/>
      <c r="K1005" s="55"/>
      <c r="L1005" s="55"/>
      <c r="M1005" s="55"/>
      <c r="N1005" s="55"/>
      <c r="O1005" s="55"/>
      <c r="P1005" s="55"/>
      <c r="Q1005" s="51"/>
      <c r="R1005" s="51"/>
      <c r="S1005" s="51"/>
      <c r="T1005" s="51"/>
      <c r="U1005" s="51"/>
      <c r="V1005" s="51"/>
      <c r="W1005" s="51"/>
      <c r="X1005" s="51"/>
      <c r="Y1005" s="51"/>
      <c r="Z1005" s="51"/>
      <c r="AA1005" s="51"/>
      <c r="AB1005" s="51"/>
      <c r="AC1005" s="51"/>
      <c r="AD1005" s="51" t="s">
        <v>3460</v>
      </c>
      <c r="AE1005" s="51" t="s">
        <v>3461</v>
      </c>
      <c r="AF1005" s="51" t="str">
        <f t="shared" si="9"/>
        <v>A622125</v>
      </c>
      <c r="AG1005" s="51" t="str">
        <f>VLOOKUP(AF1005,AKT!$C$4:$E$324,3,FALSE)</f>
        <v>0150</v>
      </c>
    </row>
    <row r="1006" spans="1:33" ht="15.75" hidden="1" customHeight="1">
      <c r="A1006" s="51"/>
      <c r="B1006" s="51"/>
      <c r="C1006" s="51"/>
      <c r="D1006" s="51"/>
      <c r="E1006" s="51"/>
      <c r="F1006" s="51"/>
      <c r="G1006" s="51"/>
      <c r="H1006" s="55"/>
      <c r="I1006" s="55"/>
      <c r="J1006" s="55"/>
      <c r="K1006" s="55"/>
      <c r="L1006" s="55"/>
      <c r="M1006" s="55"/>
      <c r="N1006" s="55"/>
      <c r="O1006" s="55"/>
      <c r="P1006" s="55"/>
      <c r="Q1006" s="51"/>
      <c r="R1006" s="51"/>
      <c r="S1006" s="51"/>
      <c r="T1006" s="51"/>
      <c r="U1006" s="51"/>
      <c r="V1006" s="51"/>
      <c r="W1006" s="51"/>
      <c r="X1006" s="51"/>
      <c r="Y1006" s="51"/>
      <c r="Z1006" s="51"/>
      <c r="AA1006" s="51"/>
      <c r="AB1006" s="51"/>
      <c r="AC1006" s="51"/>
      <c r="AD1006" s="51" t="s">
        <v>3462</v>
      </c>
      <c r="AE1006" s="51" t="s">
        <v>3463</v>
      </c>
      <c r="AF1006" s="51" t="str">
        <f t="shared" si="9"/>
        <v>A622125</v>
      </c>
      <c r="AG1006" s="51" t="str">
        <f>VLOOKUP(AF1006,AKT!$C$4:$E$324,3,FALSE)</f>
        <v>0150</v>
      </c>
    </row>
    <row r="1007" spans="1:33" ht="15.75" hidden="1" customHeight="1">
      <c r="A1007" s="51"/>
      <c r="B1007" s="51"/>
      <c r="C1007" s="51"/>
      <c r="D1007" s="51"/>
      <c r="E1007" s="51"/>
      <c r="F1007" s="51"/>
      <c r="G1007" s="51"/>
      <c r="H1007" s="55"/>
      <c r="I1007" s="55"/>
      <c r="J1007" s="55"/>
      <c r="K1007" s="55"/>
      <c r="L1007" s="55"/>
      <c r="M1007" s="55"/>
      <c r="N1007" s="55"/>
      <c r="O1007" s="55"/>
      <c r="P1007" s="55"/>
      <c r="Q1007" s="51"/>
      <c r="R1007" s="51"/>
      <c r="S1007" s="51"/>
      <c r="T1007" s="51"/>
      <c r="U1007" s="51"/>
      <c r="V1007" s="51"/>
      <c r="W1007" s="51"/>
      <c r="X1007" s="51"/>
      <c r="Y1007" s="51"/>
      <c r="Z1007" s="51"/>
      <c r="AA1007" s="51"/>
      <c r="AB1007" s="51"/>
      <c r="AC1007" s="51"/>
      <c r="AD1007" s="51" t="s">
        <v>3464</v>
      </c>
      <c r="AE1007" s="51" t="s">
        <v>3465</v>
      </c>
      <c r="AF1007" s="51" t="str">
        <f t="shared" si="9"/>
        <v>A622125</v>
      </c>
      <c r="AG1007" s="51" t="str">
        <f>VLOOKUP(AF1007,AKT!$C$4:$E$324,3,FALSE)</f>
        <v>0150</v>
      </c>
    </row>
    <row r="1008" spans="1:33" ht="15.75" hidden="1" customHeight="1">
      <c r="A1008" s="51"/>
      <c r="B1008" s="51"/>
      <c r="C1008" s="51"/>
      <c r="D1008" s="51"/>
      <c r="E1008" s="51"/>
      <c r="F1008" s="51"/>
      <c r="G1008" s="51"/>
      <c r="H1008" s="55"/>
      <c r="I1008" s="55"/>
      <c r="J1008" s="55"/>
      <c r="K1008" s="55"/>
      <c r="L1008" s="55"/>
      <c r="M1008" s="55"/>
      <c r="N1008" s="55"/>
      <c r="O1008" s="55"/>
      <c r="P1008" s="55"/>
      <c r="Q1008" s="51"/>
      <c r="R1008" s="51"/>
      <c r="S1008" s="51"/>
      <c r="T1008" s="51"/>
      <c r="U1008" s="51"/>
      <c r="V1008" s="51"/>
      <c r="W1008" s="51"/>
      <c r="X1008" s="51"/>
      <c r="Y1008" s="51"/>
      <c r="Z1008" s="51"/>
      <c r="AA1008" s="51"/>
      <c r="AB1008" s="51"/>
      <c r="AC1008" s="51"/>
      <c r="AD1008" s="51" t="s">
        <v>3466</v>
      </c>
      <c r="AE1008" s="51" t="s">
        <v>3467</v>
      </c>
      <c r="AF1008" s="51" t="str">
        <f t="shared" si="9"/>
        <v>A622125</v>
      </c>
      <c r="AG1008" s="51" t="str">
        <f>VLOOKUP(AF1008,AKT!$C$4:$E$324,3,FALSE)</f>
        <v>0150</v>
      </c>
    </row>
    <row r="1009" spans="1:33" ht="15.75" hidden="1" customHeight="1">
      <c r="A1009" s="51"/>
      <c r="B1009" s="51"/>
      <c r="C1009" s="51"/>
      <c r="D1009" s="51"/>
      <c r="E1009" s="51"/>
      <c r="F1009" s="51"/>
      <c r="G1009" s="51"/>
      <c r="H1009" s="55"/>
      <c r="I1009" s="55"/>
      <c r="J1009" s="55"/>
      <c r="K1009" s="55"/>
      <c r="L1009" s="55"/>
      <c r="M1009" s="55"/>
      <c r="N1009" s="55"/>
      <c r="O1009" s="55"/>
      <c r="P1009" s="55"/>
      <c r="Q1009" s="51"/>
      <c r="R1009" s="51"/>
      <c r="S1009" s="51"/>
      <c r="T1009" s="51"/>
      <c r="U1009" s="51"/>
      <c r="V1009" s="51"/>
      <c r="W1009" s="51"/>
      <c r="X1009" s="51"/>
      <c r="Y1009" s="51"/>
      <c r="Z1009" s="51"/>
      <c r="AA1009" s="51"/>
      <c r="AB1009" s="51"/>
      <c r="AC1009" s="51"/>
      <c r="AD1009" s="51" t="s">
        <v>3468</v>
      </c>
      <c r="AE1009" s="51" t="s">
        <v>3469</v>
      </c>
      <c r="AF1009" s="51" t="str">
        <f t="shared" si="9"/>
        <v>A622125</v>
      </c>
      <c r="AG1009" s="51" t="str">
        <f>VLOOKUP(AF1009,AKT!$C$4:$E$324,3,FALSE)</f>
        <v>0150</v>
      </c>
    </row>
    <row r="1010" spans="1:33" ht="15.75" hidden="1" customHeight="1">
      <c r="A1010" s="51"/>
      <c r="B1010" s="51"/>
      <c r="C1010" s="51"/>
      <c r="D1010" s="51"/>
      <c r="E1010" s="51"/>
      <c r="F1010" s="51"/>
      <c r="G1010" s="51"/>
      <c r="H1010" s="55"/>
      <c r="I1010" s="55"/>
      <c r="J1010" s="55"/>
      <c r="K1010" s="55"/>
      <c r="L1010" s="55"/>
      <c r="M1010" s="55"/>
      <c r="N1010" s="55"/>
      <c r="O1010" s="55"/>
      <c r="P1010" s="55"/>
      <c r="Q1010" s="51"/>
      <c r="R1010" s="51"/>
      <c r="S1010" s="51"/>
      <c r="T1010" s="51"/>
      <c r="U1010" s="51"/>
      <c r="V1010" s="51"/>
      <c r="W1010" s="51"/>
      <c r="X1010" s="51"/>
      <c r="Y1010" s="51"/>
      <c r="Z1010" s="51"/>
      <c r="AA1010" s="51"/>
      <c r="AB1010" s="51"/>
      <c r="AC1010" s="51"/>
      <c r="AD1010" s="51" t="s">
        <v>3470</v>
      </c>
      <c r="AE1010" s="51" t="s">
        <v>3471</v>
      </c>
      <c r="AF1010" s="51" t="str">
        <f t="shared" si="9"/>
        <v>A622125</v>
      </c>
      <c r="AG1010" s="51" t="str">
        <f>VLOOKUP(AF1010,AKT!$C$4:$E$324,3,FALSE)</f>
        <v>0150</v>
      </c>
    </row>
    <row r="1011" spans="1:33" ht="15.75" hidden="1" customHeight="1">
      <c r="A1011" s="51"/>
      <c r="B1011" s="51"/>
      <c r="C1011" s="51"/>
      <c r="D1011" s="51"/>
      <c r="E1011" s="51"/>
      <c r="F1011" s="51"/>
      <c r="G1011" s="51"/>
      <c r="H1011" s="55"/>
      <c r="I1011" s="55"/>
      <c r="J1011" s="55"/>
      <c r="K1011" s="55"/>
      <c r="L1011" s="55"/>
      <c r="M1011" s="55"/>
      <c r="N1011" s="55"/>
      <c r="O1011" s="55"/>
      <c r="P1011" s="55"/>
      <c r="Q1011" s="51"/>
      <c r="R1011" s="51"/>
      <c r="S1011" s="51"/>
      <c r="T1011" s="51"/>
      <c r="U1011" s="51"/>
      <c r="V1011" s="51"/>
      <c r="W1011" s="51"/>
      <c r="X1011" s="51"/>
      <c r="Y1011" s="51"/>
      <c r="Z1011" s="51"/>
      <c r="AA1011" s="51"/>
      <c r="AB1011" s="51"/>
      <c r="AC1011" s="51"/>
      <c r="AD1011" s="51" t="s">
        <v>3472</v>
      </c>
      <c r="AE1011" s="51" t="s">
        <v>3473</v>
      </c>
      <c r="AF1011" s="51" t="str">
        <f t="shared" si="9"/>
        <v>A622125</v>
      </c>
      <c r="AG1011" s="51" t="str">
        <f>VLOOKUP(AF1011,AKT!$C$4:$E$324,3,FALSE)</f>
        <v>0150</v>
      </c>
    </row>
    <row r="1012" spans="1:33" ht="15.75" hidden="1" customHeight="1">
      <c r="A1012" s="51"/>
      <c r="B1012" s="51"/>
      <c r="C1012" s="51"/>
      <c r="D1012" s="51"/>
      <c r="E1012" s="51"/>
      <c r="F1012" s="51"/>
      <c r="G1012" s="51"/>
      <c r="H1012" s="55"/>
      <c r="I1012" s="55"/>
      <c r="J1012" s="55"/>
      <c r="K1012" s="55"/>
      <c r="L1012" s="55"/>
      <c r="M1012" s="55"/>
      <c r="N1012" s="55"/>
      <c r="O1012" s="55"/>
      <c r="P1012" s="55"/>
      <c r="Q1012" s="51"/>
      <c r="R1012" s="51"/>
      <c r="S1012" s="51"/>
      <c r="T1012" s="51"/>
      <c r="U1012" s="51"/>
      <c r="V1012" s="51"/>
      <c r="W1012" s="51"/>
      <c r="X1012" s="51"/>
      <c r="Y1012" s="51"/>
      <c r="Z1012" s="51"/>
      <c r="AA1012" s="51"/>
      <c r="AB1012" s="51"/>
      <c r="AC1012" s="51"/>
      <c r="AD1012" s="51" t="s">
        <v>3474</v>
      </c>
      <c r="AE1012" s="51" t="s">
        <v>3475</v>
      </c>
      <c r="AF1012" s="51" t="str">
        <f t="shared" si="9"/>
        <v>A622125</v>
      </c>
      <c r="AG1012" s="51" t="str">
        <f>VLOOKUP(AF1012,AKT!$C$4:$E$324,3,FALSE)</f>
        <v>0150</v>
      </c>
    </row>
    <row r="1013" spans="1:33" ht="15.75" hidden="1" customHeight="1">
      <c r="A1013" s="51"/>
      <c r="B1013" s="51"/>
      <c r="C1013" s="51"/>
      <c r="D1013" s="51"/>
      <c r="E1013" s="51"/>
      <c r="F1013" s="51"/>
      <c r="G1013" s="51"/>
      <c r="H1013" s="55"/>
      <c r="I1013" s="55"/>
      <c r="J1013" s="55"/>
      <c r="K1013" s="55"/>
      <c r="L1013" s="55"/>
      <c r="M1013" s="55"/>
      <c r="N1013" s="55"/>
      <c r="O1013" s="55"/>
      <c r="P1013" s="55"/>
      <c r="Q1013" s="51"/>
      <c r="R1013" s="51"/>
      <c r="S1013" s="51"/>
      <c r="T1013" s="51"/>
      <c r="U1013" s="51"/>
      <c r="V1013" s="51"/>
      <c r="W1013" s="51"/>
      <c r="X1013" s="51"/>
      <c r="Y1013" s="51"/>
      <c r="Z1013" s="51"/>
      <c r="AA1013" s="51"/>
      <c r="AB1013" s="51"/>
      <c r="AC1013" s="51"/>
      <c r="AD1013" s="51" t="s">
        <v>3476</v>
      </c>
      <c r="AE1013" s="51" t="s">
        <v>3477</v>
      </c>
      <c r="AF1013" s="51" t="str">
        <f t="shared" si="9"/>
        <v>A622125</v>
      </c>
      <c r="AG1013" s="51" t="str">
        <f>VLOOKUP(AF1013,AKT!$C$4:$E$324,3,FALSE)</f>
        <v>0150</v>
      </c>
    </row>
    <row r="1014" spans="1:33" ht="15.75" hidden="1" customHeight="1">
      <c r="A1014" s="51"/>
      <c r="B1014" s="51"/>
      <c r="C1014" s="51"/>
      <c r="D1014" s="51"/>
      <c r="E1014" s="51"/>
      <c r="F1014" s="51"/>
      <c r="G1014" s="51"/>
      <c r="H1014" s="55"/>
      <c r="I1014" s="55"/>
      <c r="J1014" s="55"/>
      <c r="K1014" s="55"/>
      <c r="L1014" s="55"/>
      <c r="M1014" s="55"/>
      <c r="N1014" s="55"/>
      <c r="O1014" s="55"/>
      <c r="P1014" s="55"/>
      <c r="Q1014" s="51"/>
      <c r="R1014" s="51"/>
      <c r="S1014" s="51"/>
      <c r="T1014" s="51"/>
      <c r="U1014" s="51"/>
      <c r="V1014" s="51"/>
      <c r="W1014" s="51"/>
      <c r="X1014" s="51"/>
      <c r="Y1014" s="51"/>
      <c r="Z1014" s="51"/>
      <c r="AA1014" s="51"/>
      <c r="AB1014" s="51"/>
      <c r="AC1014" s="51"/>
      <c r="AD1014" s="51" t="s">
        <v>3478</v>
      </c>
      <c r="AE1014" s="51" t="s">
        <v>3479</v>
      </c>
      <c r="AF1014" s="51" t="str">
        <f t="shared" si="9"/>
        <v>A622125</v>
      </c>
      <c r="AG1014" s="51" t="str">
        <f>VLOOKUP(AF1014,AKT!$C$4:$E$324,3,FALSE)</f>
        <v>0150</v>
      </c>
    </row>
    <row r="1015" spans="1:33" ht="15.75" hidden="1" customHeight="1">
      <c r="A1015" s="51"/>
      <c r="B1015" s="51"/>
      <c r="C1015" s="51"/>
      <c r="D1015" s="51"/>
      <c r="E1015" s="51"/>
      <c r="F1015" s="51"/>
      <c r="G1015" s="51"/>
      <c r="H1015" s="55"/>
      <c r="I1015" s="55"/>
      <c r="J1015" s="55"/>
      <c r="K1015" s="55"/>
      <c r="L1015" s="55"/>
      <c r="M1015" s="55"/>
      <c r="N1015" s="55"/>
      <c r="O1015" s="55"/>
      <c r="P1015" s="55"/>
      <c r="Q1015" s="51"/>
      <c r="R1015" s="51"/>
      <c r="S1015" s="51"/>
      <c r="T1015" s="51"/>
      <c r="U1015" s="51"/>
      <c r="V1015" s="51"/>
      <c r="W1015" s="51"/>
      <c r="X1015" s="51"/>
      <c r="Y1015" s="51"/>
      <c r="Z1015" s="51"/>
      <c r="AA1015" s="51"/>
      <c r="AB1015" s="51"/>
      <c r="AC1015" s="51"/>
      <c r="AD1015" s="51" t="s">
        <v>1541</v>
      </c>
      <c r="AE1015" s="51" t="s">
        <v>3480</v>
      </c>
      <c r="AF1015" s="51" t="str">
        <f t="shared" si="9"/>
        <v>A622125</v>
      </c>
      <c r="AG1015" s="51" t="str">
        <f>VLOOKUP(AF1015,AKT!$C$4:$E$324,3,FALSE)</f>
        <v>0150</v>
      </c>
    </row>
    <row r="1016" spans="1:33" ht="15.75" hidden="1" customHeight="1">
      <c r="A1016" s="51"/>
      <c r="B1016" s="51"/>
      <c r="C1016" s="51"/>
      <c r="D1016" s="51"/>
      <c r="E1016" s="51"/>
      <c r="F1016" s="51"/>
      <c r="G1016" s="51"/>
      <c r="H1016" s="55"/>
      <c r="I1016" s="55"/>
      <c r="J1016" s="55"/>
      <c r="K1016" s="55"/>
      <c r="L1016" s="55"/>
      <c r="M1016" s="55"/>
      <c r="N1016" s="55"/>
      <c r="O1016" s="55"/>
      <c r="P1016" s="55"/>
      <c r="Q1016" s="51"/>
      <c r="R1016" s="51"/>
      <c r="S1016" s="51"/>
      <c r="T1016" s="51"/>
      <c r="U1016" s="51"/>
      <c r="V1016" s="51"/>
      <c r="W1016" s="51"/>
      <c r="X1016" s="51"/>
      <c r="Y1016" s="51"/>
      <c r="Z1016" s="51"/>
      <c r="AA1016" s="51"/>
      <c r="AB1016" s="51"/>
      <c r="AC1016" s="51"/>
      <c r="AD1016" s="51" t="s">
        <v>3481</v>
      </c>
      <c r="AE1016" s="51" t="s">
        <v>3482</v>
      </c>
      <c r="AF1016" s="51" t="str">
        <f t="shared" si="9"/>
        <v>A622125</v>
      </c>
      <c r="AG1016" s="51" t="str">
        <f>VLOOKUP(AF1016,AKT!$C$4:$E$324,3,FALSE)</f>
        <v>0150</v>
      </c>
    </row>
    <row r="1017" spans="1:33" ht="15.75" hidden="1" customHeight="1">
      <c r="A1017" s="51"/>
      <c r="B1017" s="51"/>
      <c r="C1017" s="51"/>
      <c r="D1017" s="51"/>
      <c r="E1017" s="51"/>
      <c r="F1017" s="51"/>
      <c r="G1017" s="51"/>
      <c r="H1017" s="55"/>
      <c r="I1017" s="55"/>
      <c r="J1017" s="55"/>
      <c r="K1017" s="55"/>
      <c r="L1017" s="55"/>
      <c r="M1017" s="55"/>
      <c r="N1017" s="55"/>
      <c r="O1017" s="55"/>
      <c r="P1017" s="55"/>
      <c r="Q1017" s="51"/>
      <c r="R1017" s="51"/>
      <c r="S1017" s="51"/>
      <c r="T1017" s="51"/>
      <c r="U1017" s="51"/>
      <c r="V1017" s="51"/>
      <c r="W1017" s="51"/>
      <c r="X1017" s="51"/>
      <c r="Y1017" s="51"/>
      <c r="Z1017" s="51"/>
      <c r="AA1017" s="51"/>
      <c r="AB1017" s="51"/>
      <c r="AC1017" s="51"/>
      <c r="AD1017" s="51" t="s">
        <v>3483</v>
      </c>
      <c r="AE1017" s="51" t="s">
        <v>3484</v>
      </c>
      <c r="AF1017" s="51" t="str">
        <f t="shared" si="9"/>
        <v>A622125</v>
      </c>
      <c r="AG1017" s="51" t="str">
        <f>VLOOKUP(AF1017,AKT!$C$4:$E$324,3,FALSE)</f>
        <v>0150</v>
      </c>
    </row>
    <row r="1018" spans="1:33" ht="15.75" hidden="1" customHeight="1">
      <c r="A1018" s="51"/>
      <c r="B1018" s="51"/>
      <c r="C1018" s="51"/>
      <c r="D1018" s="51"/>
      <c r="E1018" s="51"/>
      <c r="F1018" s="51"/>
      <c r="G1018" s="51"/>
      <c r="H1018" s="55"/>
      <c r="I1018" s="55"/>
      <c r="J1018" s="55"/>
      <c r="K1018" s="55"/>
      <c r="L1018" s="55"/>
      <c r="M1018" s="55"/>
      <c r="N1018" s="55"/>
      <c r="O1018" s="55"/>
      <c r="P1018" s="55"/>
      <c r="Q1018" s="51"/>
      <c r="R1018" s="51"/>
      <c r="S1018" s="51"/>
      <c r="T1018" s="51"/>
      <c r="U1018" s="51"/>
      <c r="V1018" s="51"/>
      <c r="W1018" s="51"/>
      <c r="X1018" s="51"/>
      <c r="Y1018" s="51"/>
      <c r="Z1018" s="51"/>
      <c r="AA1018" s="51"/>
      <c r="AB1018" s="51"/>
      <c r="AC1018" s="51"/>
      <c r="AD1018" s="51" t="s">
        <v>1418</v>
      </c>
      <c r="AE1018" s="51" t="s">
        <v>3485</v>
      </c>
      <c r="AF1018" s="51" t="str">
        <f t="shared" si="9"/>
        <v>A622125</v>
      </c>
      <c r="AG1018" s="51" t="str">
        <f>VLOOKUP(AF1018,AKT!$C$4:$E$324,3,FALSE)</f>
        <v>0150</v>
      </c>
    </row>
    <row r="1019" spans="1:33" ht="15.75" hidden="1" customHeight="1">
      <c r="A1019" s="51"/>
      <c r="B1019" s="51"/>
      <c r="C1019" s="51"/>
      <c r="D1019" s="51"/>
      <c r="E1019" s="51"/>
      <c r="F1019" s="51"/>
      <c r="G1019" s="51"/>
      <c r="H1019" s="55"/>
      <c r="I1019" s="55"/>
      <c r="J1019" s="55"/>
      <c r="K1019" s="55"/>
      <c r="L1019" s="55"/>
      <c r="M1019" s="55"/>
      <c r="N1019" s="55"/>
      <c r="O1019" s="55"/>
      <c r="P1019" s="55"/>
      <c r="Q1019" s="51"/>
      <c r="R1019" s="51"/>
      <c r="S1019" s="51"/>
      <c r="T1019" s="51"/>
      <c r="U1019" s="51"/>
      <c r="V1019" s="51"/>
      <c r="W1019" s="51"/>
      <c r="X1019" s="51"/>
      <c r="Y1019" s="51"/>
      <c r="Z1019" s="51"/>
      <c r="AA1019" s="51"/>
      <c r="AB1019" s="51"/>
      <c r="AC1019" s="51"/>
      <c r="AD1019" s="51" t="s">
        <v>3486</v>
      </c>
      <c r="AE1019" s="51" t="s">
        <v>3487</v>
      </c>
      <c r="AF1019" s="51" t="str">
        <f t="shared" si="9"/>
        <v>A622125</v>
      </c>
      <c r="AG1019" s="51" t="str">
        <f>VLOOKUP(AF1019,AKT!$C$4:$E$324,3,FALSE)</f>
        <v>0150</v>
      </c>
    </row>
    <row r="1020" spans="1:33" ht="15.75" hidden="1" customHeight="1">
      <c r="A1020" s="51"/>
      <c r="B1020" s="51"/>
      <c r="C1020" s="51"/>
      <c r="D1020" s="51"/>
      <c r="E1020" s="51"/>
      <c r="F1020" s="51"/>
      <c r="G1020" s="51"/>
      <c r="H1020" s="55"/>
      <c r="I1020" s="55"/>
      <c r="J1020" s="55"/>
      <c r="K1020" s="55"/>
      <c r="L1020" s="55"/>
      <c r="M1020" s="55"/>
      <c r="N1020" s="55"/>
      <c r="O1020" s="55"/>
      <c r="P1020" s="55"/>
      <c r="Q1020" s="51"/>
      <c r="R1020" s="51"/>
      <c r="S1020" s="51"/>
      <c r="T1020" s="51"/>
      <c r="U1020" s="51"/>
      <c r="V1020" s="51"/>
      <c r="W1020" s="51"/>
      <c r="X1020" s="51"/>
      <c r="Y1020" s="51"/>
      <c r="Z1020" s="51"/>
      <c r="AA1020" s="51"/>
      <c r="AB1020" s="51"/>
      <c r="AC1020" s="51"/>
      <c r="AD1020" s="51" t="s">
        <v>3488</v>
      </c>
      <c r="AE1020" s="51" t="s">
        <v>3489</v>
      </c>
      <c r="AF1020" s="51" t="str">
        <f t="shared" si="9"/>
        <v>A622125</v>
      </c>
      <c r="AG1020" s="51" t="str">
        <f>VLOOKUP(AF1020,AKT!$C$4:$E$324,3,FALSE)</f>
        <v>0150</v>
      </c>
    </row>
    <row r="1021" spans="1:33" ht="15.75" hidden="1" customHeight="1">
      <c r="A1021" s="51"/>
      <c r="B1021" s="51"/>
      <c r="C1021" s="51"/>
      <c r="D1021" s="51"/>
      <c r="E1021" s="51"/>
      <c r="F1021" s="51"/>
      <c r="G1021" s="51"/>
      <c r="H1021" s="55"/>
      <c r="I1021" s="55"/>
      <c r="J1021" s="55"/>
      <c r="K1021" s="55"/>
      <c r="L1021" s="55"/>
      <c r="M1021" s="55"/>
      <c r="N1021" s="55"/>
      <c r="O1021" s="55"/>
      <c r="P1021" s="55"/>
      <c r="Q1021" s="51"/>
      <c r="R1021" s="51"/>
      <c r="S1021" s="51"/>
      <c r="T1021" s="51"/>
      <c r="U1021" s="51"/>
      <c r="V1021" s="51"/>
      <c r="W1021" s="51"/>
      <c r="X1021" s="51"/>
      <c r="Y1021" s="51"/>
      <c r="Z1021" s="51"/>
      <c r="AA1021" s="51"/>
      <c r="AB1021" s="51"/>
      <c r="AC1021" s="51"/>
      <c r="AD1021" s="51" t="s">
        <v>1597</v>
      </c>
      <c r="AE1021" s="51" t="s">
        <v>3409</v>
      </c>
      <c r="AF1021" s="51" t="str">
        <f t="shared" si="9"/>
        <v>A622125</v>
      </c>
      <c r="AG1021" s="51" t="str">
        <f>VLOOKUP(AF1021,AKT!$C$4:$E$324,3,FALSE)</f>
        <v>0150</v>
      </c>
    </row>
    <row r="1022" spans="1:33" ht="15.75" hidden="1" customHeight="1">
      <c r="A1022" s="51"/>
      <c r="B1022" s="51"/>
      <c r="C1022" s="51"/>
      <c r="D1022" s="51"/>
      <c r="E1022" s="51"/>
      <c r="F1022" s="51"/>
      <c r="G1022" s="51"/>
      <c r="H1022" s="55"/>
      <c r="I1022" s="55"/>
      <c r="J1022" s="55"/>
      <c r="K1022" s="55"/>
      <c r="L1022" s="55"/>
      <c r="M1022" s="55"/>
      <c r="N1022" s="55"/>
      <c r="O1022" s="55"/>
      <c r="P1022" s="55"/>
      <c r="Q1022" s="51"/>
      <c r="R1022" s="51"/>
      <c r="S1022" s="51"/>
      <c r="T1022" s="51"/>
      <c r="U1022" s="51"/>
      <c r="V1022" s="51"/>
      <c r="W1022" s="51"/>
      <c r="X1022" s="51"/>
      <c r="Y1022" s="51"/>
      <c r="Z1022" s="51"/>
      <c r="AA1022" s="51"/>
      <c r="AB1022" s="51"/>
      <c r="AC1022" s="51"/>
      <c r="AD1022" s="51" t="s">
        <v>3490</v>
      </c>
      <c r="AE1022" s="51" t="s">
        <v>3491</v>
      </c>
      <c r="AF1022" s="51" t="str">
        <f t="shared" si="9"/>
        <v>A622125</v>
      </c>
      <c r="AG1022" s="51" t="str">
        <f>VLOOKUP(AF1022,AKT!$C$4:$E$324,3,FALSE)</f>
        <v>0150</v>
      </c>
    </row>
    <row r="1023" spans="1:33" ht="15.75" hidden="1" customHeight="1">
      <c r="A1023" s="51"/>
      <c r="B1023" s="51"/>
      <c r="C1023" s="51"/>
      <c r="D1023" s="51"/>
      <c r="E1023" s="51"/>
      <c r="F1023" s="51"/>
      <c r="G1023" s="51"/>
      <c r="H1023" s="55"/>
      <c r="I1023" s="55"/>
      <c r="J1023" s="55"/>
      <c r="K1023" s="55"/>
      <c r="L1023" s="55"/>
      <c r="M1023" s="55"/>
      <c r="N1023" s="55"/>
      <c r="O1023" s="55"/>
      <c r="P1023" s="55"/>
      <c r="Q1023" s="51"/>
      <c r="R1023" s="51"/>
      <c r="S1023" s="51"/>
      <c r="T1023" s="51"/>
      <c r="U1023" s="51"/>
      <c r="V1023" s="51"/>
      <c r="W1023" s="51"/>
      <c r="X1023" s="51"/>
      <c r="Y1023" s="51"/>
      <c r="Z1023" s="51"/>
      <c r="AA1023" s="51"/>
      <c r="AB1023" s="51"/>
      <c r="AC1023" s="51"/>
      <c r="AD1023" s="51" t="s">
        <v>3492</v>
      </c>
      <c r="AE1023" s="51" t="s">
        <v>3493</v>
      </c>
      <c r="AF1023" s="51" t="str">
        <f t="shared" si="9"/>
        <v>A622125</v>
      </c>
      <c r="AG1023" s="51" t="str">
        <f>VLOOKUP(AF1023,AKT!$C$4:$E$324,3,FALSE)</f>
        <v>0150</v>
      </c>
    </row>
    <row r="1024" spans="1:33" ht="15.75" hidden="1" customHeight="1">
      <c r="A1024" s="51"/>
      <c r="B1024" s="51"/>
      <c r="C1024" s="51"/>
      <c r="D1024" s="51"/>
      <c r="E1024" s="51"/>
      <c r="F1024" s="51"/>
      <c r="G1024" s="51"/>
      <c r="H1024" s="55"/>
      <c r="I1024" s="55"/>
      <c r="J1024" s="55"/>
      <c r="K1024" s="55"/>
      <c r="L1024" s="55"/>
      <c r="M1024" s="55"/>
      <c r="N1024" s="55"/>
      <c r="O1024" s="55"/>
      <c r="P1024" s="55"/>
      <c r="Q1024" s="51"/>
      <c r="R1024" s="51"/>
      <c r="S1024" s="51"/>
      <c r="T1024" s="51"/>
      <c r="U1024" s="51"/>
      <c r="V1024" s="51"/>
      <c r="W1024" s="51"/>
      <c r="X1024" s="51"/>
      <c r="Y1024" s="51"/>
      <c r="Z1024" s="51"/>
      <c r="AA1024" s="51"/>
      <c r="AB1024" s="51"/>
      <c r="AC1024" s="51"/>
      <c r="AD1024" s="51" t="s">
        <v>3494</v>
      </c>
      <c r="AE1024" s="51" t="s">
        <v>3495</v>
      </c>
      <c r="AF1024" s="51" t="str">
        <f t="shared" si="9"/>
        <v>A622125</v>
      </c>
      <c r="AG1024" s="51" t="str">
        <f>VLOOKUP(AF1024,AKT!$C$4:$E$324,3,FALSE)</f>
        <v>0150</v>
      </c>
    </row>
    <row r="1025" spans="1:33" ht="15.75" hidden="1" customHeight="1">
      <c r="A1025" s="51"/>
      <c r="B1025" s="51"/>
      <c r="C1025" s="51"/>
      <c r="D1025" s="51"/>
      <c r="E1025" s="51"/>
      <c r="F1025" s="51"/>
      <c r="G1025" s="51"/>
      <c r="H1025" s="55"/>
      <c r="I1025" s="55"/>
      <c r="J1025" s="55"/>
      <c r="K1025" s="55"/>
      <c r="L1025" s="55"/>
      <c r="M1025" s="55"/>
      <c r="N1025" s="55"/>
      <c r="O1025" s="55"/>
      <c r="P1025" s="55"/>
      <c r="Q1025" s="51"/>
      <c r="R1025" s="51"/>
      <c r="S1025" s="51"/>
      <c r="T1025" s="51"/>
      <c r="U1025" s="51"/>
      <c r="V1025" s="51"/>
      <c r="W1025" s="51"/>
      <c r="X1025" s="51"/>
      <c r="Y1025" s="51"/>
      <c r="Z1025" s="51"/>
      <c r="AA1025" s="51"/>
      <c r="AB1025" s="51"/>
      <c r="AC1025" s="51"/>
      <c r="AD1025" s="51" t="s">
        <v>3496</v>
      </c>
      <c r="AE1025" s="51" t="s">
        <v>3485</v>
      </c>
      <c r="AF1025" s="51" t="str">
        <f t="shared" si="9"/>
        <v>A622125</v>
      </c>
      <c r="AG1025" s="51" t="str">
        <f>VLOOKUP(AF1025,AKT!$C$4:$E$324,3,FALSE)</f>
        <v>0150</v>
      </c>
    </row>
    <row r="1026" spans="1:33" ht="15.75" hidden="1" customHeight="1">
      <c r="A1026" s="51"/>
      <c r="B1026" s="51"/>
      <c r="C1026" s="51"/>
      <c r="D1026" s="51"/>
      <c r="E1026" s="51"/>
      <c r="F1026" s="51"/>
      <c r="G1026" s="51"/>
      <c r="H1026" s="55"/>
      <c r="I1026" s="55"/>
      <c r="J1026" s="55"/>
      <c r="K1026" s="55"/>
      <c r="L1026" s="55"/>
      <c r="M1026" s="55"/>
      <c r="N1026" s="55"/>
      <c r="O1026" s="55"/>
      <c r="P1026" s="55"/>
      <c r="Q1026" s="51"/>
      <c r="R1026" s="51"/>
      <c r="S1026" s="51"/>
      <c r="T1026" s="51"/>
      <c r="U1026" s="51"/>
      <c r="V1026" s="51"/>
      <c r="W1026" s="51"/>
      <c r="X1026" s="51"/>
      <c r="Y1026" s="51"/>
      <c r="Z1026" s="51"/>
      <c r="AA1026" s="51"/>
      <c r="AB1026" s="51"/>
      <c r="AC1026" s="51"/>
      <c r="AD1026" s="51" t="s">
        <v>3497</v>
      </c>
      <c r="AE1026" s="51" t="s">
        <v>3498</v>
      </c>
      <c r="AF1026" s="51" t="str">
        <f t="shared" si="9"/>
        <v>A622125</v>
      </c>
      <c r="AG1026" s="51" t="str">
        <f>VLOOKUP(AF1026,AKT!$C$4:$E$324,3,FALSE)</f>
        <v>0150</v>
      </c>
    </row>
    <row r="1027" spans="1:33" ht="15.75" hidden="1" customHeight="1">
      <c r="A1027" s="51"/>
      <c r="B1027" s="51"/>
      <c r="C1027" s="51"/>
      <c r="D1027" s="51"/>
      <c r="E1027" s="51"/>
      <c r="F1027" s="51"/>
      <c r="G1027" s="51"/>
      <c r="H1027" s="55"/>
      <c r="I1027" s="55"/>
      <c r="J1027" s="55"/>
      <c r="K1027" s="55"/>
      <c r="L1027" s="55"/>
      <c r="M1027" s="55"/>
      <c r="N1027" s="55"/>
      <c r="O1027" s="55"/>
      <c r="P1027" s="55"/>
      <c r="Q1027" s="51"/>
      <c r="R1027" s="51"/>
      <c r="S1027" s="51"/>
      <c r="T1027" s="51"/>
      <c r="U1027" s="51"/>
      <c r="V1027" s="51"/>
      <c r="W1027" s="51"/>
      <c r="X1027" s="51"/>
      <c r="Y1027" s="51"/>
      <c r="Z1027" s="51"/>
      <c r="AA1027" s="51"/>
      <c r="AB1027" s="51"/>
      <c r="AC1027" s="51"/>
      <c r="AD1027" s="51" t="s">
        <v>3499</v>
      </c>
      <c r="AE1027" s="51" t="s">
        <v>3500</v>
      </c>
      <c r="AF1027" s="51" t="str">
        <f t="shared" si="9"/>
        <v>A622125</v>
      </c>
      <c r="AG1027" s="51" t="str">
        <f>VLOOKUP(AF1027,AKT!$C$4:$E$324,3,FALSE)</f>
        <v>0150</v>
      </c>
    </row>
    <row r="1028" spans="1:33" ht="15.75" hidden="1" customHeight="1">
      <c r="A1028" s="51"/>
      <c r="B1028" s="51"/>
      <c r="C1028" s="51"/>
      <c r="D1028" s="51"/>
      <c r="E1028" s="51"/>
      <c r="F1028" s="51"/>
      <c r="G1028" s="51"/>
      <c r="H1028" s="55"/>
      <c r="I1028" s="55"/>
      <c r="J1028" s="55"/>
      <c r="K1028" s="55"/>
      <c r="L1028" s="55"/>
      <c r="M1028" s="55"/>
      <c r="N1028" s="55"/>
      <c r="O1028" s="55"/>
      <c r="P1028" s="55"/>
      <c r="Q1028" s="51"/>
      <c r="R1028" s="51"/>
      <c r="S1028" s="51"/>
      <c r="T1028" s="51"/>
      <c r="U1028" s="51"/>
      <c r="V1028" s="51"/>
      <c r="W1028" s="51"/>
      <c r="X1028" s="51"/>
      <c r="Y1028" s="51"/>
      <c r="Z1028" s="51"/>
      <c r="AA1028" s="51"/>
      <c r="AB1028" s="51"/>
      <c r="AC1028" s="51"/>
      <c r="AD1028" s="51" t="s">
        <v>3501</v>
      </c>
      <c r="AE1028" s="51" t="s">
        <v>3502</v>
      </c>
      <c r="AF1028" s="51" t="str">
        <f t="shared" si="9"/>
        <v>A622125</v>
      </c>
      <c r="AG1028" s="51" t="str">
        <f>VLOOKUP(AF1028,AKT!$C$4:$E$324,3,FALSE)</f>
        <v>0150</v>
      </c>
    </row>
    <row r="1029" spans="1:33" ht="15.75" hidden="1" customHeight="1">
      <c r="A1029" s="51"/>
      <c r="B1029" s="51"/>
      <c r="C1029" s="51"/>
      <c r="D1029" s="51"/>
      <c r="E1029" s="51"/>
      <c r="F1029" s="51"/>
      <c r="G1029" s="51"/>
      <c r="H1029" s="55"/>
      <c r="I1029" s="55"/>
      <c r="J1029" s="55"/>
      <c r="K1029" s="55"/>
      <c r="L1029" s="55"/>
      <c r="M1029" s="55"/>
      <c r="N1029" s="55"/>
      <c r="O1029" s="55"/>
      <c r="P1029" s="55"/>
      <c r="Q1029" s="51"/>
      <c r="R1029" s="51"/>
      <c r="S1029" s="51"/>
      <c r="T1029" s="51"/>
      <c r="U1029" s="51"/>
      <c r="V1029" s="51"/>
      <c r="W1029" s="51"/>
      <c r="X1029" s="51"/>
      <c r="Y1029" s="51"/>
      <c r="Z1029" s="51"/>
      <c r="AA1029" s="51"/>
      <c r="AB1029" s="51"/>
      <c r="AC1029" s="51"/>
      <c r="AD1029" s="51" t="s">
        <v>3503</v>
      </c>
      <c r="AE1029" s="51" t="s">
        <v>3504</v>
      </c>
      <c r="AF1029" s="51" t="str">
        <f t="shared" si="9"/>
        <v>A622125</v>
      </c>
      <c r="AG1029" s="51" t="str">
        <f>VLOOKUP(AF1029,AKT!$C$4:$E$324,3,FALSE)</f>
        <v>0150</v>
      </c>
    </row>
    <row r="1030" spans="1:33" ht="15.75" hidden="1" customHeight="1">
      <c r="A1030" s="51"/>
      <c r="B1030" s="51"/>
      <c r="C1030" s="51"/>
      <c r="D1030" s="51"/>
      <c r="E1030" s="51"/>
      <c r="F1030" s="51"/>
      <c r="G1030" s="51"/>
      <c r="H1030" s="55"/>
      <c r="I1030" s="55"/>
      <c r="J1030" s="55"/>
      <c r="K1030" s="55"/>
      <c r="L1030" s="55"/>
      <c r="M1030" s="55"/>
      <c r="N1030" s="55"/>
      <c r="O1030" s="55"/>
      <c r="P1030" s="55"/>
      <c r="Q1030" s="51"/>
      <c r="R1030" s="51"/>
      <c r="S1030" s="51"/>
      <c r="T1030" s="51"/>
      <c r="U1030" s="51"/>
      <c r="V1030" s="51"/>
      <c r="W1030" s="51"/>
      <c r="X1030" s="51"/>
      <c r="Y1030" s="51"/>
      <c r="Z1030" s="51"/>
      <c r="AA1030" s="51"/>
      <c r="AB1030" s="51"/>
      <c r="AC1030" s="51"/>
      <c r="AD1030" s="51" t="s">
        <v>3505</v>
      </c>
      <c r="AE1030" s="51" t="s">
        <v>3506</v>
      </c>
      <c r="AF1030" s="51" t="str">
        <f t="shared" si="9"/>
        <v>A622125</v>
      </c>
      <c r="AG1030" s="51" t="str">
        <f>VLOOKUP(AF1030,AKT!$C$4:$E$324,3,FALSE)</f>
        <v>0150</v>
      </c>
    </row>
    <row r="1031" spans="1:33" ht="15.75" hidden="1" customHeight="1">
      <c r="A1031" s="51"/>
      <c r="B1031" s="51"/>
      <c r="C1031" s="51"/>
      <c r="D1031" s="51"/>
      <c r="E1031" s="51"/>
      <c r="F1031" s="51"/>
      <c r="G1031" s="51"/>
      <c r="H1031" s="55"/>
      <c r="I1031" s="55"/>
      <c r="J1031" s="55"/>
      <c r="K1031" s="55"/>
      <c r="L1031" s="55"/>
      <c r="M1031" s="55"/>
      <c r="N1031" s="55"/>
      <c r="O1031" s="55"/>
      <c r="P1031" s="55"/>
      <c r="Q1031" s="51"/>
      <c r="R1031" s="51"/>
      <c r="S1031" s="51"/>
      <c r="T1031" s="51"/>
      <c r="U1031" s="51"/>
      <c r="V1031" s="51"/>
      <c r="W1031" s="51"/>
      <c r="X1031" s="51"/>
      <c r="Y1031" s="51"/>
      <c r="Z1031" s="51"/>
      <c r="AA1031" s="51"/>
      <c r="AB1031" s="51"/>
      <c r="AC1031" s="51"/>
      <c r="AD1031" s="51" t="s">
        <v>3507</v>
      </c>
      <c r="AE1031" s="51" t="s">
        <v>3508</v>
      </c>
      <c r="AF1031" s="51" t="str">
        <f t="shared" si="9"/>
        <v>A622125</v>
      </c>
      <c r="AG1031" s="51" t="str">
        <f>VLOOKUP(AF1031,AKT!$C$4:$E$324,3,FALSE)</f>
        <v>0150</v>
      </c>
    </row>
    <row r="1032" spans="1:33" ht="15.75" hidden="1" customHeight="1">
      <c r="A1032" s="51"/>
      <c r="B1032" s="51"/>
      <c r="C1032" s="51"/>
      <c r="D1032" s="51"/>
      <c r="E1032" s="51"/>
      <c r="F1032" s="51"/>
      <c r="G1032" s="51"/>
      <c r="H1032" s="55"/>
      <c r="I1032" s="55"/>
      <c r="J1032" s="55"/>
      <c r="K1032" s="55"/>
      <c r="L1032" s="55"/>
      <c r="M1032" s="55"/>
      <c r="N1032" s="55"/>
      <c r="O1032" s="55"/>
      <c r="P1032" s="55"/>
      <c r="Q1032" s="51"/>
      <c r="R1032" s="51"/>
      <c r="S1032" s="51"/>
      <c r="T1032" s="51"/>
      <c r="U1032" s="51"/>
      <c r="V1032" s="51"/>
      <c r="W1032" s="51"/>
      <c r="X1032" s="51"/>
      <c r="Y1032" s="51"/>
      <c r="Z1032" s="51"/>
      <c r="AA1032" s="51"/>
      <c r="AB1032" s="51"/>
      <c r="AC1032" s="51"/>
      <c r="AD1032" s="51" t="s">
        <v>3509</v>
      </c>
      <c r="AE1032" s="51" t="s">
        <v>3510</v>
      </c>
      <c r="AF1032" s="51" t="str">
        <f t="shared" si="9"/>
        <v>A622125</v>
      </c>
      <c r="AG1032" s="51" t="str">
        <f>VLOOKUP(AF1032,AKT!$C$4:$E$324,3,FALSE)</f>
        <v>0150</v>
      </c>
    </row>
    <row r="1033" spans="1:33" ht="15.75" hidden="1" customHeight="1">
      <c r="A1033" s="51"/>
      <c r="B1033" s="51"/>
      <c r="C1033" s="51"/>
      <c r="D1033" s="51"/>
      <c r="E1033" s="51"/>
      <c r="F1033" s="51"/>
      <c r="G1033" s="51"/>
      <c r="H1033" s="55"/>
      <c r="I1033" s="55"/>
      <c r="J1033" s="55"/>
      <c r="K1033" s="55"/>
      <c r="L1033" s="55"/>
      <c r="M1033" s="55"/>
      <c r="N1033" s="55"/>
      <c r="O1033" s="55"/>
      <c r="P1033" s="55"/>
      <c r="Q1033" s="51"/>
      <c r="R1033" s="51"/>
      <c r="S1033" s="51"/>
      <c r="T1033" s="51"/>
      <c r="U1033" s="51"/>
      <c r="V1033" s="51"/>
      <c r="W1033" s="51"/>
      <c r="X1033" s="51"/>
      <c r="Y1033" s="51"/>
      <c r="Z1033" s="51"/>
      <c r="AA1033" s="51"/>
      <c r="AB1033" s="51"/>
      <c r="AC1033" s="51"/>
      <c r="AD1033" s="51" t="s">
        <v>3511</v>
      </c>
      <c r="AE1033" s="51" t="s">
        <v>3512</v>
      </c>
      <c r="AF1033" s="51" t="str">
        <f t="shared" si="9"/>
        <v>A622125</v>
      </c>
      <c r="AG1033" s="51" t="str">
        <f>VLOOKUP(AF1033,AKT!$C$4:$E$324,3,FALSE)</f>
        <v>0150</v>
      </c>
    </row>
    <row r="1034" spans="1:33" ht="15.75" hidden="1" customHeight="1">
      <c r="A1034" s="51"/>
      <c r="B1034" s="51"/>
      <c r="C1034" s="51"/>
      <c r="D1034" s="51"/>
      <c r="E1034" s="51"/>
      <c r="F1034" s="51"/>
      <c r="G1034" s="51"/>
      <c r="H1034" s="55"/>
      <c r="I1034" s="55"/>
      <c r="J1034" s="55"/>
      <c r="K1034" s="55"/>
      <c r="L1034" s="55"/>
      <c r="M1034" s="55"/>
      <c r="N1034" s="55"/>
      <c r="O1034" s="55"/>
      <c r="P1034" s="55"/>
      <c r="Q1034" s="51"/>
      <c r="R1034" s="51"/>
      <c r="S1034" s="51"/>
      <c r="T1034" s="51"/>
      <c r="U1034" s="51"/>
      <c r="V1034" s="51"/>
      <c r="W1034" s="51"/>
      <c r="X1034" s="51"/>
      <c r="Y1034" s="51"/>
      <c r="Z1034" s="51"/>
      <c r="AA1034" s="51"/>
      <c r="AB1034" s="51"/>
      <c r="AC1034" s="51"/>
      <c r="AD1034" s="51" t="s">
        <v>3513</v>
      </c>
      <c r="AE1034" s="51" t="s">
        <v>3514</v>
      </c>
      <c r="AF1034" s="51" t="str">
        <f t="shared" si="9"/>
        <v>A622125</v>
      </c>
      <c r="AG1034" s="51" t="str">
        <f>VLOOKUP(AF1034,AKT!$C$4:$E$324,3,FALSE)</f>
        <v>0150</v>
      </c>
    </row>
    <row r="1035" spans="1:33" ht="15.75" hidden="1" customHeight="1">
      <c r="A1035" s="51"/>
      <c r="B1035" s="51"/>
      <c r="C1035" s="51"/>
      <c r="D1035" s="51"/>
      <c r="E1035" s="51"/>
      <c r="F1035" s="51"/>
      <c r="G1035" s="51"/>
      <c r="H1035" s="55"/>
      <c r="I1035" s="55"/>
      <c r="J1035" s="55"/>
      <c r="K1035" s="55"/>
      <c r="L1035" s="55"/>
      <c r="M1035" s="55"/>
      <c r="N1035" s="55"/>
      <c r="O1035" s="55"/>
      <c r="P1035" s="55"/>
      <c r="Q1035" s="51"/>
      <c r="R1035" s="51"/>
      <c r="S1035" s="51"/>
      <c r="T1035" s="51"/>
      <c r="U1035" s="51"/>
      <c r="V1035" s="51"/>
      <c r="W1035" s="51"/>
      <c r="X1035" s="51"/>
      <c r="Y1035" s="51"/>
      <c r="Z1035" s="51"/>
      <c r="AA1035" s="51"/>
      <c r="AB1035" s="51"/>
      <c r="AC1035" s="51"/>
      <c r="AD1035" s="51" t="s">
        <v>3515</v>
      </c>
      <c r="AE1035" s="51" t="s">
        <v>3516</v>
      </c>
      <c r="AF1035" s="51" t="str">
        <f t="shared" si="9"/>
        <v>A622125</v>
      </c>
      <c r="AG1035" s="51" t="str">
        <f>VLOOKUP(AF1035,AKT!$C$4:$E$324,3,FALSE)</f>
        <v>0150</v>
      </c>
    </row>
    <row r="1036" spans="1:33" ht="15.75" hidden="1" customHeight="1">
      <c r="A1036" s="51"/>
      <c r="B1036" s="51"/>
      <c r="C1036" s="51"/>
      <c r="D1036" s="51"/>
      <c r="E1036" s="51"/>
      <c r="F1036" s="51"/>
      <c r="G1036" s="51"/>
      <c r="H1036" s="55"/>
      <c r="I1036" s="55"/>
      <c r="J1036" s="55"/>
      <c r="K1036" s="55"/>
      <c r="L1036" s="55"/>
      <c r="M1036" s="55"/>
      <c r="N1036" s="55"/>
      <c r="O1036" s="55"/>
      <c r="P1036" s="55"/>
      <c r="Q1036" s="51"/>
      <c r="R1036" s="51"/>
      <c r="S1036" s="51"/>
      <c r="T1036" s="51"/>
      <c r="U1036" s="51"/>
      <c r="V1036" s="51"/>
      <c r="W1036" s="51"/>
      <c r="X1036" s="51"/>
      <c r="Y1036" s="51"/>
      <c r="Z1036" s="51"/>
      <c r="AA1036" s="51"/>
      <c r="AB1036" s="51"/>
      <c r="AC1036" s="51"/>
      <c r="AD1036" s="51" t="s">
        <v>3517</v>
      </c>
      <c r="AE1036" s="51" t="s">
        <v>3518</v>
      </c>
      <c r="AF1036" s="51" t="str">
        <f t="shared" si="9"/>
        <v>A622125</v>
      </c>
      <c r="AG1036" s="51" t="str">
        <f>VLOOKUP(AF1036,AKT!$C$4:$E$324,3,FALSE)</f>
        <v>0150</v>
      </c>
    </row>
    <row r="1037" spans="1:33" ht="15.75" hidden="1" customHeight="1">
      <c r="A1037" s="51"/>
      <c r="B1037" s="51"/>
      <c r="C1037" s="51"/>
      <c r="D1037" s="51"/>
      <c r="E1037" s="51"/>
      <c r="F1037" s="51"/>
      <c r="G1037" s="51"/>
      <c r="H1037" s="55"/>
      <c r="I1037" s="55"/>
      <c r="J1037" s="55"/>
      <c r="K1037" s="55"/>
      <c r="L1037" s="55"/>
      <c r="M1037" s="55"/>
      <c r="N1037" s="55"/>
      <c r="O1037" s="55"/>
      <c r="P1037" s="55"/>
      <c r="Q1037" s="51"/>
      <c r="R1037" s="51"/>
      <c r="S1037" s="51"/>
      <c r="T1037" s="51"/>
      <c r="U1037" s="51"/>
      <c r="V1037" s="51"/>
      <c r="W1037" s="51"/>
      <c r="X1037" s="51"/>
      <c r="Y1037" s="51"/>
      <c r="Z1037" s="51"/>
      <c r="AA1037" s="51"/>
      <c r="AB1037" s="51"/>
      <c r="AC1037" s="51"/>
      <c r="AD1037" s="51" t="s">
        <v>1794</v>
      </c>
      <c r="AE1037" s="51" t="s">
        <v>3519</v>
      </c>
      <c r="AF1037" s="51" t="str">
        <f t="shared" si="9"/>
        <v>A622125</v>
      </c>
      <c r="AG1037" s="51" t="str">
        <f>VLOOKUP(AF1037,AKT!$C$4:$E$324,3,FALSE)</f>
        <v>0150</v>
      </c>
    </row>
    <row r="1038" spans="1:33" ht="15.75" hidden="1" customHeight="1">
      <c r="A1038" s="51"/>
      <c r="B1038" s="51"/>
      <c r="C1038" s="51"/>
      <c r="D1038" s="51"/>
      <c r="E1038" s="51"/>
      <c r="F1038" s="51"/>
      <c r="G1038" s="51"/>
      <c r="H1038" s="55"/>
      <c r="I1038" s="55"/>
      <c r="J1038" s="55"/>
      <c r="K1038" s="55"/>
      <c r="L1038" s="55"/>
      <c r="M1038" s="55"/>
      <c r="N1038" s="55"/>
      <c r="O1038" s="55"/>
      <c r="P1038" s="55"/>
      <c r="Q1038" s="51"/>
      <c r="R1038" s="51"/>
      <c r="S1038" s="51"/>
      <c r="T1038" s="51"/>
      <c r="U1038" s="51"/>
      <c r="V1038" s="51"/>
      <c r="W1038" s="51"/>
      <c r="X1038" s="51"/>
      <c r="Y1038" s="51"/>
      <c r="Z1038" s="51"/>
      <c r="AA1038" s="51"/>
      <c r="AB1038" s="51"/>
      <c r="AC1038" s="51"/>
      <c r="AD1038" s="51" t="s">
        <v>3520</v>
      </c>
      <c r="AE1038" s="51" t="s">
        <v>3521</v>
      </c>
      <c r="AF1038" s="51" t="str">
        <f t="shared" si="9"/>
        <v>A622125</v>
      </c>
      <c r="AG1038" s="51" t="str">
        <f>VLOOKUP(AF1038,AKT!$C$4:$E$324,3,FALSE)</f>
        <v>0150</v>
      </c>
    </row>
    <row r="1039" spans="1:33" ht="15.75" hidden="1" customHeight="1">
      <c r="A1039" s="51"/>
      <c r="B1039" s="51"/>
      <c r="C1039" s="51"/>
      <c r="D1039" s="51"/>
      <c r="E1039" s="51"/>
      <c r="F1039" s="51"/>
      <c r="G1039" s="51"/>
      <c r="H1039" s="55"/>
      <c r="I1039" s="55"/>
      <c r="J1039" s="55"/>
      <c r="K1039" s="55"/>
      <c r="L1039" s="55"/>
      <c r="M1039" s="55"/>
      <c r="N1039" s="55"/>
      <c r="O1039" s="55"/>
      <c r="P1039" s="55"/>
      <c r="Q1039" s="51"/>
      <c r="R1039" s="51"/>
      <c r="S1039" s="51"/>
      <c r="T1039" s="51"/>
      <c r="U1039" s="51"/>
      <c r="V1039" s="51"/>
      <c r="W1039" s="51"/>
      <c r="X1039" s="51"/>
      <c r="Y1039" s="51"/>
      <c r="Z1039" s="51"/>
      <c r="AA1039" s="51"/>
      <c r="AB1039" s="51"/>
      <c r="AC1039" s="51"/>
      <c r="AD1039" s="51" t="s">
        <v>3522</v>
      </c>
      <c r="AE1039" s="51" t="s">
        <v>3523</v>
      </c>
      <c r="AF1039" s="51" t="str">
        <f t="shared" si="9"/>
        <v>A622125</v>
      </c>
      <c r="AG1039" s="51" t="str">
        <f>VLOOKUP(AF1039,AKT!$C$4:$E$324,3,FALSE)</f>
        <v>0150</v>
      </c>
    </row>
    <row r="1040" spans="1:33" ht="15.75" hidden="1" customHeight="1">
      <c r="A1040" s="51"/>
      <c r="B1040" s="51"/>
      <c r="C1040" s="51"/>
      <c r="D1040" s="51"/>
      <c r="E1040" s="51"/>
      <c r="F1040" s="51"/>
      <c r="G1040" s="51"/>
      <c r="H1040" s="55"/>
      <c r="I1040" s="55"/>
      <c r="J1040" s="55"/>
      <c r="K1040" s="55"/>
      <c r="L1040" s="55"/>
      <c r="M1040" s="55"/>
      <c r="N1040" s="55"/>
      <c r="O1040" s="55"/>
      <c r="P1040" s="55"/>
      <c r="Q1040" s="51"/>
      <c r="R1040" s="51"/>
      <c r="S1040" s="51"/>
      <c r="T1040" s="51"/>
      <c r="U1040" s="51"/>
      <c r="V1040" s="51"/>
      <c r="W1040" s="51"/>
      <c r="X1040" s="51"/>
      <c r="Y1040" s="51"/>
      <c r="Z1040" s="51"/>
      <c r="AA1040" s="51"/>
      <c r="AB1040" s="51"/>
      <c r="AC1040" s="51"/>
      <c r="AD1040" s="51" t="s">
        <v>3524</v>
      </c>
      <c r="AE1040" s="51" t="s">
        <v>3525</v>
      </c>
      <c r="AF1040" s="51" t="str">
        <f t="shared" si="9"/>
        <v>A622125</v>
      </c>
      <c r="AG1040" s="51" t="str">
        <f>VLOOKUP(AF1040,AKT!$C$4:$E$324,3,FALSE)</f>
        <v>0150</v>
      </c>
    </row>
    <row r="1041" spans="1:33" ht="15.75" hidden="1" customHeight="1">
      <c r="A1041" s="51"/>
      <c r="B1041" s="51"/>
      <c r="C1041" s="51"/>
      <c r="D1041" s="51"/>
      <c r="E1041" s="51"/>
      <c r="F1041" s="51"/>
      <c r="G1041" s="51"/>
      <c r="H1041" s="55"/>
      <c r="I1041" s="55"/>
      <c r="J1041" s="55"/>
      <c r="K1041" s="55"/>
      <c r="L1041" s="55"/>
      <c r="M1041" s="55"/>
      <c r="N1041" s="55"/>
      <c r="O1041" s="55"/>
      <c r="P1041" s="55"/>
      <c r="Q1041" s="51"/>
      <c r="R1041" s="51"/>
      <c r="S1041" s="51"/>
      <c r="T1041" s="51"/>
      <c r="U1041" s="51"/>
      <c r="V1041" s="51"/>
      <c r="W1041" s="51"/>
      <c r="X1041" s="51"/>
      <c r="Y1041" s="51"/>
      <c r="Z1041" s="51"/>
      <c r="AA1041" s="51"/>
      <c r="AB1041" s="51"/>
      <c r="AC1041" s="51"/>
      <c r="AD1041" s="51" t="s">
        <v>3526</v>
      </c>
      <c r="AE1041" s="51" t="s">
        <v>3527</v>
      </c>
      <c r="AF1041" s="51" t="str">
        <f t="shared" si="9"/>
        <v>A622125</v>
      </c>
      <c r="AG1041" s="51" t="str">
        <f>VLOOKUP(AF1041,AKT!$C$4:$E$324,3,FALSE)</f>
        <v>0150</v>
      </c>
    </row>
    <row r="1042" spans="1:33" ht="15.75" hidden="1" customHeight="1">
      <c r="A1042" s="51"/>
      <c r="B1042" s="51"/>
      <c r="C1042" s="51"/>
      <c r="D1042" s="51"/>
      <c r="E1042" s="51"/>
      <c r="F1042" s="51"/>
      <c r="G1042" s="51"/>
      <c r="H1042" s="55"/>
      <c r="I1042" s="55"/>
      <c r="J1042" s="55"/>
      <c r="K1042" s="55"/>
      <c r="L1042" s="55"/>
      <c r="M1042" s="55"/>
      <c r="N1042" s="55"/>
      <c r="O1042" s="55"/>
      <c r="P1042" s="55"/>
      <c r="Q1042" s="51"/>
      <c r="R1042" s="51"/>
      <c r="S1042" s="51"/>
      <c r="T1042" s="51"/>
      <c r="U1042" s="51"/>
      <c r="V1042" s="51"/>
      <c r="W1042" s="51"/>
      <c r="X1042" s="51"/>
      <c r="Y1042" s="51"/>
      <c r="Z1042" s="51"/>
      <c r="AA1042" s="51"/>
      <c r="AB1042" s="51"/>
      <c r="AC1042" s="51"/>
      <c r="AD1042" s="51" t="s">
        <v>3528</v>
      </c>
      <c r="AE1042" s="51" t="s">
        <v>3529</v>
      </c>
      <c r="AF1042" s="51" t="str">
        <f t="shared" si="9"/>
        <v>A622125</v>
      </c>
      <c r="AG1042" s="51" t="str">
        <f>VLOOKUP(AF1042,AKT!$C$4:$E$324,3,FALSE)</f>
        <v>0150</v>
      </c>
    </row>
    <row r="1043" spans="1:33" ht="15.75" hidden="1" customHeight="1">
      <c r="A1043" s="51"/>
      <c r="B1043" s="51"/>
      <c r="C1043" s="51"/>
      <c r="D1043" s="51"/>
      <c r="E1043" s="51"/>
      <c r="F1043" s="51"/>
      <c r="G1043" s="51"/>
      <c r="H1043" s="55"/>
      <c r="I1043" s="55"/>
      <c r="J1043" s="55"/>
      <c r="K1043" s="55"/>
      <c r="L1043" s="55"/>
      <c r="M1043" s="55"/>
      <c r="N1043" s="55"/>
      <c r="O1043" s="55"/>
      <c r="P1043" s="55"/>
      <c r="Q1043" s="51"/>
      <c r="R1043" s="51"/>
      <c r="S1043" s="51"/>
      <c r="T1043" s="51"/>
      <c r="U1043" s="51"/>
      <c r="V1043" s="51"/>
      <c r="W1043" s="51"/>
      <c r="X1043" s="51"/>
      <c r="Y1043" s="51"/>
      <c r="Z1043" s="51"/>
      <c r="AA1043" s="51"/>
      <c r="AB1043" s="51"/>
      <c r="AC1043" s="51"/>
      <c r="AD1043" s="51" t="s">
        <v>3530</v>
      </c>
      <c r="AE1043" s="51" t="s">
        <v>3003</v>
      </c>
      <c r="AF1043" s="51" t="str">
        <f t="shared" si="9"/>
        <v>A622125</v>
      </c>
      <c r="AG1043" s="51" t="str">
        <f>VLOOKUP(AF1043,AKT!$C$4:$E$324,3,FALSE)</f>
        <v>0150</v>
      </c>
    </row>
    <row r="1044" spans="1:33" ht="15.75" hidden="1" customHeight="1">
      <c r="A1044" s="51"/>
      <c r="B1044" s="51"/>
      <c r="C1044" s="51"/>
      <c r="D1044" s="51"/>
      <c r="E1044" s="51"/>
      <c r="F1044" s="51"/>
      <c r="G1044" s="51"/>
      <c r="H1044" s="55"/>
      <c r="I1044" s="55"/>
      <c r="J1044" s="55"/>
      <c r="K1044" s="55"/>
      <c r="L1044" s="55"/>
      <c r="M1044" s="55"/>
      <c r="N1044" s="55"/>
      <c r="O1044" s="55"/>
      <c r="P1044" s="55"/>
      <c r="Q1044" s="51"/>
      <c r="R1044" s="51"/>
      <c r="S1044" s="51"/>
      <c r="T1044" s="51"/>
      <c r="U1044" s="51"/>
      <c r="V1044" s="51"/>
      <c r="W1044" s="51"/>
      <c r="X1044" s="51"/>
      <c r="Y1044" s="51"/>
      <c r="Z1044" s="51"/>
      <c r="AA1044" s="51"/>
      <c r="AB1044" s="51"/>
      <c r="AC1044" s="51"/>
      <c r="AD1044" s="51" t="s">
        <v>3531</v>
      </c>
      <c r="AE1044" s="51" t="s">
        <v>3532</v>
      </c>
      <c r="AF1044" s="51" t="str">
        <f t="shared" si="9"/>
        <v>A622125</v>
      </c>
      <c r="AG1044" s="51" t="str">
        <f>VLOOKUP(AF1044,AKT!$C$4:$E$324,3,FALSE)</f>
        <v>0150</v>
      </c>
    </row>
    <row r="1045" spans="1:33" ht="15.75" hidden="1" customHeight="1">
      <c r="A1045" s="51"/>
      <c r="B1045" s="51"/>
      <c r="C1045" s="51"/>
      <c r="D1045" s="51"/>
      <c r="E1045" s="51"/>
      <c r="F1045" s="51"/>
      <c r="G1045" s="51"/>
      <c r="H1045" s="55"/>
      <c r="I1045" s="55"/>
      <c r="J1045" s="55"/>
      <c r="K1045" s="55"/>
      <c r="L1045" s="55"/>
      <c r="M1045" s="55"/>
      <c r="N1045" s="55"/>
      <c r="O1045" s="55"/>
      <c r="P1045" s="55"/>
      <c r="Q1045" s="51"/>
      <c r="R1045" s="51"/>
      <c r="S1045" s="51"/>
      <c r="T1045" s="51"/>
      <c r="U1045" s="51"/>
      <c r="V1045" s="51"/>
      <c r="W1045" s="51"/>
      <c r="X1045" s="51"/>
      <c r="Y1045" s="51"/>
      <c r="Z1045" s="51"/>
      <c r="AA1045" s="51"/>
      <c r="AB1045" s="51"/>
      <c r="AC1045" s="51"/>
      <c r="AD1045" s="51" t="s">
        <v>3533</v>
      </c>
      <c r="AE1045" s="51" t="s">
        <v>3534</v>
      </c>
      <c r="AF1045" s="51" t="str">
        <f t="shared" si="9"/>
        <v>A622125</v>
      </c>
      <c r="AG1045" s="51" t="str">
        <f>VLOOKUP(AF1045,AKT!$C$4:$E$324,3,FALSE)</f>
        <v>0150</v>
      </c>
    </row>
    <row r="1046" spans="1:33" ht="15.75" hidden="1" customHeight="1">
      <c r="A1046" s="51"/>
      <c r="B1046" s="51"/>
      <c r="C1046" s="51"/>
      <c r="D1046" s="51"/>
      <c r="E1046" s="51"/>
      <c r="F1046" s="51"/>
      <c r="G1046" s="51"/>
      <c r="H1046" s="55"/>
      <c r="I1046" s="55"/>
      <c r="J1046" s="55"/>
      <c r="K1046" s="55"/>
      <c r="L1046" s="55"/>
      <c r="M1046" s="55"/>
      <c r="N1046" s="55"/>
      <c r="O1046" s="55"/>
      <c r="P1046" s="55"/>
      <c r="Q1046" s="51"/>
      <c r="R1046" s="51"/>
      <c r="S1046" s="51"/>
      <c r="T1046" s="51"/>
      <c r="U1046" s="51"/>
      <c r="V1046" s="51"/>
      <c r="W1046" s="51"/>
      <c r="X1046" s="51"/>
      <c r="Y1046" s="51"/>
      <c r="Z1046" s="51"/>
      <c r="AA1046" s="51"/>
      <c r="AB1046" s="51"/>
      <c r="AC1046" s="51"/>
      <c r="AD1046" s="51" t="s">
        <v>2032</v>
      </c>
      <c r="AE1046" s="51" t="s">
        <v>3535</v>
      </c>
      <c r="AF1046" s="51" t="str">
        <f t="shared" si="9"/>
        <v>A622125</v>
      </c>
      <c r="AG1046" s="51" t="str">
        <f>VLOOKUP(AF1046,AKT!$C$4:$E$324,3,FALSE)</f>
        <v>0150</v>
      </c>
    </row>
    <row r="1047" spans="1:33" ht="15.75" hidden="1" customHeight="1">
      <c r="A1047" s="51"/>
      <c r="B1047" s="51"/>
      <c r="C1047" s="51"/>
      <c r="D1047" s="51"/>
      <c r="E1047" s="51"/>
      <c r="F1047" s="51"/>
      <c r="G1047" s="51"/>
      <c r="H1047" s="55"/>
      <c r="I1047" s="55"/>
      <c r="J1047" s="55"/>
      <c r="K1047" s="55"/>
      <c r="L1047" s="55"/>
      <c r="M1047" s="55"/>
      <c r="N1047" s="55"/>
      <c r="O1047" s="55"/>
      <c r="P1047" s="55"/>
      <c r="Q1047" s="51"/>
      <c r="R1047" s="51"/>
      <c r="S1047" s="51"/>
      <c r="T1047" s="51"/>
      <c r="U1047" s="51"/>
      <c r="V1047" s="51"/>
      <c r="W1047" s="51"/>
      <c r="X1047" s="51"/>
      <c r="Y1047" s="51"/>
      <c r="Z1047" s="51"/>
      <c r="AA1047" s="51"/>
      <c r="AB1047" s="51"/>
      <c r="AC1047" s="51"/>
      <c r="AD1047" s="51" t="s">
        <v>3536</v>
      </c>
      <c r="AE1047" s="51" t="s">
        <v>3537</v>
      </c>
      <c r="AF1047" s="51" t="str">
        <f t="shared" si="9"/>
        <v>A622125</v>
      </c>
      <c r="AG1047" s="51" t="str">
        <f>VLOOKUP(AF1047,AKT!$C$4:$E$324,3,FALSE)</f>
        <v>0150</v>
      </c>
    </row>
    <row r="1048" spans="1:33" ht="15.75" hidden="1" customHeight="1">
      <c r="A1048" s="51"/>
      <c r="B1048" s="51"/>
      <c r="C1048" s="51"/>
      <c r="D1048" s="51"/>
      <c r="E1048" s="51"/>
      <c r="F1048" s="51"/>
      <c r="G1048" s="51"/>
      <c r="H1048" s="55"/>
      <c r="I1048" s="55"/>
      <c r="J1048" s="55"/>
      <c r="K1048" s="55"/>
      <c r="L1048" s="55"/>
      <c r="M1048" s="55"/>
      <c r="N1048" s="55"/>
      <c r="O1048" s="55"/>
      <c r="P1048" s="55"/>
      <c r="Q1048" s="51"/>
      <c r="R1048" s="51"/>
      <c r="S1048" s="51"/>
      <c r="T1048" s="51"/>
      <c r="U1048" s="51"/>
      <c r="V1048" s="51"/>
      <c r="W1048" s="51"/>
      <c r="X1048" s="51"/>
      <c r="Y1048" s="51"/>
      <c r="Z1048" s="51"/>
      <c r="AA1048" s="51"/>
      <c r="AB1048" s="51"/>
      <c r="AC1048" s="51"/>
      <c r="AD1048" s="51" t="s">
        <v>3538</v>
      </c>
      <c r="AE1048" s="51" t="s">
        <v>3539</v>
      </c>
      <c r="AF1048" s="51" t="str">
        <f t="shared" si="9"/>
        <v>A622125</v>
      </c>
      <c r="AG1048" s="51" t="str">
        <f>VLOOKUP(AF1048,AKT!$C$4:$E$324,3,FALSE)</f>
        <v>0150</v>
      </c>
    </row>
    <row r="1049" spans="1:33" ht="15.75" hidden="1" customHeight="1">
      <c r="A1049" s="51"/>
      <c r="B1049" s="51"/>
      <c r="C1049" s="51"/>
      <c r="D1049" s="51"/>
      <c r="E1049" s="51"/>
      <c r="F1049" s="51"/>
      <c r="G1049" s="51"/>
      <c r="H1049" s="55"/>
      <c r="I1049" s="55"/>
      <c r="J1049" s="55"/>
      <c r="K1049" s="55"/>
      <c r="L1049" s="55"/>
      <c r="M1049" s="55"/>
      <c r="N1049" s="55"/>
      <c r="O1049" s="55"/>
      <c r="P1049" s="55"/>
      <c r="Q1049" s="51"/>
      <c r="R1049" s="51"/>
      <c r="S1049" s="51"/>
      <c r="T1049" s="51"/>
      <c r="U1049" s="51"/>
      <c r="V1049" s="51"/>
      <c r="W1049" s="51"/>
      <c r="X1049" s="51"/>
      <c r="Y1049" s="51"/>
      <c r="Z1049" s="51"/>
      <c r="AA1049" s="51"/>
      <c r="AB1049" s="51"/>
      <c r="AC1049" s="51"/>
      <c r="AD1049" s="51" t="s">
        <v>3540</v>
      </c>
      <c r="AE1049" s="51" t="s">
        <v>1515</v>
      </c>
      <c r="AF1049" s="51" t="str">
        <f t="shared" si="9"/>
        <v>A622125</v>
      </c>
      <c r="AG1049" s="51" t="str">
        <f>VLOOKUP(AF1049,AKT!$C$4:$E$324,3,FALSE)</f>
        <v>0150</v>
      </c>
    </row>
    <row r="1050" spans="1:33" ht="15.75" hidden="1" customHeight="1">
      <c r="A1050" s="51"/>
      <c r="B1050" s="51"/>
      <c r="C1050" s="51"/>
      <c r="D1050" s="51"/>
      <c r="E1050" s="51"/>
      <c r="F1050" s="51"/>
      <c r="G1050" s="51"/>
      <c r="H1050" s="55"/>
      <c r="I1050" s="55"/>
      <c r="J1050" s="55"/>
      <c r="K1050" s="55"/>
      <c r="L1050" s="55"/>
      <c r="M1050" s="55"/>
      <c r="N1050" s="55"/>
      <c r="O1050" s="55"/>
      <c r="P1050" s="55"/>
      <c r="Q1050" s="51"/>
      <c r="R1050" s="51"/>
      <c r="S1050" s="51"/>
      <c r="T1050" s="51"/>
      <c r="U1050" s="51"/>
      <c r="V1050" s="51"/>
      <c r="W1050" s="51"/>
      <c r="X1050" s="51"/>
      <c r="Y1050" s="51"/>
      <c r="Z1050" s="51"/>
      <c r="AA1050" s="51"/>
      <c r="AB1050" s="51"/>
      <c r="AC1050" s="51"/>
      <c r="AD1050" s="51" t="s">
        <v>3541</v>
      </c>
      <c r="AE1050" s="51" t="s">
        <v>3542</v>
      </c>
      <c r="AF1050" s="51" t="str">
        <f t="shared" si="9"/>
        <v>A622125</v>
      </c>
      <c r="AG1050" s="51" t="str">
        <f>VLOOKUP(AF1050,AKT!$C$4:$E$324,3,FALSE)</f>
        <v>0150</v>
      </c>
    </row>
    <row r="1051" spans="1:33" ht="15.75" hidden="1" customHeight="1">
      <c r="A1051" s="51"/>
      <c r="B1051" s="51"/>
      <c r="C1051" s="51"/>
      <c r="D1051" s="51"/>
      <c r="E1051" s="51"/>
      <c r="F1051" s="51"/>
      <c r="G1051" s="51"/>
      <c r="H1051" s="55"/>
      <c r="I1051" s="55"/>
      <c r="J1051" s="55"/>
      <c r="K1051" s="55"/>
      <c r="L1051" s="55"/>
      <c r="M1051" s="55"/>
      <c r="N1051" s="55"/>
      <c r="O1051" s="55"/>
      <c r="P1051" s="55"/>
      <c r="Q1051" s="51"/>
      <c r="R1051" s="51"/>
      <c r="S1051" s="51"/>
      <c r="T1051" s="51"/>
      <c r="U1051" s="51"/>
      <c r="V1051" s="51"/>
      <c r="W1051" s="51"/>
      <c r="X1051" s="51"/>
      <c r="Y1051" s="51"/>
      <c r="Z1051" s="51"/>
      <c r="AA1051" s="51"/>
      <c r="AB1051" s="51"/>
      <c r="AC1051" s="51"/>
      <c r="AD1051" s="51" t="s">
        <v>3543</v>
      </c>
      <c r="AE1051" s="51" t="s">
        <v>3544</v>
      </c>
      <c r="AF1051" s="51" t="str">
        <f t="shared" si="9"/>
        <v>A622125</v>
      </c>
      <c r="AG1051" s="51" t="str">
        <f>VLOOKUP(AF1051,AKT!$C$4:$E$324,3,FALSE)</f>
        <v>0150</v>
      </c>
    </row>
    <row r="1052" spans="1:33" ht="15.75" hidden="1" customHeight="1">
      <c r="A1052" s="51"/>
      <c r="B1052" s="51"/>
      <c r="C1052" s="51"/>
      <c r="D1052" s="51"/>
      <c r="E1052" s="51"/>
      <c r="F1052" s="51"/>
      <c r="G1052" s="51"/>
      <c r="H1052" s="55"/>
      <c r="I1052" s="55"/>
      <c r="J1052" s="55"/>
      <c r="K1052" s="55"/>
      <c r="L1052" s="55"/>
      <c r="M1052" s="55"/>
      <c r="N1052" s="55"/>
      <c r="O1052" s="55"/>
      <c r="P1052" s="55"/>
      <c r="Q1052" s="51"/>
      <c r="R1052" s="51"/>
      <c r="S1052" s="51"/>
      <c r="T1052" s="51"/>
      <c r="U1052" s="51"/>
      <c r="V1052" s="51"/>
      <c r="W1052" s="51"/>
      <c r="X1052" s="51"/>
      <c r="Y1052" s="51"/>
      <c r="Z1052" s="51"/>
      <c r="AA1052" s="51"/>
      <c r="AB1052" s="51"/>
      <c r="AC1052" s="51"/>
      <c r="AD1052" s="51" t="s">
        <v>3545</v>
      </c>
      <c r="AE1052" s="51" t="s">
        <v>3546</v>
      </c>
      <c r="AF1052" s="51" t="str">
        <f t="shared" si="9"/>
        <v>A622125</v>
      </c>
      <c r="AG1052" s="51" t="str">
        <f>VLOOKUP(AF1052,AKT!$C$4:$E$324,3,FALSE)</f>
        <v>0150</v>
      </c>
    </row>
    <row r="1053" spans="1:33" ht="15.75" hidden="1" customHeight="1">
      <c r="A1053" s="51"/>
      <c r="B1053" s="51"/>
      <c r="C1053" s="51"/>
      <c r="D1053" s="51"/>
      <c r="E1053" s="51"/>
      <c r="F1053" s="51"/>
      <c r="G1053" s="51"/>
      <c r="H1053" s="55"/>
      <c r="I1053" s="55"/>
      <c r="J1053" s="55"/>
      <c r="K1053" s="55"/>
      <c r="L1053" s="55"/>
      <c r="M1053" s="55"/>
      <c r="N1053" s="55"/>
      <c r="O1053" s="55"/>
      <c r="P1053" s="55"/>
      <c r="Q1053" s="51"/>
      <c r="R1053" s="51"/>
      <c r="S1053" s="51"/>
      <c r="T1053" s="51"/>
      <c r="U1053" s="51"/>
      <c r="V1053" s="51"/>
      <c r="W1053" s="51"/>
      <c r="X1053" s="51"/>
      <c r="Y1053" s="51"/>
      <c r="Z1053" s="51"/>
      <c r="AA1053" s="51"/>
      <c r="AB1053" s="51"/>
      <c r="AC1053" s="51"/>
      <c r="AD1053" s="51" t="s">
        <v>1396</v>
      </c>
      <c r="AE1053" s="51" t="s">
        <v>3547</v>
      </c>
      <c r="AF1053" s="51" t="str">
        <f t="shared" si="9"/>
        <v>A622125</v>
      </c>
      <c r="AG1053" s="51" t="str">
        <f>VLOOKUP(AF1053,AKT!$C$4:$E$324,3,FALSE)</f>
        <v>0150</v>
      </c>
    </row>
    <row r="1054" spans="1:33" ht="15.75" hidden="1" customHeight="1">
      <c r="A1054" s="51"/>
      <c r="B1054" s="51"/>
      <c r="C1054" s="51"/>
      <c r="D1054" s="51"/>
      <c r="E1054" s="51"/>
      <c r="F1054" s="51"/>
      <c r="G1054" s="51"/>
      <c r="H1054" s="55"/>
      <c r="I1054" s="55"/>
      <c r="J1054" s="55"/>
      <c r="K1054" s="55"/>
      <c r="L1054" s="55"/>
      <c r="M1054" s="55"/>
      <c r="N1054" s="55"/>
      <c r="O1054" s="55"/>
      <c r="P1054" s="55"/>
      <c r="Q1054" s="51"/>
      <c r="R1054" s="51"/>
      <c r="S1054" s="51"/>
      <c r="T1054" s="51"/>
      <c r="U1054" s="51"/>
      <c r="V1054" s="51"/>
      <c r="W1054" s="51"/>
      <c r="X1054" s="51"/>
      <c r="Y1054" s="51"/>
      <c r="Z1054" s="51"/>
      <c r="AA1054" s="51"/>
      <c r="AB1054" s="51"/>
      <c r="AC1054" s="51"/>
      <c r="AD1054" s="51" t="s">
        <v>1404</v>
      </c>
      <c r="AE1054" s="51" t="s">
        <v>3548</v>
      </c>
      <c r="AF1054" s="51" t="str">
        <f t="shared" si="9"/>
        <v>A622125</v>
      </c>
      <c r="AG1054" s="51" t="str">
        <f>VLOOKUP(AF1054,AKT!$C$4:$E$324,3,FALSE)</f>
        <v>0150</v>
      </c>
    </row>
    <row r="1055" spans="1:33" ht="15.75" hidden="1" customHeight="1">
      <c r="A1055" s="51"/>
      <c r="B1055" s="51"/>
      <c r="C1055" s="51"/>
      <c r="D1055" s="51"/>
      <c r="E1055" s="51"/>
      <c r="F1055" s="51"/>
      <c r="G1055" s="51"/>
      <c r="H1055" s="55"/>
      <c r="I1055" s="55"/>
      <c r="J1055" s="55"/>
      <c r="K1055" s="55"/>
      <c r="L1055" s="55"/>
      <c r="M1055" s="55"/>
      <c r="N1055" s="55"/>
      <c r="O1055" s="55"/>
      <c r="P1055" s="55"/>
      <c r="Q1055" s="51"/>
      <c r="R1055" s="51"/>
      <c r="S1055" s="51"/>
      <c r="T1055" s="51"/>
      <c r="U1055" s="51"/>
      <c r="V1055" s="51"/>
      <c r="W1055" s="51"/>
      <c r="X1055" s="51"/>
      <c r="Y1055" s="51"/>
      <c r="Z1055" s="51"/>
      <c r="AA1055" s="51"/>
      <c r="AB1055" s="51"/>
      <c r="AC1055" s="51"/>
      <c r="AD1055" s="51" t="s">
        <v>1437</v>
      </c>
      <c r="AE1055" s="51" t="s">
        <v>3549</v>
      </c>
      <c r="AF1055" s="51" t="str">
        <f t="shared" si="9"/>
        <v>A622125</v>
      </c>
      <c r="AG1055" s="51" t="str">
        <f>VLOOKUP(AF1055,AKT!$C$4:$E$324,3,FALSE)</f>
        <v>0150</v>
      </c>
    </row>
    <row r="1056" spans="1:33" ht="15.75" hidden="1" customHeight="1">
      <c r="A1056" s="51"/>
      <c r="B1056" s="51"/>
      <c r="C1056" s="51"/>
      <c r="D1056" s="51"/>
      <c r="E1056" s="51"/>
      <c r="F1056" s="51"/>
      <c r="G1056" s="51"/>
      <c r="H1056" s="55"/>
      <c r="I1056" s="55"/>
      <c r="J1056" s="55"/>
      <c r="K1056" s="55"/>
      <c r="L1056" s="55"/>
      <c r="M1056" s="55"/>
      <c r="N1056" s="55"/>
      <c r="O1056" s="55"/>
      <c r="P1056" s="55"/>
      <c r="Q1056" s="51"/>
      <c r="R1056" s="51"/>
      <c r="S1056" s="51"/>
      <c r="T1056" s="51"/>
      <c r="U1056" s="51"/>
      <c r="V1056" s="51"/>
      <c r="W1056" s="51"/>
      <c r="X1056" s="51"/>
      <c r="Y1056" s="51"/>
      <c r="Z1056" s="51"/>
      <c r="AA1056" s="51"/>
      <c r="AB1056" s="51"/>
      <c r="AC1056" s="51"/>
      <c r="AD1056" s="51" t="s">
        <v>1452</v>
      </c>
      <c r="AE1056" s="51" t="s">
        <v>3550</v>
      </c>
      <c r="AF1056" s="51" t="str">
        <f t="shared" si="9"/>
        <v>A622125</v>
      </c>
      <c r="AG1056" s="51" t="str">
        <f>VLOOKUP(AF1056,AKT!$C$4:$E$324,3,FALSE)</f>
        <v>0150</v>
      </c>
    </row>
    <row r="1057" spans="1:33" ht="15.75" hidden="1" customHeight="1">
      <c r="A1057" s="51"/>
      <c r="B1057" s="51"/>
      <c r="C1057" s="51"/>
      <c r="D1057" s="51"/>
      <c r="E1057" s="51"/>
      <c r="F1057" s="51"/>
      <c r="G1057" s="51"/>
      <c r="H1057" s="55"/>
      <c r="I1057" s="55"/>
      <c r="J1057" s="55"/>
      <c r="K1057" s="55"/>
      <c r="L1057" s="55"/>
      <c r="M1057" s="55"/>
      <c r="N1057" s="55"/>
      <c r="O1057" s="55"/>
      <c r="P1057" s="55"/>
      <c r="Q1057" s="51"/>
      <c r="R1057" s="51"/>
      <c r="S1057" s="51"/>
      <c r="T1057" s="51"/>
      <c r="U1057" s="51"/>
      <c r="V1057" s="51"/>
      <c r="W1057" s="51"/>
      <c r="X1057" s="51"/>
      <c r="Y1057" s="51"/>
      <c r="Z1057" s="51"/>
      <c r="AA1057" s="51"/>
      <c r="AB1057" s="51"/>
      <c r="AC1057" s="51"/>
      <c r="AD1057" s="51" t="s">
        <v>1466</v>
      </c>
      <c r="AE1057" s="51" t="s">
        <v>3551</v>
      </c>
      <c r="AF1057" s="51" t="str">
        <f t="shared" si="9"/>
        <v>A622125</v>
      </c>
      <c r="AG1057" s="51" t="str">
        <f>VLOOKUP(AF1057,AKT!$C$4:$E$324,3,FALSE)</f>
        <v>0150</v>
      </c>
    </row>
    <row r="1058" spans="1:33" ht="15.75" hidden="1" customHeight="1">
      <c r="A1058" s="51"/>
      <c r="B1058" s="51"/>
      <c r="C1058" s="51"/>
      <c r="D1058" s="51"/>
      <c r="E1058" s="51"/>
      <c r="F1058" s="51"/>
      <c r="G1058" s="51"/>
      <c r="H1058" s="55"/>
      <c r="I1058" s="55"/>
      <c r="J1058" s="55"/>
      <c r="K1058" s="55"/>
      <c r="L1058" s="55"/>
      <c r="M1058" s="55"/>
      <c r="N1058" s="55"/>
      <c r="O1058" s="55"/>
      <c r="P1058" s="55"/>
      <c r="Q1058" s="51"/>
      <c r="R1058" s="51"/>
      <c r="S1058" s="51"/>
      <c r="T1058" s="51"/>
      <c r="U1058" s="51"/>
      <c r="V1058" s="51"/>
      <c r="W1058" s="51"/>
      <c r="X1058" s="51"/>
      <c r="Y1058" s="51"/>
      <c r="Z1058" s="51"/>
      <c r="AA1058" s="51"/>
      <c r="AB1058" s="51"/>
      <c r="AC1058" s="51"/>
      <c r="AD1058" s="51" t="s">
        <v>1712</v>
      </c>
      <c r="AE1058" s="51" t="s">
        <v>3552</v>
      </c>
      <c r="AF1058" s="51" t="str">
        <f t="shared" si="9"/>
        <v>A622125</v>
      </c>
      <c r="AG1058" s="51" t="str">
        <f>VLOOKUP(AF1058,AKT!$C$4:$E$324,3,FALSE)</f>
        <v>0150</v>
      </c>
    </row>
    <row r="1059" spans="1:33" ht="15.75" hidden="1" customHeight="1">
      <c r="A1059" s="51"/>
      <c r="B1059" s="51"/>
      <c r="C1059" s="51"/>
      <c r="D1059" s="51"/>
      <c r="E1059" s="51"/>
      <c r="F1059" s="51"/>
      <c r="G1059" s="51"/>
      <c r="H1059" s="55"/>
      <c r="I1059" s="55"/>
      <c r="J1059" s="55"/>
      <c r="K1059" s="55"/>
      <c r="L1059" s="55"/>
      <c r="M1059" s="55"/>
      <c r="N1059" s="55"/>
      <c r="O1059" s="55"/>
      <c r="P1059" s="55"/>
      <c r="Q1059" s="51"/>
      <c r="R1059" s="51"/>
      <c r="S1059" s="51"/>
      <c r="T1059" s="51"/>
      <c r="U1059" s="51"/>
      <c r="V1059" s="51"/>
      <c r="W1059" s="51"/>
      <c r="X1059" s="51"/>
      <c r="Y1059" s="51"/>
      <c r="Z1059" s="51"/>
      <c r="AA1059" s="51"/>
      <c r="AB1059" s="51"/>
      <c r="AC1059" s="51"/>
      <c r="AD1059" s="51" t="s">
        <v>1480</v>
      </c>
      <c r="AE1059" s="51" t="s">
        <v>3178</v>
      </c>
      <c r="AF1059" s="51" t="str">
        <f t="shared" si="9"/>
        <v>A622125</v>
      </c>
      <c r="AG1059" s="51" t="str">
        <f>VLOOKUP(AF1059,AKT!$C$4:$E$324,3,FALSE)</f>
        <v>0150</v>
      </c>
    </row>
    <row r="1060" spans="1:33" ht="15.75" hidden="1" customHeight="1">
      <c r="A1060" s="51"/>
      <c r="B1060" s="51"/>
      <c r="C1060" s="51"/>
      <c r="D1060" s="51"/>
      <c r="E1060" s="51"/>
      <c r="F1060" s="51"/>
      <c r="G1060" s="51"/>
      <c r="H1060" s="55"/>
      <c r="I1060" s="55"/>
      <c r="J1060" s="55"/>
      <c r="K1060" s="55"/>
      <c r="L1060" s="55"/>
      <c r="M1060" s="55"/>
      <c r="N1060" s="55"/>
      <c r="O1060" s="55"/>
      <c r="P1060" s="55"/>
      <c r="Q1060" s="51"/>
      <c r="R1060" s="51"/>
      <c r="S1060" s="51"/>
      <c r="T1060" s="51"/>
      <c r="U1060" s="51"/>
      <c r="V1060" s="51"/>
      <c r="W1060" s="51"/>
      <c r="X1060" s="51"/>
      <c r="Y1060" s="51"/>
      <c r="Z1060" s="51"/>
      <c r="AA1060" s="51"/>
      <c r="AB1060" s="51"/>
      <c r="AC1060" s="51"/>
      <c r="AD1060" s="51" t="s">
        <v>1494</v>
      </c>
      <c r="AE1060" s="51" t="s">
        <v>3553</v>
      </c>
      <c r="AF1060" s="51" t="str">
        <f t="shared" si="9"/>
        <v>A622125</v>
      </c>
      <c r="AG1060" s="51" t="str">
        <f>VLOOKUP(AF1060,AKT!$C$4:$E$324,3,FALSE)</f>
        <v>0150</v>
      </c>
    </row>
    <row r="1061" spans="1:33" ht="15.75" hidden="1" customHeight="1">
      <c r="A1061" s="51"/>
      <c r="B1061" s="51"/>
      <c r="C1061" s="51"/>
      <c r="D1061" s="51"/>
      <c r="E1061" s="51"/>
      <c r="F1061" s="51"/>
      <c r="G1061" s="51"/>
      <c r="H1061" s="55"/>
      <c r="I1061" s="55"/>
      <c r="J1061" s="55"/>
      <c r="K1061" s="55"/>
      <c r="L1061" s="55"/>
      <c r="M1061" s="55"/>
      <c r="N1061" s="55"/>
      <c r="O1061" s="55"/>
      <c r="P1061" s="55"/>
      <c r="Q1061" s="51"/>
      <c r="R1061" s="51"/>
      <c r="S1061" s="51"/>
      <c r="T1061" s="51"/>
      <c r="U1061" s="51"/>
      <c r="V1061" s="51"/>
      <c r="W1061" s="51"/>
      <c r="X1061" s="51"/>
      <c r="Y1061" s="51"/>
      <c r="Z1061" s="51"/>
      <c r="AA1061" s="51"/>
      <c r="AB1061" s="51"/>
      <c r="AC1061" s="51"/>
      <c r="AD1061" s="51" t="s">
        <v>1508</v>
      </c>
      <c r="AE1061" s="51" t="s">
        <v>3554</v>
      </c>
      <c r="AF1061" s="51" t="str">
        <f t="shared" si="9"/>
        <v>A622125</v>
      </c>
      <c r="AG1061" s="51" t="str">
        <f>VLOOKUP(AF1061,AKT!$C$4:$E$324,3,FALSE)</f>
        <v>0150</v>
      </c>
    </row>
    <row r="1062" spans="1:33" ht="15.75" hidden="1" customHeight="1">
      <c r="A1062" s="51"/>
      <c r="B1062" s="51"/>
      <c r="C1062" s="51"/>
      <c r="D1062" s="51"/>
      <c r="E1062" s="51"/>
      <c r="F1062" s="51"/>
      <c r="G1062" s="51"/>
      <c r="H1062" s="55"/>
      <c r="I1062" s="55"/>
      <c r="J1062" s="55"/>
      <c r="K1062" s="55"/>
      <c r="L1062" s="55"/>
      <c r="M1062" s="55"/>
      <c r="N1062" s="55"/>
      <c r="O1062" s="55"/>
      <c r="P1062" s="55"/>
      <c r="Q1062" s="51"/>
      <c r="R1062" s="51"/>
      <c r="S1062" s="51"/>
      <c r="T1062" s="51"/>
      <c r="U1062" s="51"/>
      <c r="V1062" s="51"/>
      <c r="W1062" s="51"/>
      <c r="X1062" s="51"/>
      <c r="Y1062" s="51"/>
      <c r="Z1062" s="51"/>
      <c r="AA1062" s="51"/>
      <c r="AB1062" s="51"/>
      <c r="AC1062" s="51"/>
      <c r="AD1062" s="51" t="s">
        <v>1555</v>
      </c>
      <c r="AE1062" s="51" t="s">
        <v>3555</v>
      </c>
      <c r="AF1062" s="51" t="str">
        <f t="shared" si="9"/>
        <v>A622125</v>
      </c>
      <c r="AG1062" s="51" t="str">
        <f>VLOOKUP(AF1062,AKT!$C$4:$E$324,3,FALSE)</f>
        <v>0150</v>
      </c>
    </row>
    <row r="1063" spans="1:33" ht="15.75" hidden="1" customHeight="1">
      <c r="A1063" s="51"/>
      <c r="B1063" s="51"/>
      <c r="C1063" s="51"/>
      <c r="D1063" s="51"/>
      <c r="E1063" s="51"/>
      <c r="F1063" s="51"/>
      <c r="G1063" s="51"/>
      <c r="H1063" s="55"/>
      <c r="I1063" s="55"/>
      <c r="J1063" s="55"/>
      <c r="K1063" s="55"/>
      <c r="L1063" s="55"/>
      <c r="M1063" s="55"/>
      <c r="N1063" s="55"/>
      <c r="O1063" s="55"/>
      <c r="P1063" s="55"/>
      <c r="Q1063" s="51"/>
      <c r="R1063" s="51"/>
      <c r="S1063" s="51"/>
      <c r="T1063" s="51"/>
      <c r="U1063" s="51"/>
      <c r="V1063" s="51"/>
      <c r="W1063" s="51"/>
      <c r="X1063" s="51"/>
      <c r="Y1063" s="51"/>
      <c r="Z1063" s="51"/>
      <c r="AA1063" s="51"/>
      <c r="AB1063" s="51"/>
      <c r="AC1063" s="51"/>
      <c r="AD1063" s="51" t="s">
        <v>1569</v>
      </c>
      <c r="AE1063" s="51" t="s">
        <v>3556</v>
      </c>
      <c r="AF1063" s="51" t="str">
        <f t="shared" si="9"/>
        <v>A622125</v>
      </c>
      <c r="AG1063" s="51" t="str">
        <f>VLOOKUP(AF1063,AKT!$C$4:$E$324,3,FALSE)</f>
        <v>0150</v>
      </c>
    </row>
    <row r="1064" spans="1:33" ht="15.75" hidden="1" customHeight="1">
      <c r="A1064" s="51"/>
      <c r="B1064" s="51"/>
      <c r="C1064" s="51"/>
      <c r="D1064" s="51"/>
      <c r="E1064" s="51"/>
      <c r="F1064" s="51"/>
      <c r="G1064" s="51"/>
      <c r="H1064" s="55"/>
      <c r="I1064" s="55"/>
      <c r="J1064" s="55"/>
      <c r="K1064" s="55"/>
      <c r="L1064" s="55"/>
      <c r="M1064" s="55"/>
      <c r="N1064" s="55"/>
      <c r="O1064" s="55"/>
      <c r="P1064" s="55"/>
      <c r="Q1064" s="51"/>
      <c r="R1064" s="51"/>
      <c r="S1064" s="51"/>
      <c r="T1064" s="51"/>
      <c r="U1064" s="51"/>
      <c r="V1064" s="51"/>
      <c r="W1064" s="51"/>
      <c r="X1064" s="51"/>
      <c r="Y1064" s="51"/>
      <c r="Z1064" s="51"/>
      <c r="AA1064" s="51"/>
      <c r="AB1064" s="51"/>
      <c r="AC1064" s="51"/>
      <c r="AD1064" s="51" t="s">
        <v>3557</v>
      </c>
      <c r="AE1064" s="51" t="s">
        <v>3558</v>
      </c>
      <c r="AF1064" s="51" t="str">
        <f t="shared" si="9"/>
        <v>A622125</v>
      </c>
      <c r="AG1064" s="51" t="str">
        <f>VLOOKUP(AF1064,AKT!$C$4:$E$324,3,FALSE)</f>
        <v>0150</v>
      </c>
    </row>
    <row r="1065" spans="1:33" ht="15.75" hidden="1" customHeight="1">
      <c r="A1065" s="51"/>
      <c r="B1065" s="51"/>
      <c r="C1065" s="51"/>
      <c r="D1065" s="51"/>
      <c r="E1065" s="51"/>
      <c r="F1065" s="51"/>
      <c r="G1065" s="51"/>
      <c r="H1065" s="55"/>
      <c r="I1065" s="55"/>
      <c r="J1065" s="55"/>
      <c r="K1065" s="55"/>
      <c r="L1065" s="55"/>
      <c r="M1065" s="55"/>
      <c r="N1065" s="55"/>
      <c r="O1065" s="55"/>
      <c r="P1065" s="55"/>
      <c r="Q1065" s="51"/>
      <c r="R1065" s="51"/>
      <c r="S1065" s="51"/>
      <c r="T1065" s="51"/>
      <c r="U1065" s="51"/>
      <c r="V1065" s="51"/>
      <c r="W1065" s="51"/>
      <c r="X1065" s="51"/>
      <c r="Y1065" s="51"/>
      <c r="Z1065" s="51"/>
      <c r="AA1065" s="51"/>
      <c r="AB1065" s="51"/>
      <c r="AC1065" s="51"/>
      <c r="AD1065" s="51" t="s">
        <v>3559</v>
      </c>
      <c r="AE1065" s="51" t="s">
        <v>3560</v>
      </c>
      <c r="AF1065" s="51" t="str">
        <f t="shared" si="9"/>
        <v>A622125</v>
      </c>
      <c r="AG1065" s="51" t="str">
        <f>VLOOKUP(AF1065,AKT!$C$4:$E$324,3,FALSE)</f>
        <v>0150</v>
      </c>
    </row>
    <row r="1066" spans="1:33" ht="15.75" hidden="1" customHeight="1">
      <c r="A1066" s="51"/>
      <c r="B1066" s="51"/>
      <c r="C1066" s="51"/>
      <c r="D1066" s="51"/>
      <c r="E1066" s="51"/>
      <c r="F1066" s="51"/>
      <c r="G1066" s="51"/>
      <c r="H1066" s="55"/>
      <c r="I1066" s="55"/>
      <c r="J1066" s="55"/>
      <c r="K1066" s="55"/>
      <c r="L1066" s="55"/>
      <c r="M1066" s="55"/>
      <c r="N1066" s="55"/>
      <c r="O1066" s="55"/>
      <c r="P1066" s="55"/>
      <c r="Q1066" s="51"/>
      <c r="R1066" s="51"/>
      <c r="S1066" s="51"/>
      <c r="T1066" s="51"/>
      <c r="U1066" s="51"/>
      <c r="V1066" s="51"/>
      <c r="W1066" s="51"/>
      <c r="X1066" s="51"/>
      <c r="Y1066" s="51"/>
      <c r="Z1066" s="51"/>
      <c r="AA1066" s="51"/>
      <c r="AB1066" s="51"/>
      <c r="AC1066" s="51"/>
      <c r="AD1066" s="51" t="s">
        <v>1693</v>
      </c>
      <c r="AE1066" s="51" t="s">
        <v>1694</v>
      </c>
      <c r="AF1066" s="51" t="str">
        <f t="shared" si="9"/>
        <v>A622125</v>
      </c>
      <c r="AG1066" s="51" t="str">
        <f>VLOOKUP(AF1066,AKT!$C$4:$E$324,3,FALSE)</f>
        <v>0150</v>
      </c>
    </row>
    <row r="1067" spans="1:33" ht="15.75" hidden="1" customHeight="1">
      <c r="A1067" s="51"/>
      <c r="B1067" s="51"/>
      <c r="C1067" s="51"/>
      <c r="D1067" s="51"/>
      <c r="E1067" s="51"/>
      <c r="F1067" s="51"/>
      <c r="G1067" s="51"/>
      <c r="H1067" s="55"/>
      <c r="I1067" s="55"/>
      <c r="J1067" s="55"/>
      <c r="K1067" s="55"/>
      <c r="L1067" s="55"/>
      <c r="M1067" s="55"/>
      <c r="N1067" s="55"/>
      <c r="O1067" s="55"/>
      <c r="P1067" s="55"/>
      <c r="Q1067" s="51"/>
      <c r="R1067" s="51"/>
      <c r="S1067" s="51"/>
      <c r="T1067" s="51"/>
      <c r="U1067" s="51"/>
      <c r="V1067" s="51"/>
      <c r="W1067" s="51"/>
      <c r="X1067" s="51"/>
      <c r="Y1067" s="51"/>
      <c r="Z1067" s="51"/>
      <c r="AA1067" s="51"/>
      <c r="AB1067" s="51"/>
      <c r="AC1067" s="51"/>
      <c r="AD1067" s="51" t="s">
        <v>3561</v>
      </c>
      <c r="AE1067" s="51" t="s">
        <v>3562</v>
      </c>
      <c r="AF1067" s="51" t="str">
        <f t="shared" si="9"/>
        <v>A622125</v>
      </c>
      <c r="AG1067" s="51" t="str">
        <f>VLOOKUP(AF1067,AKT!$C$4:$E$324,3,FALSE)</f>
        <v>0150</v>
      </c>
    </row>
    <row r="1068" spans="1:33" ht="15.75" hidden="1" customHeight="1">
      <c r="A1068" s="51"/>
      <c r="B1068" s="51"/>
      <c r="C1068" s="51"/>
      <c r="D1068" s="51"/>
      <c r="E1068" s="51"/>
      <c r="F1068" s="51"/>
      <c r="G1068" s="51"/>
      <c r="H1068" s="55"/>
      <c r="I1068" s="55"/>
      <c r="J1068" s="55"/>
      <c r="K1068" s="55"/>
      <c r="L1068" s="55"/>
      <c r="M1068" s="55"/>
      <c r="N1068" s="55"/>
      <c r="O1068" s="55"/>
      <c r="P1068" s="55"/>
      <c r="Q1068" s="51"/>
      <c r="R1068" s="51"/>
      <c r="S1068" s="51"/>
      <c r="T1068" s="51"/>
      <c r="U1068" s="51"/>
      <c r="V1068" s="51"/>
      <c r="W1068" s="51"/>
      <c r="X1068" s="51"/>
      <c r="Y1068" s="51"/>
      <c r="Z1068" s="51"/>
      <c r="AA1068" s="51"/>
      <c r="AB1068" s="51"/>
      <c r="AC1068" s="51"/>
      <c r="AD1068" s="51" t="s">
        <v>3563</v>
      </c>
      <c r="AE1068" s="51" t="s">
        <v>3319</v>
      </c>
      <c r="AF1068" s="51" t="str">
        <f t="shared" si="9"/>
        <v>K622128</v>
      </c>
      <c r="AG1068" s="51" t="str">
        <f>VLOOKUP(AF1068,AKT!$C$4:$E$324,3,FALSE)</f>
        <v>0150</v>
      </c>
    </row>
    <row r="1069" spans="1:33" ht="15.75" hidden="1" customHeight="1">
      <c r="A1069" s="51"/>
      <c r="B1069" s="51"/>
      <c r="C1069" s="51"/>
      <c r="D1069" s="51"/>
      <c r="E1069" s="51"/>
      <c r="F1069" s="51"/>
      <c r="G1069" s="51"/>
      <c r="H1069" s="55"/>
      <c r="I1069" s="55"/>
      <c r="J1069" s="55"/>
      <c r="K1069" s="55"/>
      <c r="L1069" s="55"/>
      <c r="M1069" s="55"/>
      <c r="N1069" s="55"/>
      <c r="O1069" s="55"/>
      <c r="P1069" s="55"/>
      <c r="Q1069" s="51"/>
      <c r="R1069" s="51"/>
      <c r="S1069" s="51"/>
      <c r="T1069" s="51"/>
      <c r="U1069" s="51"/>
      <c r="V1069" s="51"/>
      <c r="W1069" s="51"/>
      <c r="X1069" s="51"/>
      <c r="Y1069" s="51"/>
      <c r="Z1069" s="51"/>
      <c r="AA1069" s="51"/>
      <c r="AB1069" s="51"/>
      <c r="AC1069" s="51"/>
      <c r="AD1069" s="51" t="s">
        <v>3564</v>
      </c>
      <c r="AE1069" s="51" t="s">
        <v>1409</v>
      </c>
      <c r="AF1069" s="51" t="str">
        <f t="shared" si="9"/>
        <v>K622128</v>
      </c>
      <c r="AG1069" s="51" t="str">
        <f>VLOOKUP(AF1069,AKT!$C$4:$E$324,3,FALSE)</f>
        <v>0150</v>
      </c>
    </row>
    <row r="1070" spans="1:33" ht="15.75" hidden="1" customHeight="1">
      <c r="A1070" s="51"/>
      <c r="B1070" s="51"/>
      <c r="C1070" s="51"/>
      <c r="D1070" s="51"/>
      <c r="E1070" s="51"/>
      <c r="F1070" s="51"/>
      <c r="G1070" s="51"/>
      <c r="H1070" s="55"/>
      <c r="I1070" s="55"/>
      <c r="J1070" s="55"/>
      <c r="K1070" s="55"/>
      <c r="L1070" s="55"/>
      <c r="M1070" s="55"/>
      <c r="N1070" s="55"/>
      <c r="O1070" s="55"/>
      <c r="P1070" s="55"/>
      <c r="Q1070" s="51"/>
      <c r="R1070" s="51"/>
      <c r="S1070" s="51"/>
      <c r="T1070" s="51"/>
      <c r="U1070" s="51"/>
      <c r="V1070" s="51"/>
      <c r="W1070" s="51"/>
      <c r="X1070" s="51"/>
      <c r="Y1070" s="51"/>
      <c r="Z1070" s="51"/>
      <c r="AA1070" s="51"/>
      <c r="AB1070" s="51"/>
      <c r="AC1070" s="51"/>
      <c r="AD1070" s="51" t="s">
        <v>1956</v>
      </c>
      <c r="AE1070" s="51" t="s">
        <v>3565</v>
      </c>
      <c r="AF1070" s="51" t="str">
        <f t="shared" si="9"/>
        <v>K622128</v>
      </c>
      <c r="AG1070" s="51" t="str">
        <f>VLOOKUP(AF1070,AKT!$C$4:$E$324,3,FALSE)</f>
        <v>0150</v>
      </c>
    </row>
    <row r="1071" spans="1:33" ht="15.75" hidden="1" customHeight="1">
      <c r="A1071" s="51"/>
      <c r="B1071" s="51"/>
      <c r="C1071" s="51"/>
      <c r="D1071" s="51"/>
      <c r="E1071" s="51"/>
      <c r="F1071" s="51"/>
      <c r="G1071" s="51"/>
      <c r="H1071" s="55"/>
      <c r="I1071" s="55"/>
      <c r="J1071" s="55"/>
      <c r="K1071" s="55"/>
      <c r="L1071" s="55"/>
      <c r="M1071" s="55"/>
      <c r="N1071" s="55"/>
      <c r="O1071" s="55"/>
      <c r="P1071" s="55"/>
      <c r="Q1071" s="51"/>
      <c r="R1071" s="51"/>
      <c r="S1071" s="51"/>
      <c r="T1071" s="51"/>
      <c r="U1071" s="51"/>
      <c r="V1071" s="51"/>
      <c r="W1071" s="51"/>
      <c r="X1071" s="51"/>
      <c r="Y1071" s="51"/>
      <c r="Z1071" s="51"/>
      <c r="AA1071" s="51"/>
      <c r="AB1071" s="51"/>
      <c r="AC1071" s="51"/>
      <c r="AD1071" s="51" t="s">
        <v>3566</v>
      </c>
      <c r="AE1071" s="51" t="s">
        <v>3322</v>
      </c>
      <c r="AF1071" s="51" t="str">
        <f t="shared" si="9"/>
        <v>K622128</v>
      </c>
      <c r="AG1071" s="51" t="str">
        <f>VLOOKUP(AF1071,AKT!$C$4:$E$324,3,FALSE)</f>
        <v>0150</v>
      </c>
    </row>
    <row r="1072" spans="1:33" ht="15.75" hidden="1" customHeight="1">
      <c r="A1072" s="51"/>
      <c r="B1072" s="51"/>
      <c r="C1072" s="51"/>
      <c r="D1072" s="51"/>
      <c r="E1072" s="51"/>
      <c r="F1072" s="51"/>
      <c r="G1072" s="51"/>
      <c r="H1072" s="55"/>
      <c r="I1072" s="55"/>
      <c r="J1072" s="55"/>
      <c r="K1072" s="55"/>
      <c r="L1072" s="55"/>
      <c r="M1072" s="55"/>
      <c r="N1072" s="55"/>
      <c r="O1072" s="55"/>
      <c r="P1072" s="55"/>
      <c r="Q1072" s="51"/>
      <c r="R1072" s="51"/>
      <c r="S1072" s="51"/>
      <c r="T1072" s="51"/>
      <c r="U1072" s="51"/>
      <c r="V1072" s="51"/>
      <c r="W1072" s="51"/>
      <c r="X1072" s="51"/>
      <c r="Y1072" s="51"/>
      <c r="Z1072" s="51"/>
      <c r="AA1072" s="51"/>
      <c r="AB1072" s="51"/>
      <c r="AC1072" s="51"/>
      <c r="AD1072" s="51" t="s">
        <v>3567</v>
      </c>
      <c r="AE1072" s="51" t="s">
        <v>3568</v>
      </c>
      <c r="AF1072" s="51" t="str">
        <f t="shared" si="9"/>
        <v>K622128</v>
      </c>
      <c r="AG1072" s="51" t="str">
        <f>VLOOKUP(AF1072,AKT!$C$4:$E$324,3,FALSE)</f>
        <v>0150</v>
      </c>
    </row>
    <row r="1073" spans="1:33" ht="15.75" hidden="1" customHeight="1">
      <c r="A1073" s="51"/>
      <c r="B1073" s="51"/>
      <c r="C1073" s="51"/>
      <c r="D1073" s="51"/>
      <c r="E1073" s="51"/>
      <c r="F1073" s="51"/>
      <c r="G1073" s="51"/>
      <c r="H1073" s="55"/>
      <c r="I1073" s="55"/>
      <c r="J1073" s="55"/>
      <c r="K1073" s="55"/>
      <c r="L1073" s="55"/>
      <c r="M1073" s="55"/>
      <c r="N1073" s="55"/>
      <c r="O1073" s="55"/>
      <c r="P1073" s="55"/>
      <c r="Q1073" s="51"/>
      <c r="R1073" s="51"/>
      <c r="S1073" s="51"/>
      <c r="T1073" s="51"/>
      <c r="U1073" s="51"/>
      <c r="V1073" s="51"/>
      <c r="W1073" s="51"/>
      <c r="X1073" s="51"/>
      <c r="Y1073" s="51"/>
      <c r="Z1073" s="51"/>
      <c r="AA1073" s="51"/>
      <c r="AB1073" s="51"/>
      <c r="AC1073" s="51"/>
      <c r="AD1073" s="51" t="s">
        <v>1787</v>
      </c>
      <c r="AE1073" s="51" t="s">
        <v>1403</v>
      </c>
      <c r="AF1073" s="51" t="str">
        <f t="shared" si="9"/>
        <v>K622128</v>
      </c>
      <c r="AG1073" s="51" t="str">
        <f>VLOOKUP(AF1073,AKT!$C$4:$E$324,3,FALSE)</f>
        <v>0150</v>
      </c>
    </row>
    <row r="1074" spans="1:33" ht="15.75" hidden="1" customHeight="1">
      <c r="A1074" s="51"/>
      <c r="B1074" s="51"/>
      <c r="C1074" s="51"/>
      <c r="D1074" s="51"/>
      <c r="E1074" s="51"/>
      <c r="F1074" s="51"/>
      <c r="G1074" s="51"/>
      <c r="H1074" s="55"/>
      <c r="I1074" s="55"/>
      <c r="J1074" s="55"/>
      <c r="K1074" s="55"/>
      <c r="L1074" s="55"/>
      <c r="M1074" s="55"/>
      <c r="N1074" s="55"/>
      <c r="O1074" s="55"/>
      <c r="P1074" s="55"/>
      <c r="Q1074" s="51"/>
      <c r="R1074" s="51"/>
      <c r="S1074" s="51"/>
      <c r="T1074" s="51"/>
      <c r="U1074" s="51"/>
      <c r="V1074" s="51"/>
      <c r="W1074" s="51"/>
      <c r="X1074" s="51"/>
      <c r="Y1074" s="51"/>
      <c r="Z1074" s="51"/>
      <c r="AA1074" s="51"/>
      <c r="AB1074" s="51"/>
      <c r="AC1074" s="51"/>
      <c r="AD1074" s="51" t="s">
        <v>3569</v>
      </c>
      <c r="AE1074" s="51" t="s">
        <v>3274</v>
      </c>
      <c r="AF1074" s="51" t="str">
        <f t="shared" si="9"/>
        <v>K622128</v>
      </c>
      <c r="AG1074" s="51" t="str">
        <f>VLOOKUP(AF1074,AKT!$C$4:$E$324,3,FALSE)</f>
        <v>0150</v>
      </c>
    </row>
    <row r="1075" spans="1:33" ht="15.75" hidden="1" customHeight="1">
      <c r="A1075" s="51"/>
      <c r="B1075" s="51"/>
      <c r="C1075" s="51"/>
      <c r="D1075" s="51"/>
      <c r="E1075" s="51"/>
      <c r="F1075" s="51"/>
      <c r="G1075" s="51"/>
      <c r="H1075" s="55"/>
      <c r="I1075" s="55"/>
      <c r="J1075" s="55"/>
      <c r="K1075" s="55"/>
      <c r="L1075" s="55"/>
      <c r="M1075" s="55"/>
      <c r="N1075" s="55"/>
      <c r="O1075" s="55"/>
      <c r="P1075" s="55"/>
      <c r="Q1075" s="51"/>
      <c r="R1075" s="51"/>
      <c r="S1075" s="51"/>
      <c r="T1075" s="51"/>
      <c r="U1075" s="51"/>
      <c r="V1075" s="51"/>
      <c r="W1075" s="51"/>
      <c r="X1075" s="51"/>
      <c r="Y1075" s="51"/>
      <c r="Z1075" s="51"/>
      <c r="AA1075" s="51"/>
      <c r="AB1075" s="51"/>
      <c r="AC1075" s="51"/>
      <c r="AD1075" s="51" t="s">
        <v>3570</v>
      </c>
      <c r="AE1075" s="51" t="s">
        <v>1413</v>
      </c>
      <c r="AF1075" s="51" t="str">
        <f t="shared" si="9"/>
        <v>K622128</v>
      </c>
      <c r="AG1075" s="51" t="str">
        <f>VLOOKUP(AF1075,AKT!$C$4:$E$324,3,FALSE)</f>
        <v>0150</v>
      </c>
    </row>
    <row r="1076" spans="1:33" ht="15.75" hidden="1" customHeight="1">
      <c r="A1076" s="51"/>
      <c r="B1076" s="51"/>
      <c r="C1076" s="51"/>
      <c r="D1076" s="51"/>
      <c r="E1076" s="51"/>
      <c r="F1076" s="51"/>
      <c r="G1076" s="51"/>
      <c r="H1076" s="55"/>
      <c r="I1076" s="55"/>
      <c r="J1076" s="55"/>
      <c r="K1076" s="55"/>
      <c r="L1076" s="55"/>
      <c r="M1076" s="55"/>
      <c r="N1076" s="55"/>
      <c r="O1076" s="55"/>
      <c r="P1076" s="55"/>
      <c r="Q1076" s="51"/>
      <c r="R1076" s="51"/>
      <c r="S1076" s="51"/>
      <c r="T1076" s="51"/>
      <c r="U1076" s="51"/>
      <c r="V1076" s="51"/>
      <c r="W1076" s="51"/>
      <c r="X1076" s="51"/>
      <c r="Y1076" s="51"/>
      <c r="Z1076" s="51"/>
      <c r="AA1076" s="51"/>
      <c r="AB1076" s="51"/>
      <c r="AC1076" s="51"/>
      <c r="AD1076" s="51" t="s">
        <v>3571</v>
      </c>
      <c r="AE1076" s="51" t="s">
        <v>3572</v>
      </c>
      <c r="AF1076" s="51" t="str">
        <f t="shared" si="9"/>
        <v>K628080</v>
      </c>
      <c r="AG1076" s="51" t="str">
        <f>VLOOKUP(AF1076,AKT!$C$4:$E$324,3,FALSE)</f>
        <v>0970</v>
      </c>
    </row>
    <row r="1077" spans="1:33" ht="15.75" hidden="1" customHeight="1">
      <c r="A1077" s="51"/>
      <c r="B1077" s="51"/>
      <c r="C1077" s="51"/>
      <c r="D1077" s="51"/>
      <c r="E1077" s="51"/>
      <c r="F1077" s="51"/>
      <c r="G1077" s="51"/>
      <c r="H1077" s="55"/>
      <c r="I1077" s="55"/>
      <c r="J1077" s="55"/>
      <c r="K1077" s="55"/>
      <c r="L1077" s="55"/>
      <c r="M1077" s="55"/>
      <c r="N1077" s="55"/>
      <c r="O1077" s="55"/>
      <c r="P1077" s="55"/>
      <c r="Q1077" s="51"/>
      <c r="R1077" s="51"/>
      <c r="S1077" s="51"/>
      <c r="T1077" s="51"/>
      <c r="U1077" s="51"/>
      <c r="V1077" s="51"/>
      <c r="W1077" s="51"/>
      <c r="X1077" s="51"/>
      <c r="Y1077" s="51"/>
      <c r="Z1077" s="51"/>
      <c r="AA1077" s="51"/>
      <c r="AB1077" s="51"/>
      <c r="AC1077" s="51"/>
      <c r="AD1077" s="51" t="s">
        <v>3573</v>
      </c>
      <c r="AE1077" s="51" t="s">
        <v>3574</v>
      </c>
      <c r="AF1077" s="51" t="str">
        <f t="shared" si="9"/>
        <v>K628080</v>
      </c>
      <c r="AG1077" s="51" t="str">
        <f>VLOOKUP(AF1077,AKT!$C$4:$E$324,3,FALSE)</f>
        <v>0970</v>
      </c>
    </row>
    <row r="1078" spans="1:33" ht="15.75" hidden="1" customHeight="1">
      <c r="A1078" s="51"/>
      <c r="B1078" s="51"/>
      <c r="C1078" s="51"/>
      <c r="D1078" s="51"/>
      <c r="E1078" s="51"/>
      <c r="F1078" s="51"/>
      <c r="G1078" s="51"/>
      <c r="H1078" s="55"/>
      <c r="I1078" s="55"/>
      <c r="J1078" s="55"/>
      <c r="K1078" s="55"/>
      <c r="L1078" s="55"/>
      <c r="M1078" s="55"/>
      <c r="N1078" s="55"/>
      <c r="O1078" s="55"/>
      <c r="P1078" s="55"/>
      <c r="Q1078" s="51"/>
      <c r="R1078" s="51"/>
      <c r="S1078" s="51"/>
      <c r="T1078" s="51"/>
      <c r="U1078" s="51"/>
      <c r="V1078" s="51"/>
      <c r="W1078" s="51"/>
      <c r="X1078" s="51"/>
      <c r="Y1078" s="51"/>
      <c r="Z1078" s="51"/>
      <c r="AA1078" s="51"/>
      <c r="AB1078" s="51"/>
      <c r="AC1078" s="51"/>
      <c r="AD1078" s="51" t="s">
        <v>3575</v>
      </c>
      <c r="AE1078" s="51" t="s">
        <v>3576</v>
      </c>
      <c r="AF1078" s="51" t="str">
        <f t="shared" si="9"/>
        <v>K628081</v>
      </c>
      <c r="AG1078" s="51" t="str">
        <f>VLOOKUP(AF1078,AKT!$C$4:$E$324,3,FALSE)</f>
        <v>0970</v>
      </c>
    </row>
    <row r="1079" spans="1:33" ht="15.75" hidden="1" customHeight="1">
      <c r="A1079" s="51"/>
      <c r="B1079" s="51"/>
      <c r="C1079" s="51"/>
      <c r="D1079" s="51"/>
      <c r="E1079" s="51"/>
      <c r="F1079" s="51"/>
      <c r="G1079" s="51"/>
      <c r="H1079" s="55"/>
      <c r="I1079" s="55"/>
      <c r="J1079" s="55"/>
      <c r="K1079" s="55"/>
      <c r="L1079" s="55"/>
      <c r="M1079" s="55"/>
      <c r="N1079" s="55"/>
      <c r="O1079" s="55"/>
      <c r="P1079" s="55"/>
      <c r="Q1079" s="51"/>
      <c r="R1079" s="51"/>
      <c r="S1079" s="51"/>
      <c r="T1079" s="51"/>
      <c r="U1079" s="51"/>
      <c r="V1079" s="51"/>
      <c r="W1079" s="51"/>
      <c r="X1079" s="51"/>
      <c r="Y1079" s="51"/>
      <c r="Z1079" s="51"/>
      <c r="AA1079" s="51"/>
      <c r="AB1079" s="51"/>
      <c r="AC1079" s="51"/>
      <c r="AD1079" s="51" t="s">
        <v>3577</v>
      </c>
      <c r="AE1079" s="51" t="s">
        <v>1471</v>
      </c>
      <c r="AF1079" s="51" t="str">
        <f t="shared" si="9"/>
        <v>K628081</v>
      </c>
      <c r="AG1079" s="51" t="str">
        <f>VLOOKUP(AF1079,AKT!$C$4:$E$324,3,FALSE)</f>
        <v>0970</v>
      </c>
    </row>
    <row r="1080" spans="1:33" ht="15.75" hidden="1" customHeight="1">
      <c r="A1080" s="51"/>
      <c r="B1080" s="51"/>
      <c r="C1080" s="51"/>
      <c r="D1080" s="51"/>
      <c r="E1080" s="51"/>
      <c r="F1080" s="51"/>
      <c r="G1080" s="51"/>
      <c r="H1080" s="55"/>
      <c r="I1080" s="55"/>
      <c r="J1080" s="55"/>
      <c r="K1080" s="55"/>
      <c r="L1080" s="55"/>
      <c r="M1080" s="55"/>
      <c r="N1080" s="55"/>
      <c r="O1080" s="55"/>
      <c r="P1080" s="55"/>
      <c r="Q1080" s="51"/>
      <c r="R1080" s="51"/>
      <c r="S1080" s="51"/>
      <c r="T1080" s="51"/>
      <c r="U1080" s="51"/>
      <c r="V1080" s="51"/>
      <c r="W1080" s="51"/>
      <c r="X1080" s="51"/>
      <c r="Y1080" s="51"/>
      <c r="Z1080" s="51"/>
      <c r="AA1080" s="51"/>
      <c r="AB1080" s="51"/>
      <c r="AC1080" s="51"/>
      <c r="AD1080" s="51" t="s">
        <v>3578</v>
      </c>
      <c r="AE1080" s="51" t="s">
        <v>3574</v>
      </c>
      <c r="AF1080" s="51" t="str">
        <f t="shared" si="9"/>
        <v>K628081</v>
      </c>
      <c r="AG1080" s="51" t="str">
        <f>VLOOKUP(AF1080,AKT!$C$4:$E$324,3,FALSE)</f>
        <v>0970</v>
      </c>
    </row>
    <row r="1081" spans="1:33" ht="15.75" hidden="1" customHeight="1">
      <c r="A1081" s="51"/>
      <c r="B1081" s="51"/>
      <c r="C1081" s="51"/>
      <c r="D1081" s="51"/>
      <c r="E1081" s="51"/>
      <c r="F1081" s="51"/>
      <c r="G1081" s="51"/>
      <c r="H1081" s="55"/>
      <c r="I1081" s="55"/>
      <c r="J1081" s="55"/>
      <c r="K1081" s="55"/>
      <c r="L1081" s="55"/>
      <c r="M1081" s="55"/>
      <c r="N1081" s="55"/>
      <c r="O1081" s="55"/>
      <c r="P1081" s="55"/>
      <c r="Q1081" s="51"/>
      <c r="R1081" s="51"/>
      <c r="S1081" s="51"/>
      <c r="T1081" s="51"/>
      <c r="U1081" s="51"/>
      <c r="V1081" s="51"/>
      <c r="W1081" s="51"/>
      <c r="X1081" s="51"/>
      <c r="Y1081" s="51"/>
      <c r="Z1081" s="51"/>
      <c r="AA1081" s="51"/>
      <c r="AB1081" s="51"/>
      <c r="AC1081" s="51"/>
      <c r="AD1081" s="51" t="s">
        <v>3579</v>
      </c>
      <c r="AE1081" s="51" t="s">
        <v>3580</v>
      </c>
      <c r="AF1081" s="51" t="str">
        <f t="shared" si="9"/>
        <v>K628087</v>
      </c>
      <c r="AG1081" s="51" t="str">
        <f>VLOOKUP(AF1081,AKT!$C$4:$E$324,3,FALSE)</f>
        <v>0133</v>
      </c>
    </row>
    <row r="1082" spans="1:33" ht="15.75" hidden="1" customHeight="1">
      <c r="A1082" s="51"/>
      <c r="B1082" s="51"/>
      <c r="C1082" s="51"/>
      <c r="D1082" s="51"/>
      <c r="E1082" s="51"/>
      <c r="F1082" s="51"/>
      <c r="G1082" s="51"/>
      <c r="H1082" s="55"/>
      <c r="I1082" s="55"/>
      <c r="J1082" s="55"/>
      <c r="K1082" s="55"/>
      <c r="L1082" s="55"/>
      <c r="M1082" s="55"/>
      <c r="N1082" s="55"/>
      <c r="O1082" s="55"/>
      <c r="P1082" s="55"/>
      <c r="Q1082" s="51"/>
      <c r="R1082" s="51"/>
      <c r="S1082" s="51"/>
      <c r="T1082" s="51"/>
      <c r="U1082" s="51"/>
      <c r="V1082" s="51"/>
      <c r="W1082" s="51"/>
      <c r="X1082" s="51"/>
      <c r="Y1082" s="51"/>
      <c r="Z1082" s="51"/>
      <c r="AA1082" s="51"/>
      <c r="AB1082" s="51"/>
      <c r="AC1082" s="51"/>
      <c r="AD1082" s="51" t="s">
        <v>3581</v>
      </c>
      <c r="AE1082" s="51" t="s">
        <v>3582</v>
      </c>
      <c r="AF1082" s="51" t="str">
        <f t="shared" si="9"/>
        <v>K628087</v>
      </c>
      <c r="AG1082" s="51" t="str">
        <f>VLOOKUP(AF1082,AKT!$C$4:$E$324,3,FALSE)</f>
        <v>0133</v>
      </c>
    </row>
    <row r="1083" spans="1:33" ht="15.75" hidden="1" customHeight="1">
      <c r="A1083" s="51"/>
      <c r="B1083" s="51"/>
      <c r="C1083" s="51"/>
      <c r="D1083" s="51"/>
      <c r="E1083" s="51"/>
      <c r="F1083" s="51"/>
      <c r="G1083" s="51"/>
      <c r="H1083" s="55"/>
      <c r="I1083" s="55"/>
      <c r="J1083" s="55"/>
      <c r="K1083" s="55"/>
      <c r="L1083" s="55"/>
      <c r="M1083" s="55"/>
      <c r="N1083" s="55"/>
      <c r="O1083" s="55"/>
      <c r="P1083" s="55"/>
      <c r="Q1083" s="51"/>
      <c r="R1083" s="51"/>
      <c r="S1083" s="51"/>
      <c r="T1083" s="51"/>
      <c r="U1083" s="51"/>
      <c r="V1083" s="51"/>
      <c r="W1083" s="51"/>
      <c r="X1083" s="51"/>
      <c r="Y1083" s="51"/>
      <c r="Z1083" s="51"/>
      <c r="AA1083" s="51"/>
      <c r="AB1083" s="51"/>
      <c r="AC1083" s="51"/>
      <c r="AD1083" s="51" t="s">
        <v>3583</v>
      </c>
      <c r="AE1083" s="51" t="s">
        <v>3584</v>
      </c>
      <c r="AF1083" s="51" t="str">
        <f t="shared" si="9"/>
        <v>K848038</v>
      </c>
      <c r="AG1083" s="51" t="str">
        <f>VLOOKUP(AF1083,AKT!$C$4:$E$324,3,FALSE)</f>
        <v>0950</v>
      </c>
    </row>
    <row r="1084" spans="1:33" ht="15.75" hidden="1" customHeight="1">
      <c r="A1084" s="51"/>
      <c r="B1084" s="51"/>
      <c r="C1084" s="51"/>
      <c r="D1084" s="51"/>
      <c r="E1084" s="51"/>
      <c r="F1084" s="51"/>
      <c r="G1084" s="51"/>
      <c r="H1084" s="55"/>
      <c r="I1084" s="55"/>
      <c r="J1084" s="55"/>
      <c r="K1084" s="55"/>
      <c r="L1084" s="55"/>
      <c r="M1084" s="55"/>
      <c r="N1084" s="55"/>
      <c r="O1084" s="55"/>
      <c r="P1084" s="55"/>
      <c r="Q1084" s="51"/>
      <c r="R1084" s="51"/>
      <c r="S1084" s="51"/>
      <c r="T1084" s="51"/>
      <c r="U1084" s="51"/>
      <c r="V1084" s="51"/>
      <c r="W1084" s="51"/>
      <c r="X1084" s="51"/>
      <c r="Y1084" s="51"/>
      <c r="Z1084" s="51"/>
      <c r="AA1084" s="51"/>
      <c r="AB1084" s="51"/>
      <c r="AC1084" s="51"/>
      <c r="AD1084" s="51" t="s">
        <v>3585</v>
      </c>
      <c r="AE1084" s="51" t="s">
        <v>3586</v>
      </c>
      <c r="AF1084" s="51" t="str">
        <f t="shared" si="9"/>
        <v>K848038</v>
      </c>
      <c r="AG1084" s="51" t="str">
        <f>VLOOKUP(AF1084,AKT!$C$4:$E$324,3,FALSE)</f>
        <v>0950</v>
      </c>
    </row>
    <row r="1085" spans="1:33" ht="15.75" hidden="1" customHeight="1">
      <c r="A1085" s="51"/>
      <c r="B1085" s="51"/>
      <c r="C1085" s="51"/>
      <c r="D1085" s="51"/>
      <c r="E1085" s="51"/>
      <c r="F1085" s="51"/>
      <c r="G1085" s="51"/>
      <c r="H1085" s="55"/>
      <c r="I1085" s="55"/>
      <c r="J1085" s="55"/>
      <c r="K1085" s="55"/>
      <c r="L1085" s="55"/>
      <c r="M1085" s="55"/>
      <c r="N1085" s="55"/>
      <c r="O1085" s="55"/>
      <c r="P1085" s="55"/>
      <c r="Q1085" s="51"/>
      <c r="R1085" s="51"/>
      <c r="S1085" s="51"/>
      <c r="T1085" s="51"/>
      <c r="U1085" s="51"/>
      <c r="V1085" s="51"/>
      <c r="W1085" s="51"/>
      <c r="X1085" s="51"/>
      <c r="Y1085" s="51"/>
      <c r="Z1085" s="51"/>
      <c r="AA1085" s="51"/>
      <c r="AB1085" s="51"/>
      <c r="AC1085" s="51"/>
      <c r="AD1085" s="51" t="s">
        <v>3587</v>
      </c>
      <c r="AE1085" s="51" t="s">
        <v>3588</v>
      </c>
      <c r="AF1085" s="51" t="str">
        <f t="shared" si="9"/>
        <v>K848038</v>
      </c>
      <c r="AG1085" s="51" t="str">
        <f>VLOOKUP(AF1085,AKT!$C$4:$E$324,3,FALSE)</f>
        <v>0950</v>
      </c>
    </row>
    <row r="1086" spans="1:33" ht="15.75" hidden="1" customHeight="1">
      <c r="A1086" s="51"/>
      <c r="B1086" s="51"/>
      <c r="C1086" s="51"/>
      <c r="D1086" s="51"/>
      <c r="E1086" s="51"/>
      <c r="F1086" s="51"/>
      <c r="G1086" s="51"/>
      <c r="H1086" s="55"/>
      <c r="I1086" s="55"/>
      <c r="J1086" s="55"/>
      <c r="K1086" s="55"/>
      <c r="L1086" s="55"/>
      <c r="M1086" s="55"/>
      <c r="N1086" s="55"/>
      <c r="O1086" s="55"/>
      <c r="P1086" s="55"/>
      <c r="Q1086" s="51"/>
      <c r="R1086" s="51"/>
      <c r="S1086" s="51"/>
      <c r="T1086" s="51"/>
      <c r="U1086" s="51"/>
      <c r="V1086" s="51"/>
      <c r="W1086" s="51"/>
      <c r="X1086" s="51"/>
      <c r="Y1086" s="51"/>
      <c r="Z1086" s="51"/>
      <c r="AA1086" s="51"/>
      <c r="AB1086" s="51"/>
      <c r="AC1086" s="51"/>
      <c r="AD1086" s="51" t="s">
        <v>3589</v>
      </c>
      <c r="AE1086" s="51" t="s">
        <v>3590</v>
      </c>
      <c r="AF1086" s="51" t="str">
        <f t="shared" si="9"/>
        <v>K848038</v>
      </c>
      <c r="AG1086" s="51" t="str">
        <f>VLOOKUP(AF1086,AKT!$C$4:$E$324,3,FALSE)</f>
        <v>0950</v>
      </c>
    </row>
    <row r="1087" spans="1:33" ht="15.75" hidden="1" customHeight="1">
      <c r="A1087" s="51"/>
      <c r="B1087" s="51"/>
      <c r="C1087" s="51"/>
      <c r="D1087" s="51"/>
      <c r="E1087" s="51"/>
      <c r="F1087" s="51"/>
      <c r="G1087" s="51"/>
      <c r="H1087" s="55"/>
      <c r="I1087" s="55"/>
      <c r="J1087" s="55"/>
      <c r="K1087" s="55"/>
      <c r="L1087" s="55"/>
      <c r="M1087" s="55"/>
      <c r="N1087" s="55"/>
      <c r="O1087" s="55"/>
      <c r="P1087" s="55"/>
      <c r="Q1087" s="51"/>
      <c r="R1087" s="51"/>
      <c r="S1087" s="51"/>
      <c r="T1087" s="51"/>
      <c r="U1087" s="51"/>
      <c r="V1087" s="51"/>
      <c r="W1087" s="51"/>
      <c r="X1087" s="51"/>
      <c r="Y1087" s="51"/>
      <c r="Z1087" s="51"/>
      <c r="AA1087" s="51"/>
      <c r="AB1087" s="51"/>
      <c r="AC1087" s="51"/>
      <c r="AD1087" s="51" t="s">
        <v>3591</v>
      </c>
      <c r="AE1087" s="51" t="s">
        <v>3592</v>
      </c>
      <c r="AF1087" s="51" t="str">
        <f t="shared" si="9"/>
        <v>K848038</v>
      </c>
      <c r="AG1087" s="51" t="str">
        <f>VLOOKUP(AF1087,AKT!$C$4:$E$324,3,FALSE)</f>
        <v>0950</v>
      </c>
    </row>
    <row r="1088" spans="1:33" ht="15.75" hidden="1" customHeight="1">
      <c r="A1088" s="51"/>
      <c r="B1088" s="51"/>
      <c r="C1088" s="51"/>
      <c r="D1088" s="51"/>
      <c r="E1088" s="51"/>
      <c r="F1088" s="51"/>
      <c r="G1088" s="51"/>
      <c r="H1088" s="55"/>
      <c r="I1088" s="55"/>
      <c r="J1088" s="55"/>
      <c r="K1088" s="55"/>
      <c r="L1088" s="55"/>
      <c r="M1088" s="55"/>
      <c r="N1088" s="55"/>
      <c r="O1088" s="55"/>
      <c r="P1088" s="55"/>
      <c r="Q1088" s="51"/>
      <c r="R1088" s="51"/>
      <c r="S1088" s="51"/>
      <c r="T1088" s="51"/>
      <c r="U1088" s="51"/>
      <c r="V1088" s="51"/>
      <c r="W1088" s="51"/>
      <c r="X1088" s="51"/>
      <c r="Y1088" s="51"/>
      <c r="Z1088" s="51"/>
      <c r="AA1088" s="51"/>
      <c r="AB1088" s="51"/>
      <c r="AC1088" s="51"/>
      <c r="AD1088" s="51" t="s">
        <v>3593</v>
      </c>
      <c r="AE1088" s="51" t="s">
        <v>3594</v>
      </c>
      <c r="AF1088" s="51" t="str">
        <f t="shared" si="9"/>
        <v>K848038</v>
      </c>
      <c r="AG1088" s="51" t="str">
        <f>VLOOKUP(AF1088,AKT!$C$4:$E$324,3,FALSE)</f>
        <v>0950</v>
      </c>
    </row>
    <row r="1089" spans="1:33" ht="15.75" hidden="1" customHeight="1">
      <c r="A1089" s="51"/>
      <c r="B1089" s="51"/>
      <c r="C1089" s="51"/>
      <c r="D1089" s="51"/>
      <c r="E1089" s="51"/>
      <c r="F1089" s="51"/>
      <c r="G1089" s="51"/>
      <c r="H1089" s="55"/>
      <c r="I1089" s="55"/>
      <c r="J1089" s="55"/>
      <c r="K1089" s="55"/>
      <c r="L1089" s="55"/>
      <c r="M1089" s="55"/>
      <c r="N1089" s="55"/>
      <c r="O1089" s="55"/>
      <c r="P1089" s="55"/>
      <c r="Q1089" s="51"/>
      <c r="R1089" s="51"/>
      <c r="S1089" s="51"/>
      <c r="T1089" s="51"/>
      <c r="U1089" s="51"/>
      <c r="V1089" s="51"/>
      <c r="W1089" s="51"/>
      <c r="X1089" s="51"/>
      <c r="Y1089" s="51"/>
      <c r="Z1089" s="51"/>
      <c r="AA1089" s="51"/>
      <c r="AB1089" s="51"/>
      <c r="AC1089" s="51"/>
      <c r="AD1089" s="51" t="s">
        <v>3595</v>
      </c>
      <c r="AE1089" s="51" t="s">
        <v>1451</v>
      </c>
      <c r="AF1089" s="51" t="str">
        <f t="shared" si="9"/>
        <v>K733069</v>
      </c>
      <c r="AG1089" s="51" t="str">
        <f>VLOOKUP(AF1089,AKT!$C$4:$E$324,3,FALSE)</f>
        <v>0150</v>
      </c>
    </row>
    <row r="1090" spans="1:33" ht="15.75" hidden="1" customHeight="1">
      <c r="A1090" s="51"/>
      <c r="B1090" s="51"/>
      <c r="C1090" s="51"/>
      <c r="D1090" s="51"/>
      <c r="E1090" s="51"/>
      <c r="F1090" s="51"/>
      <c r="G1090" s="51"/>
      <c r="H1090" s="55"/>
      <c r="I1090" s="55"/>
      <c r="J1090" s="55"/>
      <c r="K1090" s="55"/>
      <c r="L1090" s="55"/>
      <c r="M1090" s="55"/>
      <c r="N1090" s="55"/>
      <c r="O1090" s="55"/>
      <c r="P1090" s="55"/>
      <c r="Q1090" s="51"/>
      <c r="R1090" s="51"/>
      <c r="S1090" s="51"/>
      <c r="T1090" s="51"/>
      <c r="U1090" s="51"/>
      <c r="V1090" s="51"/>
      <c r="W1090" s="51"/>
      <c r="X1090" s="51"/>
      <c r="Y1090" s="51"/>
      <c r="Z1090" s="51"/>
      <c r="AA1090" s="51"/>
      <c r="AB1090" s="51"/>
      <c r="AC1090" s="51"/>
      <c r="AD1090" s="51" t="s">
        <v>3596</v>
      </c>
      <c r="AE1090" s="51" t="s">
        <v>1455</v>
      </c>
      <c r="AF1090" s="51" t="str">
        <f t="shared" si="9"/>
        <v>K733069</v>
      </c>
      <c r="AG1090" s="51" t="str">
        <f>VLOOKUP(AF1090,AKT!$C$4:$E$324,3,FALSE)</f>
        <v>0150</v>
      </c>
    </row>
    <row r="1091" spans="1:33" ht="15" customHeight="1">
      <c r="H1091" s="260">
        <f>SUBTOTAL(9,H3:H501)</f>
        <v>36810713.216669984</v>
      </c>
      <c r="I1091" s="260">
        <f t="shared" ref="I1091:J1091" si="15">SUBTOTAL(9,I3:I501)</f>
        <v>5351858.0752538322</v>
      </c>
      <c r="J1091" s="260">
        <f t="shared" si="15"/>
        <v>969549</v>
      </c>
      <c r="O1091" s="265">
        <v>16479913</v>
      </c>
    </row>
    <row r="1092" spans="1:33" ht="15" customHeight="1">
      <c r="H1092" s="261">
        <f>H1091*7.5345</f>
        <v>277350318.73100001</v>
      </c>
      <c r="I1092" s="261">
        <f t="shared" ref="I1092:J1092" si="16">I1091*7.5345</f>
        <v>40323574.667999998</v>
      </c>
      <c r="J1092" s="261">
        <f t="shared" si="16"/>
        <v>7305066.9405000005</v>
      </c>
      <c r="O1092" s="266">
        <f>H1091/O1091</f>
        <v>2.2336715743990871</v>
      </c>
    </row>
    <row r="1094" spans="1:33" ht="15" customHeight="1">
      <c r="H1094" s="265"/>
    </row>
    <row r="1095" spans="1:33" ht="15" customHeight="1">
      <c r="H1095" s="266"/>
    </row>
  </sheetData>
  <autoFilter ref="A2:P501">
    <sortState ref="A130:P171">
      <sortCondition ref="E2:E501"/>
    </sortState>
  </autoFilter>
  <mergeCells count="1">
    <mergeCell ref="A1:B1"/>
  </mergeCells>
  <conditionalFormatting sqref="P3:P501">
    <cfRule type="expression" dxfId="0" priority="1">
      <formula>IF(OR(C3=3691,C3=3692,C3=3693,C3=3694),1,0)</formula>
    </cfRule>
  </conditionalFormatting>
  <dataValidations count="4">
    <dataValidation type="list" allowBlank="1" showInputMessage="1" showErrorMessage="1" prompt="Molimo odaberite vrijednost iz padajućeg izbornika!" sqref="E3:E501">
      <formula1>$AD$6:$AD$1090</formula1>
    </dataValidation>
    <dataValidation type="list" allowBlank="1" showInputMessage="1" showErrorMessage="1" prompt="Molimo odaberite vrijednost iz padajućeg izbornika!" sqref="A3:A501">
      <formula1>$U$6:$U$23</formula1>
    </dataValidation>
    <dataValidation type="decimal" allowBlank="1" showInputMessage="1" showErrorMessage="1" prompt="GREŠKA - U ovo polje je dozvoljen unos samo brojčanih vrijednosti (bez decimala!)" sqref="H3:J501">
      <formula1>0</formula1>
      <formula2>10000000000</formula2>
    </dataValidation>
    <dataValidation type="list" allowBlank="1" showInputMessage="1" showErrorMessage="1" prompt="Molimo odaberite vrijednost iz padajućeg izbornika!" sqref="C3:C501">
      <formula1>$X$5:$X$129</formula1>
    </dataValidation>
  </dataValidations>
  <pageMargins left="0.70866141732283472" right="0.70866141732283472" top="0.74803149606299213" bottom="0.74803149606299213" header="0" footer="0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IF(OR(C3=3691,C3=3692,C3=3693,C3=3694),'KORISNICI DP'!$D$4:$D$614,$M$1)</xm:f>
          </x14:formula1>
          <xm:sqref>P3:P501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0"/>
  <sheetViews>
    <sheetView workbookViewId="0">
      <selection activeCell="F31" sqref="F31"/>
    </sheetView>
  </sheetViews>
  <sheetFormatPr defaultColWidth="14.42578125" defaultRowHeight="15" customHeight="1"/>
  <cols>
    <col min="1" max="1" width="7.140625" customWidth="1"/>
    <col min="2" max="2" width="4.85546875" customWidth="1"/>
    <col min="3" max="3" width="43.140625" customWidth="1"/>
    <col min="4" max="4" width="14.85546875" customWidth="1"/>
    <col min="5" max="23" width="13.85546875" customWidth="1"/>
    <col min="24" max="24" width="7.85546875" customWidth="1"/>
    <col min="25" max="29" width="11.42578125" customWidth="1"/>
  </cols>
  <sheetData>
    <row r="1" spans="1:29" ht="15" customHeight="1">
      <c r="A1" s="93"/>
      <c r="B1" s="312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93"/>
      <c r="X1" s="93"/>
      <c r="Y1" s="93"/>
      <c r="Z1" s="93"/>
      <c r="AA1" s="93"/>
      <c r="AB1" s="93"/>
      <c r="AC1" s="93"/>
    </row>
    <row r="2" spans="1:29" ht="21" customHeight="1">
      <c r="A2" s="93"/>
      <c r="B2" s="312" t="s">
        <v>3597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93"/>
      <c r="X2" s="93"/>
      <c r="Y2" s="93"/>
      <c r="Z2" s="93"/>
      <c r="AA2" s="93"/>
      <c r="AB2" s="93"/>
      <c r="AC2" s="93"/>
    </row>
    <row r="3" spans="1:29" ht="12.75" customHeight="1">
      <c r="A3" s="94"/>
      <c r="B3" s="95"/>
      <c r="C3" s="95"/>
      <c r="D3" s="95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6"/>
      <c r="T3" s="94"/>
      <c r="U3" s="94"/>
      <c r="V3" s="94"/>
      <c r="W3" s="23" t="s">
        <v>56</v>
      </c>
      <c r="X3" s="94"/>
      <c r="Y3" s="94"/>
      <c r="Z3" s="94"/>
      <c r="AA3" s="94"/>
      <c r="AB3" s="94"/>
      <c r="AC3" s="94"/>
    </row>
    <row r="4" spans="1:29" ht="12.75" customHeight="1">
      <c r="A4" s="97" t="s">
        <v>3598</v>
      </c>
      <c r="B4" s="98" t="s">
        <v>3599</v>
      </c>
      <c r="C4" s="98" t="s">
        <v>3600</v>
      </c>
      <c r="D4" s="99" t="s">
        <v>3601</v>
      </c>
      <c r="E4" s="100" t="s">
        <v>3602</v>
      </c>
      <c r="F4" s="100" t="s">
        <v>3603</v>
      </c>
      <c r="G4" s="100" t="s">
        <v>3604</v>
      </c>
      <c r="H4" s="100" t="s">
        <v>3605</v>
      </c>
      <c r="I4" s="100" t="s">
        <v>3606</v>
      </c>
      <c r="J4" s="100" t="s">
        <v>3607</v>
      </c>
      <c r="K4" s="100" t="s">
        <v>3608</v>
      </c>
      <c r="L4" s="100" t="s">
        <v>3609</v>
      </c>
      <c r="M4" s="100" t="s">
        <v>3610</v>
      </c>
      <c r="N4" s="100" t="s">
        <v>3611</v>
      </c>
      <c r="O4" s="100" t="s">
        <v>3612</v>
      </c>
      <c r="P4" s="100" t="s">
        <v>3613</v>
      </c>
      <c r="Q4" s="100" t="s">
        <v>3614</v>
      </c>
      <c r="R4" s="100" t="s">
        <v>3615</v>
      </c>
      <c r="S4" s="101" t="s">
        <v>3616</v>
      </c>
      <c r="T4" s="100" t="s">
        <v>3617</v>
      </c>
      <c r="U4" s="101" t="s">
        <v>3618</v>
      </c>
      <c r="V4" s="101" t="s">
        <v>3619</v>
      </c>
      <c r="W4" s="101" t="s">
        <v>3620</v>
      </c>
      <c r="X4" s="94"/>
      <c r="Y4" s="94"/>
      <c r="Z4" s="94"/>
      <c r="AA4" s="94"/>
      <c r="AB4" s="94"/>
      <c r="AC4" s="94"/>
    </row>
    <row r="5" spans="1:29" ht="19.5" customHeight="1">
      <c r="A5" s="102">
        <v>2023</v>
      </c>
      <c r="B5" s="103"/>
      <c r="C5" s="104" t="s">
        <v>120</v>
      </c>
      <c r="D5" s="105">
        <f t="shared" ref="D5:D10" si="0">SUM(E5:W5)</f>
        <v>0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94"/>
      <c r="Y5" s="94"/>
      <c r="Z5" s="94"/>
      <c r="AA5" s="94"/>
      <c r="AB5" s="94"/>
      <c r="AC5" s="94"/>
    </row>
    <row r="6" spans="1:29" ht="12.75" customHeight="1">
      <c r="A6" s="102">
        <v>2023</v>
      </c>
      <c r="B6" s="107"/>
      <c r="C6" s="108" t="s">
        <v>3621</v>
      </c>
      <c r="D6" s="105">
        <f t="shared" si="0"/>
        <v>70275906.939513892</v>
      </c>
      <c r="E6" s="109">
        <f>+'A.1 PRIHODI'!E8</f>
        <v>27319151.751917958</v>
      </c>
      <c r="F6" s="109">
        <f>+'A.1 PRIHODI'!F8</f>
        <v>4102921.1875959351</v>
      </c>
      <c r="G6" s="109">
        <f>+'A.1 PRIHODI'!G8</f>
        <v>1996509</v>
      </c>
      <c r="H6" s="109">
        <f>+'A.1 PRIHODI'!H8</f>
        <v>0</v>
      </c>
      <c r="I6" s="109">
        <f>+'A.1 PRIHODI'!I8+'B. RAČUN FIN'!I6</f>
        <v>0</v>
      </c>
      <c r="J6" s="109">
        <f>+'A.1 PRIHODI'!J8</f>
        <v>1924414</v>
      </c>
      <c r="K6" s="109">
        <f>+'A.1 PRIHODI'!K8</f>
        <v>4100596</v>
      </c>
      <c r="L6" s="109">
        <f>+'A.1 PRIHODI'!L8</f>
        <v>0</v>
      </c>
      <c r="M6" s="109">
        <f>+'A.1 PRIHODI'!M8</f>
        <v>0</v>
      </c>
      <c r="N6" s="109">
        <f>+'A.1 PRIHODI'!N8</f>
        <v>0</v>
      </c>
      <c r="O6" s="109">
        <f>+'A.1 PRIHODI'!O8</f>
        <v>30100765</v>
      </c>
      <c r="P6" s="109">
        <f>+'A.1 PRIHODI'!P8</f>
        <v>0</v>
      </c>
      <c r="Q6" s="109">
        <f>+'A.1 PRIHODI'!Q8</f>
        <v>0</v>
      </c>
      <c r="R6" s="109">
        <f>+'A.1 PRIHODI'!R8</f>
        <v>224202.00000000015</v>
      </c>
      <c r="S6" s="109">
        <f>+'A.1 PRIHODI'!S8</f>
        <v>0</v>
      </c>
      <c r="T6" s="109">
        <f>+'A.1 PRIHODI'!T8</f>
        <v>507348</v>
      </c>
      <c r="U6" s="109">
        <f>+'A.1 PRIHODI'!U8</f>
        <v>0</v>
      </c>
      <c r="V6" s="109">
        <f>+'A.1 PRIHODI'!V8</f>
        <v>0</v>
      </c>
      <c r="W6" s="109">
        <f>+'B. RAČUN FIN'!W6</f>
        <v>0</v>
      </c>
      <c r="X6" s="94"/>
      <c r="Y6" s="94"/>
      <c r="Z6" s="94"/>
      <c r="AA6" s="94"/>
      <c r="AB6" s="94"/>
      <c r="AC6" s="94"/>
    </row>
    <row r="7" spans="1:29" ht="21.75" customHeight="1">
      <c r="A7" s="102">
        <v>2023</v>
      </c>
      <c r="B7" s="110"/>
      <c r="C7" s="104" t="s">
        <v>3622</v>
      </c>
      <c r="D7" s="105">
        <f t="shared" si="0"/>
        <v>0</v>
      </c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94"/>
      <c r="Y7" s="94"/>
      <c r="Z7" s="94"/>
      <c r="AA7" s="94"/>
      <c r="AB7" s="94"/>
      <c r="AC7" s="94"/>
    </row>
    <row r="8" spans="1:29" ht="12.75" customHeight="1">
      <c r="A8" s="102">
        <v>2023</v>
      </c>
      <c r="B8" s="107"/>
      <c r="C8" s="108" t="s">
        <v>3623</v>
      </c>
      <c r="D8" s="105">
        <f t="shared" si="0"/>
        <v>70275906.939513892</v>
      </c>
      <c r="E8" s="109">
        <f t="shared" ref="E8:W8" si="1">+E5+E6+E7</f>
        <v>27319151.751917958</v>
      </c>
      <c r="F8" s="109">
        <f t="shared" si="1"/>
        <v>4102921.1875959351</v>
      </c>
      <c r="G8" s="109">
        <f t="shared" si="1"/>
        <v>1996509</v>
      </c>
      <c r="H8" s="109">
        <f t="shared" si="1"/>
        <v>0</v>
      </c>
      <c r="I8" s="109">
        <f t="shared" si="1"/>
        <v>0</v>
      </c>
      <c r="J8" s="109">
        <f t="shared" si="1"/>
        <v>1924414</v>
      </c>
      <c r="K8" s="109">
        <f t="shared" si="1"/>
        <v>4100596</v>
      </c>
      <c r="L8" s="109">
        <f t="shared" si="1"/>
        <v>0</v>
      </c>
      <c r="M8" s="109">
        <f t="shared" si="1"/>
        <v>0</v>
      </c>
      <c r="N8" s="109">
        <f t="shared" si="1"/>
        <v>0</v>
      </c>
      <c r="O8" s="109">
        <f t="shared" si="1"/>
        <v>30100765</v>
      </c>
      <c r="P8" s="109">
        <f t="shared" si="1"/>
        <v>0</v>
      </c>
      <c r="Q8" s="109">
        <f t="shared" si="1"/>
        <v>0</v>
      </c>
      <c r="R8" s="109">
        <f t="shared" si="1"/>
        <v>224202.00000000015</v>
      </c>
      <c r="S8" s="109">
        <f t="shared" si="1"/>
        <v>0</v>
      </c>
      <c r="T8" s="109">
        <f t="shared" si="1"/>
        <v>507348</v>
      </c>
      <c r="U8" s="109">
        <f t="shared" si="1"/>
        <v>0</v>
      </c>
      <c r="V8" s="109">
        <f t="shared" si="1"/>
        <v>0</v>
      </c>
      <c r="W8" s="109">
        <f t="shared" si="1"/>
        <v>0</v>
      </c>
      <c r="X8" s="94"/>
      <c r="Y8" s="94"/>
      <c r="Z8" s="94"/>
      <c r="AA8" s="94"/>
      <c r="AB8" s="94"/>
      <c r="AC8" s="94"/>
    </row>
    <row r="9" spans="1:29" ht="12.75" customHeight="1">
      <c r="A9" s="102">
        <v>2023</v>
      </c>
      <c r="B9" s="112"/>
      <c r="C9" s="113" t="s">
        <v>3624</v>
      </c>
      <c r="D9" s="105">
        <f t="shared" si="0"/>
        <v>70275906.968587935</v>
      </c>
      <c r="E9" s="114">
        <f>+'A.2 RASHODI'!E4+'B. RAČUN FIN'!E11</f>
        <v>27319151.751917958</v>
      </c>
      <c r="F9" s="114">
        <f>+'A.2 RASHODI'!F4+'B. RAČUN FIN'!F11</f>
        <v>4102921.0520937024</v>
      </c>
      <c r="G9" s="114">
        <f>+'A.2 RASHODI'!G4+'B. RAČUN FIN'!G11</f>
        <v>1996509</v>
      </c>
      <c r="H9" s="114">
        <f>+'A.2 RASHODI'!H4+'B. RAČUN FIN'!H11</f>
        <v>0</v>
      </c>
      <c r="I9" s="114">
        <f>+'A.2 RASHODI'!I4+'B. RAČUN FIN'!I11</f>
        <v>0</v>
      </c>
      <c r="J9" s="114">
        <f>+'A.2 RASHODI'!J4+'B. RAČUN FIN'!J11</f>
        <v>1924414</v>
      </c>
      <c r="K9" s="114">
        <f>+'A.2 RASHODI'!K4+'B. RAČUN FIN'!K11</f>
        <v>4100596</v>
      </c>
      <c r="L9" s="114">
        <f>+'A.2 RASHODI'!L4+'B. RAČUN FIN'!L11</f>
        <v>0</v>
      </c>
      <c r="M9" s="114">
        <f>+'A.2 RASHODI'!M4+'B. RAČUN FIN'!M11</f>
        <v>0</v>
      </c>
      <c r="N9" s="114">
        <f>+'A.2 RASHODI'!N4+'B. RAČUN FIN'!N11</f>
        <v>0</v>
      </c>
      <c r="O9" s="114">
        <f>+'A.2 RASHODI'!O4+'B. RAČUN FIN'!O11</f>
        <v>30100765.164576281</v>
      </c>
      <c r="P9" s="114">
        <f>+'A.2 RASHODI'!P4+'B. RAČUN FIN'!P11</f>
        <v>0</v>
      </c>
      <c r="Q9" s="114">
        <f>+'A.2 RASHODI'!Q4+'B. RAČUN FIN'!Q11</f>
        <v>0</v>
      </c>
      <c r="R9" s="114">
        <f>+'A.2 RASHODI'!R4+'B. RAČUN FIN'!R11</f>
        <v>224202.00000000015</v>
      </c>
      <c r="S9" s="114">
        <f>+'A.2 RASHODI'!S4+'B. RAČUN FIN'!S11</f>
        <v>0</v>
      </c>
      <c r="T9" s="114">
        <f>+'A.2 RASHODI'!T4+'B. RAČUN FIN'!T11</f>
        <v>507348</v>
      </c>
      <c r="U9" s="114">
        <f>+'A.2 RASHODI'!U4+'B. RAČUN FIN'!U11</f>
        <v>0</v>
      </c>
      <c r="V9" s="114">
        <f>+'A.2 RASHODI'!V4+'B. RAČUN FIN'!V11</f>
        <v>0</v>
      </c>
      <c r="W9" s="114">
        <f>+'A.2 RASHODI'!W4+'B. RAČUN FIN'!W11</f>
        <v>0</v>
      </c>
      <c r="X9" s="94"/>
      <c r="Y9" s="94"/>
      <c r="Z9" s="94"/>
      <c r="AA9" s="94"/>
      <c r="AB9" s="94"/>
      <c r="AC9" s="94"/>
    </row>
    <row r="10" spans="1:29" ht="20.25" customHeight="1">
      <c r="A10" s="102">
        <v>2023</v>
      </c>
      <c r="B10" s="115"/>
      <c r="C10" s="115" t="s">
        <v>3625</v>
      </c>
      <c r="D10" s="116">
        <f t="shared" si="0"/>
        <v>-2.9074048157781363E-2</v>
      </c>
      <c r="E10" s="116">
        <f t="shared" ref="E10:W10" si="2">+E8-E9</f>
        <v>0</v>
      </c>
      <c r="F10" s="116">
        <f t="shared" si="2"/>
        <v>0.13550223270431161</v>
      </c>
      <c r="G10" s="116">
        <f t="shared" si="2"/>
        <v>0</v>
      </c>
      <c r="H10" s="116">
        <f t="shared" si="2"/>
        <v>0</v>
      </c>
      <c r="I10" s="116">
        <f t="shared" si="2"/>
        <v>0</v>
      </c>
      <c r="J10" s="116">
        <f t="shared" si="2"/>
        <v>0</v>
      </c>
      <c r="K10" s="116">
        <f t="shared" si="2"/>
        <v>0</v>
      </c>
      <c r="L10" s="116">
        <f t="shared" si="2"/>
        <v>0</v>
      </c>
      <c r="M10" s="116">
        <f t="shared" si="2"/>
        <v>0</v>
      </c>
      <c r="N10" s="116">
        <f t="shared" si="2"/>
        <v>0</v>
      </c>
      <c r="O10" s="116">
        <f t="shared" si="2"/>
        <v>-0.16457628086209297</v>
      </c>
      <c r="P10" s="116">
        <f t="shared" si="2"/>
        <v>0</v>
      </c>
      <c r="Q10" s="116">
        <f t="shared" si="2"/>
        <v>0</v>
      </c>
      <c r="R10" s="116">
        <f t="shared" si="2"/>
        <v>0</v>
      </c>
      <c r="S10" s="116">
        <f t="shared" si="2"/>
        <v>0</v>
      </c>
      <c r="T10" s="116">
        <f t="shared" si="2"/>
        <v>0</v>
      </c>
      <c r="U10" s="116">
        <f t="shared" si="2"/>
        <v>0</v>
      </c>
      <c r="V10" s="116">
        <f t="shared" si="2"/>
        <v>0</v>
      </c>
      <c r="W10" s="116">
        <f t="shared" si="2"/>
        <v>0</v>
      </c>
      <c r="X10" s="94"/>
      <c r="Y10" s="94"/>
      <c r="Z10" s="94"/>
      <c r="AA10" s="94"/>
      <c r="AB10" s="94"/>
      <c r="AC10" s="94"/>
    </row>
    <row r="11" spans="1:29" ht="12.75" customHeight="1">
      <c r="A11" s="93"/>
      <c r="B11" s="117"/>
      <c r="C11" s="117"/>
      <c r="D11" s="117"/>
      <c r="E11" s="117"/>
      <c r="F11" s="117"/>
      <c r="G11" s="117"/>
      <c r="H11" s="117"/>
      <c r="I11" s="118"/>
      <c r="J11" s="119"/>
      <c r="K11" s="119"/>
      <c r="L11" s="119"/>
      <c r="M11" s="119"/>
      <c r="N11" s="119"/>
      <c r="O11" s="119"/>
      <c r="P11" s="119"/>
      <c r="Q11" s="119"/>
      <c r="R11" s="119"/>
      <c r="S11" s="96"/>
      <c r="T11" s="93"/>
      <c r="U11" s="93"/>
      <c r="V11" s="93"/>
      <c r="W11" s="96"/>
      <c r="X11" s="93"/>
      <c r="Y11" s="93"/>
      <c r="Z11" s="93"/>
      <c r="AA11" s="93"/>
      <c r="AB11" s="93"/>
      <c r="AC11" s="93"/>
    </row>
    <row r="12" spans="1:29" ht="12.75" customHeight="1">
      <c r="A12" s="97" t="s">
        <v>3598</v>
      </c>
      <c r="B12" s="98" t="s">
        <v>3599</v>
      </c>
      <c r="C12" s="98" t="s">
        <v>3600</v>
      </c>
      <c r="D12" s="99" t="s">
        <v>3601</v>
      </c>
      <c r="E12" s="100" t="s">
        <v>3602</v>
      </c>
      <c r="F12" s="100" t="s">
        <v>3603</v>
      </c>
      <c r="G12" s="100" t="s">
        <v>3604</v>
      </c>
      <c r="H12" s="100" t="s">
        <v>3605</v>
      </c>
      <c r="I12" s="100" t="s">
        <v>3606</v>
      </c>
      <c r="J12" s="100" t="s">
        <v>3607</v>
      </c>
      <c r="K12" s="100" t="s">
        <v>3608</v>
      </c>
      <c r="L12" s="100" t="s">
        <v>3609</v>
      </c>
      <c r="M12" s="100" t="s">
        <v>3610</v>
      </c>
      <c r="N12" s="100" t="s">
        <v>3611</v>
      </c>
      <c r="O12" s="100" t="s">
        <v>3612</v>
      </c>
      <c r="P12" s="100" t="s">
        <v>3613</v>
      </c>
      <c r="Q12" s="100" t="s">
        <v>3614</v>
      </c>
      <c r="R12" s="100" t="s">
        <v>3615</v>
      </c>
      <c r="S12" s="101" t="s">
        <v>3616</v>
      </c>
      <c r="T12" s="100" t="s">
        <v>3617</v>
      </c>
      <c r="U12" s="101" t="s">
        <v>3618</v>
      </c>
      <c r="V12" s="101" t="s">
        <v>3619</v>
      </c>
      <c r="W12" s="101" t="s">
        <v>3620</v>
      </c>
      <c r="X12" s="94"/>
      <c r="Y12" s="94"/>
      <c r="Z12" s="94"/>
      <c r="AA12" s="94"/>
      <c r="AB12" s="94"/>
      <c r="AC12" s="94"/>
    </row>
    <row r="13" spans="1:29" ht="12.75" customHeight="1">
      <c r="A13" s="102">
        <v>2024</v>
      </c>
      <c r="B13" s="103"/>
      <c r="C13" s="104" t="s">
        <v>120</v>
      </c>
      <c r="D13" s="105">
        <f t="shared" ref="D13:D18" si="3">SUM(E13:W13)</f>
        <v>0</v>
      </c>
      <c r="E13" s="106">
        <f t="shared" ref="E13:W13" si="4">-E7</f>
        <v>0</v>
      </c>
      <c r="F13" s="106">
        <f t="shared" si="4"/>
        <v>0</v>
      </c>
      <c r="G13" s="106">
        <f t="shared" si="4"/>
        <v>0</v>
      </c>
      <c r="H13" s="106">
        <f t="shared" si="4"/>
        <v>0</v>
      </c>
      <c r="I13" s="106">
        <f t="shared" si="4"/>
        <v>0</v>
      </c>
      <c r="J13" s="106">
        <f t="shared" si="4"/>
        <v>0</v>
      </c>
      <c r="K13" s="106">
        <f t="shared" si="4"/>
        <v>0</v>
      </c>
      <c r="L13" s="106">
        <f t="shared" si="4"/>
        <v>0</v>
      </c>
      <c r="M13" s="106">
        <f t="shared" si="4"/>
        <v>0</v>
      </c>
      <c r="N13" s="106">
        <f t="shared" si="4"/>
        <v>0</v>
      </c>
      <c r="O13" s="106">
        <f t="shared" si="4"/>
        <v>0</v>
      </c>
      <c r="P13" s="106">
        <f t="shared" si="4"/>
        <v>0</v>
      </c>
      <c r="Q13" s="106">
        <f t="shared" si="4"/>
        <v>0</v>
      </c>
      <c r="R13" s="106">
        <f t="shared" si="4"/>
        <v>0</v>
      </c>
      <c r="S13" s="106">
        <f t="shared" si="4"/>
        <v>0</v>
      </c>
      <c r="T13" s="106">
        <f t="shared" si="4"/>
        <v>0</v>
      </c>
      <c r="U13" s="106">
        <f t="shared" si="4"/>
        <v>0</v>
      </c>
      <c r="V13" s="106">
        <f t="shared" si="4"/>
        <v>0</v>
      </c>
      <c r="W13" s="106">
        <f t="shared" si="4"/>
        <v>0</v>
      </c>
      <c r="X13" s="94"/>
      <c r="Y13" s="94"/>
      <c r="Z13" s="94"/>
      <c r="AA13" s="94"/>
      <c r="AB13" s="94"/>
      <c r="AC13" s="94"/>
    </row>
    <row r="14" spans="1:29" ht="12.75" customHeight="1">
      <c r="A14" s="102">
        <v>2024</v>
      </c>
      <c r="B14" s="107"/>
      <c r="C14" s="108" t="s">
        <v>3621</v>
      </c>
      <c r="D14" s="105">
        <f t="shared" si="3"/>
        <v>37332206.44542449</v>
      </c>
      <c r="E14" s="109">
        <f>+'A.1 PRIHODI'!E22</f>
        <v>27727633.370170657</v>
      </c>
      <c r="F14" s="109">
        <f>+'A.1 PRIHODI'!F22</f>
        <v>570172.71524321451</v>
      </c>
      <c r="G14" s="109">
        <f>+'A.1 PRIHODI'!G22</f>
        <v>2096337</v>
      </c>
      <c r="H14" s="109">
        <f>+'A.1 PRIHODI'!H22</f>
        <v>0</v>
      </c>
      <c r="I14" s="109">
        <f>+'A.1 PRIHODI'!I22+'B. RAČUN FIN'!I17</f>
        <v>0</v>
      </c>
      <c r="J14" s="109">
        <f>+'A.1 PRIHODI'!J22</f>
        <v>1233195</v>
      </c>
      <c r="K14" s="109">
        <f>+'A.1 PRIHODI'!K22</f>
        <v>2108296</v>
      </c>
      <c r="L14" s="109">
        <f>+'A.1 PRIHODI'!L22</f>
        <v>0</v>
      </c>
      <c r="M14" s="109">
        <f>+'A.1 PRIHODI'!M22</f>
        <v>0</v>
      </c>
      <c r="N14" s="109">
        <f>+'A.1 PRIHODI'!N22</f>
        <v>0</v>
      </c>
      <c r="O14" s="109">
        <f>+'A.1 PRIHODI'!O22</f>
        <v>3548490.3600106174</v>
      </c>
      <c r="P14" s="109">
        <f>+'A.1 PRIHODI'!P22</f>
        <v>0</v>
      </c>
      <c r="Q14" s="109">
        <f>+'A.1 PRIHODI'!Q22</f>
        <v>0</v>
      </c>
      <c r="R14" s="109">
        <f>+'A.1 PRIHODI'!R22</f>
        <v>0</v>
      </c>
      <c r="S14" s="109">
        <f>+'A.1 PRIHODI'!S22</f>
        <v>0</v>
      </c>
      <c r="T14" s="109">
        <f>+'A.1 PRIHODI'!T22</f>
        <v>48082</v>
      </c>
      <c r="U14" s="109">
        <f>+'A.1 PRIHODI'!U22</f>
        <v>0</v>
      </c>
      <c r="V14" s="109">
        <f>+'A.1 PRIHODI'!V22</f>
        <v>0</v>
      </c>
      <c r="W14" s="109">
        <f>+'B. RAČUN FIN'!W17</f>
        <v>0</v>
      </c>
      <c r="X14" s="94"/>
      <c r="Y14" s="94"/>
      <c r="Z14" s="94"/>
      <c r="AA14" s="94"/>
      <c r="AB14" s="94"/>
      <c r="AC14" s="94"/>
    </row>
    <row r="15" spans="1:29" ht="12.75" customHeight="1">
      <c r="A15" s="102">
        <v>2024</v>
      </c>
      <c r="B15" s="103"/>
      <c r="C15" s="104" t="s">
        <v>3626</v>
      </c>
      <c r="D15" s="105">
        <f t="shared" si="3"/>
        <v>0</v>
      </c>
      <c r="E15" s="120"/>
      <c r="F15" s="120"/>
      <c r="G15" s="120"/>
      <c r="H15" s="120"/>
      <c r="I15" s="120"/>
      <c r="J15" s="120"/>
      <c r="K15" s="120"/>
      <c r="L15" s="120"/>
      <c r="M15" s="106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94"/>
      <c r="Y15" s="94"/>
      <c r="Z15" s="94"/>
      <c r="AA15" s="94"/>
      <c r="AB15" s="94"/>
      <c r="AC15" s="94"/>
    </row>
    <row r="16" spans="1:29" ht="12.75" customHeight="1">
      <c r="A16" s="102">
        <v>2024</v>
      </c>
      <c r="B16" s="107"/>
      <c r="C16" s="108" t="s">
        <v>3623</v>
      </c>
      <c r="D16" s="105">
        <f t="shared" si="3"/>
        <v>37332206.44542449</v>
      </c>
      <c r="E16" s="109">
        <f t="shared" ref="E16:W16" si="5">+E13+E14+E15</f>
        <v>27727633.370170657</v>
      </c>
      <c r="F16" s="109">
        <f t="shared" si="5"/>
        <v>570172.71524321451</v>
      </c>
      <c r="G16" s="109">
        <f t="shared" si="5"/>
        <v>2096337</v>
      </c>
      <c r="H16" s="109">
        <f t="shared" si="5"/>
        <v>0</v>
      </c>
      <c r="I16" s="109">
        <f t="shared" si="5"/>
        <v>0</v>
      </c>
      <c r="J16" s="109">
        <f t="shared" si="5"/>
        <v>1233195</v>
      </c>
      <c r="K16" s="109">
        <f t="shared" si="5"/>
        <v>2108296</v>
      </c>
      <c r="L16" s="109">
        <f t="shared" si="5"/>
        <v>0</v>
      </c>
      <c r="M16" s="109">
        <f t="shared" si="5"/>
        <v>0</v>
      </c>
      <c r="N16" s="109">
        <f t="shared" si="5"/>
        <v>0</v>
      </c>
      <c r="O16" s="109">
        <f t="shared" si="5"/>
        <v>3548490.3600106174</v>
      </c>
      <c r="P16" s="109">
        <f t="shared" si="5"/>
        <v>0</v>
      </c>
      <c r="Q16" s="109">
        <f t="shared" si="5"/>
        <v>0</v>
      </c>
      <c r="R16" s="109">
        <f t="shared" si="5"/>
        <v>0</v>
      </c>
      <c r="S16" s="109">
        <f t="shared" si="5"/>
        <v>0</v>
      </c>
      <c r="T16" s="109">
        <f t="shared" si="5"/>
        <v>48082</v>
      </c>
      <c r="U16" s="109">
        <f t="shared" si="5"/>
        <v>0</v>
      </c>
      <c r="V16" s="109">
        <f t="shared" si="5"/>
        <v>0</v>
      </c>
      <c r="W16" s="109">
        <f t="shared" si="5"/>
        <v>0</v>
      </c>
      <c r="X16" s="94"/>
      <c r="Y16" s="94"/>
      <c r="Z16" s="94"/>
      <c r="AA16" s="94"/>
      <c r="AB16" s="94"/>
      <c r="AC16" s="94"/>
    </row>
    <row r="17" spans="1:29" ht="12.75" customHeight="1">
      <c r="A17" s="102">
        <v>2024</v>
      </c>
      <c r="B17" s="112"/>
      <c r="C17" s="113" t="s">
        <v>3624</v>
      </c>
      <c r="D17" s="105">
        <f t="shared" si="3"/>
        <v>37332206.299003847</v>
      </c>
      <c r="E17" s="114">
        <f>+'A.2 RASHODI'!E21+'B. RAČUN FIN'!E22</f>
        <v>27727633.223750014</v>
      </c>
      <c r="F17" s="114">
        <f>+'A.2 RASHODI'!F21+'B. RAČUN FIN'!F22</f>
        <v>570172.71524321451</v>
      </c>
      <c r="G17" s="114">
        <f>+'A.2 RASHODI'!G21+'B. RAČUN FIN'!G22</f>
        <v>2096337</v>
      </c>
      <c r="H17" s="114">
        <f>+'A.2 RASHODI'!H21+'B. RAČUN FIN'!H22</f>
        <v>0</v>
      </c>
      <c r="I17" s="114">
        <f>+'A.2 RASHODI'!I21+'B. RAČUN FIN'!I22</f>
        <v>0</v>
      </c>
      <c r="J17" s="114">
        <f>+'A.2 RASHODI'!J21+'B. RAČUN FIN'!J22</f>
        <v>1233195</v>
      </c>
      <c r="K17" s="114">
        <f>+'A.2 RASHODI'!K21+'B. RAČUN FIN'!K22</f>
        <v>2108296</v>
      </c>
      <c r="L17" s="114">
        <f>+'A.2 RASHODI'!L21+'B. RAČUN FIN'!L22</f>
        <v>0</v>
      </c>
      <c r="M17" s="114">
        <f>+'A.2 RASHODI'!M21+'B. RAČUN FIN'!M22</f>
        <v>0</v>
      </c>
      <c r="N17" s="114">
        <f>+'A.2 RASHODI'!N21+'B. RAČUN FIN'!N22</f>
        <v>0</v>
      </c>
      <c r="O17" s="114">
        <f>+'A.2 RASHODI'!O21+'B. RAČUN FIN'!O22</f>
        <v>3548490.3600106174</v>
      </c>
      <c r="P17" s="114">
        <f>+'A.2 RASHODI'!P21+'B. RAČUN FIN'!P22</f>
        <v>0</v>
      </c>
      <c r="Q17" s="114">
        <f>+'A.2 RASHODI'!Q21+'B. RAČUN FIN'!Q22</f>
        <v>0</v>
      </c>
      <c r="R17" s="114">
        <f>+'A.2 RASHODI'!R21+'B. RAČUN FIN'!R22</f>
        <v>0</v>
      </c>
      <c r="S17" s="114">
        <f>+'A.2 RASHODI'!S21+'B. RAČUN FIN'!S22</f>
        <v>0</v>
      </c>
      <c r="T17" s="114">
        <f>+'A.2 RASHODI'!T21+'B. RAČUN FIN'!T22</f>
        <v>48082</v>
      </c>
      <c r="U17" s="114">
        <f>+'A.2 RASHODI'!U21+'B. RAČUN FIN'!U22</f>
        <v>0</v>
      </c>
      <c r="V17" s="114">
        <f>+'A.2 RASHODI'!V21+'B. RAČUN FIN'!V22</f>
        <v>0</v>
      </c>
      <c r="W17" s="114">
        <f>+'A.2 RASHODI'!W21+'B. RAČUN FIN'!W22</f>
        <v>0</v>
      </c>
      <c r="X17" s="94"/>
      <c r="Y17" s="94"/>
      <c r="Z17" s="94"/>
      <c r="AA17" s="94"/>
      <c r="AB17" s="94"/>
      <c r="AC17" s="94"/>
    </row>
    <row r="18" spans="1:29" ht="20.25" customHeight="1">
      <c r="A18" s="102">
        <v>2024</v>
      </c>
      <c r="B18" s="115"/>
      <c r="C18" s="115" t="s">
        <v>3627</v>
      </c>
      <c r="D18" s="116">
        <f t="shared" si="3"/>
        <v>0.14642064273357391</v>
      </c>
      <c r="E18" s="116">
        <f t="shared" ref="E18:W18" si="6">+E16-E17</f>
        <v>0.14642064273357391</v>
      </c>
      <c r="F18" s="116">
        <f t="shared" si="6"/>
        <v>0</v>
      </c>
      <c r="G18" s="116">
        <f t="shared" si="6"/>
        <v>0</v>
      </c>
      <c r="H18" s="116">
        <f t="shared" si="6"/>
        <v>0</v>
      </c>
      <c r="I18" s="116">
        <f t="shared" si="6"/>
        <v>0</v>
      </c>
      <c r="J18" s="116">
        <f t="shared" si="6"/>
        <v>0</v>
      </c>
      <c r="K18" s="116">
        <f t="shared" si="6"/>
        <v>0</v>
      </c>
      <c r="L18" s="116">
        <f t="shared" si="6"/>
        <v>0</v>
      </c>
      <c r="M18" s="116">
        <f t="shared" si="6"/>
        <v>0</v>
      </c>
      <c r="N18" s="116">
        <f t="shared" si="6"/>
        <v>0</v>
      </c>
      <c r="O18" s="116">
        <f t="shared" si="6"/>
        <v>0</v>
      </c>
      <c r="P18" s="116">
        <f t="shared" si="6"/>
        <v>0</v>
      </c>
      <c r="Q18" s="116">
        <f t="shared" si="6"/>
        <v>0</v>
      </c>
      <c r="R18" s="116">
        <f t="shared" si="6"/>
        <v>0</v>
      </c>
      <c r="S18" s="116">
        <f t="shared" si="6"/>
        <v>0</v>
      </c>
      <c r="T18" s="116">
        <f t="shared" si="6"/>
        <v>0</v>
      </c>
      <c r="U18" s="116">
        <f t="shared" si="6"/>
        <v>0</v>
      </c>
      <c r="V18" s="116">
        <f t="shared" si="6"/>
        <v>0</v>
      </c>
      <c r="W18" s="116">
        <f t="shared" si="6"/>
        <v>0</v>
      </c>
      <c r="X18" s="94"/>
      <c r="Y18" s="94"/>
      <c r="Z18" s="94"/>
      <c r="AA18" s="94"/>
      <c r="AB18" s="94"/>
      <c r="AC18" s="94"/>
    </row>
    <row r="19" spans="1:29" ht="12.75" customHeight="1">
      <c r="A19" s="93"/>
      <c r="B19" s="117"/>
      <c r="C19" s="117"/>
      <c r="D19" s="117"/>
      <c r="E19" s="117"/>
      <c r="F19" s="117"/>
      <c r="G19" s="117"/>
      <c r="H19" s="117"/>
      <c r="I19" s="118"/>
      <c r="J19" s="119"/>
      <c r="K19" s="119"/>
      <c r="L19" s="119"/>
      <c r="M19" s="119"/>
      <c r="N19" s="119"/>
      <c r="O19" s="119"/>
      <c r="P19" s="119"/>
      <c r="Q19" s="119"/>
      <c r="R19" s="119"/>
      <c r="S19" s="96"/>
      <c r="T19" s="93"/>
      <c r="U19" s="93"/>
      <c r="V19" s="93"/>
      <c r="W19" s="96"/>
      <c r="X19" s="93"/>
      <c r="Y19" s="93"/>
      <c r="Z19" s="93"/>
      <c r="AA19" s="93"/>
      <c r="AB19" s="93"/>
      <c r="AC19" s="93"/>
    </row>
    <row r="20" spans="1:29" ht="12.75" customHeight="1">
      <c r="A20" s="97" t="s">
        <v>3598</v>
      </c>
      <c r="B20" s="98" t="s">
        <v>3599</v>
      </c>
      <c r="C20" s="98" t="s">
        <v>3600</v>
      </c>
      <c r="D20" s="99" t="s">
        <v>3601</v>
      </c>
      <c r="E20" s="121" t="s">
        <v>3602</v>
      </c>
      <c r="F20" s="121" t="s">
        <v>3603</v>
      </c>
      <c r="G20" s="121" t="s">
        <v>3604</v>
      </c>
      <c r="H20" s="121" t="s">
        <v>3605</v>
      </c>
      <c r="I20" s="121" t="s">
        <v>3606</v>
      </c>
      <c r="J20" s="121" t="s">
        <v>3607</v>
      </c>
      <c r="K20" s="121" t="s">
        <v>3608</v>
      </c>
      <c r="L20" s="121" t="s">
        <v>3609</v>
      </c>
      <c r="M20" s="121" t="s">
        <v>3610</v>
      </c>
      <c r="N20" s="121" t="s">
        <v>3611</v>
      </c>
      <c r="O20" s="121" t="s">
        <v>3612</v>
      </c>
      <c r="P20" s="121" t="s">
        <v>3613</v>
      </c>
      <c r="Q20" s="121" t="s">
        <v>3614</v>
      </c>
      <c r="R20" s="121" t="s">
        <v>3615</v>
      </c>
      <c r="S20" s="101" t="s">
        <v>3616</v>
      </c>
      <c r="T20" s="101" t="s">
        <v>3617</v>
      </c>
      <c r="U20" s="101" t="s">
        <v>3618</v>
      </c>
      <c r="V20" s="101" t="s">
        <v>3619</v>
      </c>
      <c r="W20" s="101" t="s">
        <v>3620</v>
      </c>
      <c r="X20" s="94"/>
      <c r="Y20" s="94"/>
      <c r="Z20" s="94"/>
      <c r="AA20" s="94"/>
      <c r="AB20" s="94"/>
      <c r="AC20" s="94"/>
    </row>
    <row r="21" spans="1:29" ht="12.75" customHeight="1">
      <c r="A21" s="102">
        <v>2025</v>
      </c>
      <c r="B21" s="103"/>
      <c r="C21" s="104" t="s">
        <v>120</v>
      </c>
      <c r="D21" s="105">
        <f t="shared" ref="D21:D26" si="7">SUM(E21:W21)</f>
        <v>0</v>
      </c>
      <c r="E21" s="106">
        <f t="shared" ref="E21:W21" si="8">-E15</f>
        <v>0</v>
      </c>
      <c r="F21" s="106">
        <f t="shared" si="8"/>
        <v>0</v>
      </c>
      <c r="G21" s="106">
        <f t="shared" si="8"/>
        <v>0</v>
      </c>
      <c r="H21" s="106">
        <f t="shared" si="8"/>
        <v>0</v>
      </c>
      <c r="I21" s="106">
        <f t="shared" si="8"/>
        <v>0</v>
      </c>
      <c r="J21" s="106">
        <f t="shared" si="8"/>
        <v>0</v>
      </c>
      <c r="K21" s="106">
        <f t="shared" si="8"/>
        <v>0</v>
      </c>
      <c r="L21" s="106">
        <f t="shared" si="8"/>
        <v>0</v>
      </c>
      <c r="M21" s="106">
        <f t="shared" si="8"/>
        <v>0</v>
      </c>
      <c r="N21" s="106">
        <f t="shared" si="8"/>
        <v>0</v>
      </c>
      <c r="O21" s="106">
        <f t="shared" si="8"/>
        <v>0</v>
      </c>
      <c r="P21" s="106">
        <f t="shared" si="8"/>
        <v>0</v>
      </c>
      <c r="Q21" s="106">
        <f t="shared" si="8"/>
        <v>0</v>
      </c>
      <c r="R21" s="106">
        <f t="shared" si="8"/>
        <v>0</v>
      </c>
      <c r="S21" s="106">
        <f t="shared" si="8"/>
        <v>0</v>
      </c>
      <c r="T21" s="106">
        <f t="shared" si="8"/>
        <v>0</v>
      </c>
      <c r="U21" s="106">
        <f t="shared" si="8"/>
        <v>0</v>
      </c>
      <c r="V21" s="106">
        <f t="shared" si="8"/>
        <v>0</v>
      </c>
      <c r="W21" s="106">
        <f t="shared" si="8"/>
        <v>0</v>
      </c>
      <c r="X21" s="94"/>
      <c r="Y21" s="94"/>
      <c r="Z21" s="94"/>
      <c r="AA21" s="94"/>
      <c r="AB21" s="94"/>
      <c r="AC21" s="94"/>
    </row>
    <row r="22" spans="1:29" ht="12.75" customHeight="1">
      <c r="A22" s="102">
        <v>2025</v>
      </c>
      <c r="B22" s="107"/>
      <c r="C22" s="108" t="s">
        <v>3621</v>
      </c>
      <c r="D22" s="105">
        <f t="shared" si="7"/>
        <v>31961159.370170657</v>
      </c>
      <c r="E22" s="109">
        <f>+'A.1 PRIHODI'!E36</f>
        <v>27718987.370170657</v>
      </c>
      <c r="F22" s="109">
        <f>+'A.1 PRIHODI'!F36</f>
        <v>0</v>
      </c>
      <c r="G22" s="109">
        <f>+'A.1 PRIHODI'!G36</f>
        <v>2201155</v>
      </c>
      <c r="H22" s="109">
        <f>+'A.1 PRIHODI'!H36</f>
        <v>0</v>
      </c>
      <c r="I22" s="109">
        <f>+'A.1 PRIHODI'!I36+'B. RAČUN FIN'!I28</f>
        <v>0</v>
      </c>
      <c r="J22" s="109">
        <f>+'A.1 PRIHODI'!J36</f>
        <v>969549</v>
      </c>
      <c r="K22" s="109">
        <f>+'A.1 PRIHODI'!K36</f>
        <v>995343</v>
      </c>
      <c r="L22" s="109">
        <f>+'A.1 PRIHODI'!L36</f>
        <v>0</v>
      </c>
      <c r="M22" s="109">
        <f>+'A.1 PRIHODI'!M36</f>
        <v>0</v>
      </c>
      <c r="N22" s="109">
        <f>+'A.1 PRIHODI'!N36</f>
        <v>0</v>
      </c>
      <c r="O22" s="109">
        <f>+'A.1 PRIHODI'!O36</f>
        <v>0</v>
      </c>
      <c r="P22" s="109">
        <f>+'A.1 PRIHODI'!P36</f>
        <v>0</v>
      </c>
      <c r="Q22" s="109">
        <f>+'A.1 PRIHODI'!Q36</f>
        <v>0</v>
      </c>
      <c r="R22" s="109">
        <f>+'A.1 PRIHODI'!R36</f>
        <v>0</v>
      </c>
      <c r="S22" s="109">
        <f>+'A.1 PRIHODI'!S36</f>
        <v>0</v>
      </c>
      <c r="T22" s="109">
        <f>+'A.1 PRIHODI'!T36</f>
        <v>76125</v>
      </c>
      <c r="U22" s="109">
        <f>+'A.1 PRIHODI'!U36</f>
        <v>0</v>
      </c>
      <c r="V22" s="109">
        <f>+'A.1 PRIHODI'!V36</f>
        <v>0</v>
      </c>
      <c r="W22" s="109">
        <f>+'B. RAČUN FIN'!W28</f>
        <v>0</v>
      </c>
      <c r="X22" s="94"/>
      <c r="Y22" s="94"/>
      <c r="Z22" s="94"/>
      <c r="AA22" s="94"/>
      <c r="AB22" s="94"/>
      <c r="AC22" s="94"/>
    </row>
    <row r="23" spans="1:29" ht="12.75" customHeight="1">
      <c r="A23" s="102">
        <v>2025</v>
      </c>
      <c r="B23" s="103"/>
      <c r="C23" s="104" t="s">
        <v>3628</v>
      </c>
      <c r="D23" s="105">
        <f t="shared" si="7"/>
        <v>0</v>
      </c>
      <c r="E23" s="120"/>
      <c r="F23" s="120"/>
      <c r="G23" s="120"/>
      <c r="H23" s="120"/>
      <c r="I23" s="120"/>
      <c r="J23" s="120"/>
      <c r="K23" s="120"/>
      <c r="L23" s="120"/>
      <c r="M23" s="106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94"/>
      <c r="Y23" s="94"/>
      <c r="Z23" s="94"/>
      <c r="AA23" s="94"/>
      <c r="AB23" s="94"/>
      <c r="AC23" s="94"/>
    </row>
    <row r="24" spans="1:29" ht="12.75" customHeight="1">
      <c r="A24" s="102">
        <v>2025</v>
      </c>
      <c r="B24" s="107"/>
      <c r="C24" s="108" t="s">
        <v>3623</v>
      </c>
      <c r="D24" s="105">
        <f t="shared" si="7"/>
        <v>31961159.370170657</v>
      </c>
      <c r="E24" s="109">
        <f t="shared" ref="E24:W24" si="9">+E21+E22+E23</f>
        <v>27718987.370170657</v>
      </c>
      <c r="F24" s="109">
        <f t="shared" si="9"/>
        <v>0</v>
      </c>
      <c r="G24" s="109">
        <f t="shared" si="9"/>
        <v>2201155</v>
      </c>
      <c r="H24" s="109">
        <f t="shared" si="9"/>
        <v>0</v>
      </c>
      <c r="I24" s="109">
        <f t="shared" si="9"/>
        <v>0</v>
      </c>
      <c r="J24" s="109">
        <f t="shared" si="9"/>
        <v>969549</v>
      </c>
      <c r="K24" s="109">
        <f t="shared" si="9"/>
        <v>995343</v>
      </c>
      <c r="L24" s="109">
        <f t="shared" si="9"/>
        <v>0</v>
      </c>
      <c r="M24" s="109">
        <f t="shared" si="9"/>
        <v>0</v>
      </c>
      <c r="N24" s="109">
        <f t="shared" si="9"/>
        <v>0</v>
      </c>
      <c r="O24" s="109">
        <f t="shared" si="9"/>
        <v>0</v>
      </c>
      <c r="P24" s="109">
        <f t="shared" si="9"/>
        <v>0</v>
      </c>
      <c r="Q24" s="109">
        <f t="shared" si="9"/>
        <v>0</v>
      </c>
      <c r="R24" s="109">
        <f t="shared" si="9"/>
        <v>0</v>
      </c>
      <c r="S24" s="109">
        <f t="shared" si="9"/>
        <v>0</v>
      </c>
      <c r="T24" s="109">
        <f t="shared" si="9"/>
        <v>76125</v>
      </c>
      <c r="U24" s="109">
        <f t="shared" si="9"/>
        <v>0</v>
      </c>
      <c r="V24" s="109">
        <f t="shared" si="9"/>
        <v>0</v>
      </c>
      <c r="W24" s="109">
        <f t="shared" si="9"/>
        <v>0</v>
      </c>
      <c r="X24" s="94"/>
      <c r="Y24" s="94"/>
      <c r="Z24" s="94"/>
      <c r="AA24" s="94"/>
      <c r="AB24" s="94"/>
      <c r="AC24" s="94"/>
    </row>
    <row r="25" spans="1:29" ht="12.75" customHeight="1">
      <c r="A25" s="102">
        <v>2025</v>
      </c>
      <c r="B25" s="112"/>
      <c r="C25" s="113" t="s">
        <v>3624</v>
      </c>
      <c r="D25" s="105">
        <f t="shared" si="7"/>
        <v>31961159.2496439</v>
      </c>
      <c r="E25" s="114">
        <f>+'A.2 RASHODI'!E38+'B. RAČUN FIN'!E33</f>
        <v>27718987.2496439</v>
      </c>
      <c r="F25" s="114">
        <f>+'A.2 RASHODI'!F38+'B. RAČUN FIN'!F33</f>
        <v>0</v>
      </c>
      <c r="G25" s="114">
        <f>+'A.2 RASHODI'!G38+'B. RAČUN FIN'!G33</f>
        <v>2201155</v>
      </c>
      <c r="H25" s="114">
        <f>+'A.2 RASHODI'!H38+'B. RAČUN FIN'!H33</f>
        <v>0</v>
      </c>
      <c r="I25" s="114">
        <f>+'A.2 RASHODI'!I38+'B. RAČUN FIN'!I33</f>
        <v>0</v>
      </c>
      <c r="J25" s="114">
        <f>+'A.2 RASHODI'!J38+'B. RAČUN FIN'!J33</f>
        <v>969549</v>
      </c>
      <c r="K25" s="114">
        <f>+'A.2 RASHODI'!K38+'B. RAČUN FIN'!K33</f>
        <v>995343</v>
      </c>
      <c r="L25" s="114">
        <f>+'A.2 RASHODI'!L38+'B. RAČUN FIN'!L33</f>
        <v>0</v>
      </c>
      <c r="M25" s="114">
        <f>+'A.2 RASHODI'!M38+'B. RAČUN FIN'!M33</f>
        <v>0</v>
      </c>
      <c r="N25" s="114">
        <f>+'A.2 RASHODI'!N38+'B. RAČUN FIN'!N33</f>
        <v>0</v>
      </c>
      <c r="O25" s="114">
        <f>+'A.2 RASHODI'!O38+'B. RAČUN FIN'!O33</f>
        <v>0</v>
      </c>
      <c r="P25" s="114">
        <f>+'A.2 RASHODI'!P38+'B. RAČUN FIN'!P33</f>
        <v>0</v>
      </c>
      <c r="Q25" s="114">
        <f>+'A.2 RASHODI'!Q38+'B. RAČUN FIN'!Q33</f>
        <v>0</v>
      </c>
      <c r="R25" s="114">
        <f>+'A.2 RASHODI'!R38+'B. RAČUN FIN'!R33</f>
        <v>0</v>
      </c>
      <c r="S25" s="114">
        <f>+'A.2 RASHODI'!S38+'B. RAČUN FIN'!S33</f>
        <v>0</v>
      </c>
      <c r="T25" s="114">
        <f>+'A.2 RASHODI'!T38+'B. RAČUN FIN'!T33</f>
        <v>76125</v>
      </c>
      <c r="U25" s="114">
        <f>+'A.2 RASHODI'!U38+'B. RAČUN FIN'!U33</f>
        <v>0</v>
      </c>
      <c r="V25" s="114">
        <f>+'A.2 RASHODI'!V38+'B. RAČUN FIN'!V33</f>
        <v>0</v>
      </c>
      <c r="W25" s="114">
        <f>+'A.2 RASHODI'!W38+'B. RAČUN FIN'!W33</f>
        <v>0</v>
      </c>
      <c r="X25" s="94"/>
      <c r="Y25" s="94"/>
      <c r="Z25" s="94"/>
      <c r="AA25" s="94"/>
      <c r="AB25" s="94"/>
      <c r="AC25" s="94"/>
    </row>
    <row r="26" spans="1:29" ht="20.25" customHeight="1">
      <c r="A26" s="102">
        <v>2025</v>
      </c>
      <c r="B26" s="115"/>
      <c r="C26" s="115" t="s">
        <v>3629</v>
      </c>
      <c r="D26" s="116">
        <f t="shared" si="7"/>
        <v>0.1205267570912838</v>
      </c>
      <c r="E26" s="116">
        <f t="shared" ref="E26:W26" si="10">+E24-E25</f>
        <v>0.1205267570912838</v>
      </c>
      <c r="F26" s="116">
        <f t="shared" si="10"/>
        <v>0</v>
      </c>
      <c r="G26" s="116">
        <f t="shared" si="10"/>
        <v>0</v>
      </c>
      <c r="H26" s="116">
        <f t="shared" si="10"/>
        <v>0</v>
      </c>
      <c r="I26" s="116">
        <f t="shared" si="10"/>
        <v>0</v>
      </c>
      <c r="J26" s="116">
        <f t="shared" si="10"/>
        <v>0</v>
      </c>
      <c r="K26" s="116">
        <f t="shared" si="10"/>
        <v>0</v>
      </c>
      <c r="L26" s="116">
        <f t="shared" si="10"/>
        <v>0</v>
      </c>
      <c r="M26" s="116">
        <f t="shared" si="10"/>
        <v>0</v>
      </c>
      <c r="N26" s="116">
        <f t="shared" si="10"/>
        <v>0</v>
      </c>
      <c r="O26" s="116">
        <f t="shared" si="10"/>
        <v>0</v>
      </c>
      <c r="P26" s="116">
        <f t="shared" si="10"/>
        <v>0</v>
      </c>
      <c r="Q26" s="116">
        <f t="shared" si="10"/>
        <v>0</v>
      </c>
      <c r="R26" s="116">
        <f t="shared" si="10"/>
        <v>0</v>
      </c>
      <c r="S26" s="116">
        <f t="shared" si="10"/>
        <v>0</v>
      </c>
      <c r="T26" s="116">
        <f t="shared" si="10"/>
        <v>0</v>
      </c>
      <c r="U26" s="116">
        <f t="shared" si="10"/>
        <v>0</v>
      </c>
      <c r="V26" s="116">
        <f t="shared" si="10"/>
        <v>0</v>
      </c>
      <c r="W26" s="116">
        <f t="shared" si="10"/>
        <v>0</v>
      </c>
      <c r="X26" s="94"/>
      <c r="Y26" s="94"/>
      <c r="Z26" s="94"/>
      <c r="AA26" s="94"/>
      <c r="AB26" s="94"/>
      <c r="AC26" s="94"/>
    </row>
    <row r="27" spans="1:29" ht="12.75" customHeight="1">
      <c r="A27" s="93"/>
      <c r="B27" s="117"/>
      <c r="C27" s="117"/>
      <c r="D27" s="117"/>
      <c r="E27" s="117"/>
      <c r="F27" s="117"/>
      <c r="G27" s="117"/>
      <c r="H27" s="117"/>
      <c r="I27" s="118"/>
      <c r="J27" s="119"/>
      <c r="K27" s="119"/>
      <c r="L27" s="119"/>
      <c r="M27" s="119"/>
      <c r="N27" s="119"/>
      <c r="O27" s="119"/>
      <c r="P27" s="119"/>
      <c r="Q27" s="119"/>
      <c r="R27" s="119"/>
      <c r="S27" s="96"/>
      <c r="T27" s="93"/>
      <c r="U27" s="93"/>
      <c r="V27" s="93"/>
      <c r="W27" s="96"/>
      <c r="X27" s="93"/>
      <c r="Y27" s="93"/>
      <c r="Z27" s="93"/>
      <c r="AA27" s="93"/>
      <c r="AB27" s="93"/>
      <c r="AC27" s="93"/>
    </row>
    <row r="28" spans="1:29" ht="12.75" customHeight="1">
      <c r="A28" s="93"/>
      <c r="B28" s="93"/>
      <c r="C28" s="93"/>
      <c r="D28" s="93"/>
      <c r="E28" s="93"/>
      <c r="F28" s="93"/>
      <c r="G28" s="122"/>
      <c r="H28" s="122"/>
      <c r="I28" s="123"/>
      <c r="J28" s="124"/>
      <c r="K28" s="124"/>
      <c r="L28" s="124"/>
      <c r="M28" s="124"/>
      <c r="N28" s="124"/>
      <c r="O28" s="124"/>
      <c r="P28" s="124"/>
      <c r="Q28" s="124"/>
      <c r="R28" s="124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</row>
    <row r="29" spans="1:29" ht="12.75" customHeight="1">
      <c r="A29" s="93"/>
      <c r="B29" s="93"/>
      <c r="C29" s="93"/>
      <c r="D29" s="93"/>
      <c r="E29" s="93"/>
      <c r="F29" s="93"/>
      <c r="G29" s="122"/>
      <c r="H29" s="122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</row>
    <row r="30" spans="1:29" ht="12.75" customHeight="1">
      <c r="A30" s="93"/>
      <c r="B30" s="122"/>
      <c r="C30" s="122"/>
      <c r="D30" s="122"/>
      <c r="E30" s="122"/>
      <c r="F30" s="122"/>
      <c r="G30" s="122"/>
      <c r="H30" s="122"/>
      <c r="I30" s="127"/>
      <c r="J30" s="122"/>
      <c r="K30" s="122"/>
      <c r="L30" s="122"/>
      <c r="M30" s="122"/>
      <c r="N30" s="122"/>
      <c r="O30" s="122"/>
      <c r="P30" s="122"/>
      <c r="Q30" s="122"/>
      <c r="R30" s="122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</row>
    <row r="31" spans="1:29" ht="12.75" customHeight="1">
      <c r="A31" s="93"/>
      <c r="B31" s="122"/>
      <c r="C31" s="122"/>
      <c r="D31" s="122"/>
      <c r="E31" s="122"/>
      <c r="F31" s="122"/>
      <c r="G31" s="122"/>
      <c r="H31" s="122"/>
      <c r="I31" s="127"/>
      <c r="J31" s="122"/>
      <c r="K31" s="122"/>
      <c r="L31" s="122"/>
      <c r="M31" s="122"/>
      <c r="N31" s="122"/>
      <c r="O31" s="122"/>
      <c r="P31" s="122"/>
      <c r="Q31" s="122"/>
      <c r="R31" s="122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</row>
    <row r="32" spans="1:29" ht="12.75" customHeight="1">
      <c r="A32" s="93"/>
      <c r="B32" s="122"/>
      <c r="C32" s="122"/>
      <c r="D32" s="122"/>
      <c r="E32" s="122"/>
      <c r="F32" s="122"/>
      <c r="G32" s="122"/>
      <c r="H32" s="122"/>
      <c r="I32" s="127"/>
      <c r="J32" s="122"/>
      <c r="K32" s="122"/>
      <c r="L32" s="122"/>
      <c r="M32" s="122"/>
      <c r="N32" s="122"/>
      <c r="O32" s="122"/>
      <c r="P32" s="122"/>
      <c r="Q32" s="122"/>
      <c r="R32" s="122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</row>
    <row r="33" spans="1:29" ht="12.75" customHeight="1">
      <c r="A33" s="93"/>
      <c r="B33" s="122"/>
      <c r="C33" s="122"/>
      <c r="D33" s="122"/>
      <c r="E33" s="122"/>
      <c r="F33" s="122"/>
      <c r="G33" s="122"/>
      <c r="H33" s="122"/>
      <c r="I33" s="128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</row>
    <row r="34" spans="1:29" ht="12.75" customHeight="1">
      <c r="A34" s="93"/>
      <c r="B34" s="122"/>
      <c r="C34" s="122"/>
      <c r="D34" s="122"/>
      <c r="E34" s="122"/>
      <c r="F34" s="122"/>
      <c r="G34" s="122"/>
      <c r="H34" s="122"/>
      <c r="I34" s="127"/>
      <c r="J34" s="122"/>
      <c r="K34" s="122"/>
      <c r="L34" s="122"/>
      <c r="M34" s="122"/>
      <c r="N34" s="122"/>
      <c r="O34" s="122"/>
      <c r="P34" s="122"/>
      <c r="Q34" s="122"/>
      <c r="R34" s="122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</row>
    <row r="35" spans="1:29" ht="12.75" customHeight="1">
      <c r="A35" s="93"/>
      <c r="B35" s="122"/>
      <c r="C35" s="122"/>
      <c r="D35" s="122"/>
      <c r="E35" s="122"/>
      <c r="F35" s="122"/>
      <c r="G35" s="122"/>
      <c r="H35" s="122"/>
      <c r="I35" s="127"/>
      <c r="J35" s="129"/>
      <c r="K35" s="129"/>
      <c r="L35" s="129"/>
      <c r="M35" s="129"/>
      <c r="N35" s="129"/>
      <c r="O35" s="129"/>
      <c r="P35" s="129"/>
      <c r="Q35" s="129"/>
      <c r="R35" s="129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</row>
    <row r="36" spans="1:29" ht="12.75" customHeight="1">
      <c r="A36" s="93"/>
      <c r="B36" s="122"/>
      <c r="C36" s="122"/>
      <c r="D36" s="122"/>
      <c r="E36" s="122"/>
      <c r="F36" s="122"/>
      <c r="G36" s="122"/>
      <c r="H36" s="122"/>
      <c r="I36" s="127"/>
      <c r="J36" s="122"/>
      <c r="K36" s="122"/>
      <c r="L36" s="122"/>
      <c r="M36" s="122"/>
      <c r="N36" s="122"/>
      <c r="O36" s="122"/>
      <c r="P36" s="122"/>
      <c r="Q36" s="122"/>
      <c r="R36" s="122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</row>
    <row r="37" spans="1:29" ht="12.75" customHeight="1">
      <c r="A37" s="93"/>
      <c r="B37" s="122"/>
      <c r="C37" s="122"/>
      <c r="D37" s="122"/>
      <c r="E37" s="122"/>
      <c r="F37" s="122"/>
      <c r="G37" s="122"/>
      <c r="H37" s="122"/>
      <c r="I37" s="127"/>
      <c r="J37" s="130"/>
      <c r="K37" s="130"/>
      <c r="L37" s="130"/>
      <c r="M37" s="130"/>
      <c r="N37" s="130"/>
      <c r="O37" s="130"/>
      <c r="P37" s="130"/>
      <c r="Q37" s="130"/>
      <c r="R37" s="130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</row>
    <row r="38" spans="1:29" ht="12.75" customHeight="1">
      <c r="A38" s="93"/>
      <c r="B38" s="93"/>
      <c r="C38" s="93"/>
      <c r="D38" s="93"/>
      <c r="E38" s="93"/>
      <c r="F38" s="93"/>
      <c r="G38" s="93"/>
      <c r="H38" s="93"/>
      <c r="I38" s="125"/>
      <c r="J38" s="131"/>
      <c r="K38" s="131"/>
      <c r="L38" s="131"/>
      <c r="M38" s="131"/>
      <c r="N38" s="131"/>
      <c r="O38" s="131"/>
      <c r="P38" s="131"/>
      <c r="Q38" s="131"/>
      <c r="R38" s="131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</row>
    <row r="39" spans="1:29" ht="12.75" customHeight="1">
      <c r="A39" s="93"/>
      <c r="B39" s="93"/>
      <c r="C39" s="93"/>
      <c r="D39" s="93"/>
      <c r="E39" s="93"/>
      <c r="F39" s="93"/>
      <c r="G39" s="93"/>
      <c r="H39" s="93"/>
      <c r="I39" s="128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</row>
    <row r="40" spans="1:29" ht="12.75" customHeight="1">
      <c r="A40" s="93"/>
      <c r="B40" s="93"/>
      <c r="C40" s="93"/>
      <c r="D40" s="93"/>
      <c r="E40" s="93"/>
      <c r="F40" s="93"/>
      <c r="G40" s="93"/>
      <c r="H40" s="93"/>
      <c r="I40" s="128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</row>
    <row r="41" spans="1:29" ht="12.75" customHeight="1">
      <c r="A41" s="93"/>
      <c r="B41" s="93"/>
      <c r="C41" s="93"/>
      <c r="D41" s="93"/>
      <c r="E41" s="93"/>
      <c r="F41" s="93"/>
      <c r="G41" s="93"/>
      <c r="H41" s="93"/>
      <c r="I41" s="128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</row>
    <row r="42" spans="1:29" ht="12.75" customHeight="1">
      <c r="A42" s="93"/>
      <c r="B42" s="93"/>
      <c r="C42" s="93"/>
      <c r="D42" s="93"/>
      <c r="E42" s="93"/>
      <c r="F42" s="93"/>
      <c r="G42" s="93"/>
      <c r="H42" s="93"/>
      <c r="I42" s="128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</row>
    <row r="43" spans="1:29" ht="12.75" customHeight="1">
      <c r="A43" s="93"/>
      <c r="B43" s="93"/>
      <c r="C43" s="93"/>
      <c r="D43" s="93"/>
      <c r="E43" s="93"/>
      <c r="F43" s="93"/>
      <c r="G43" s="93"/>
      <c r="H43" s="93"/>
      <c r="I43" s="128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</row>
    <row r="44" spans="1:29" ht="12.75" customHeight="1">
      <c r="A44" s="93"/>
      <c r="B44" s="93"/>
      <c r="C44" s="93"/>
      <c r="D44" s="93"/>
      <c r="E44" s="93"/>
      <c r="F44" s="93"/>
      <c r="G44" s="93"/>
      <c r="H44" s="93"/>
      <c r="I44" s="128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</row>
    <row r="45" spans="1:29" ht="12.75" customHeight="1">
      <c r="A45" s="93"/>
      <c r="B45" s="93"/>
      <c r="C45" s="93"/>
      <c r="D45" s="93"/>
      <c r="E45" s="93"/>
      <c r="F45" s="93"/>
      <c r="G45" s="93"/>
      <c r="H45" s="93"/>
      <c r="I45" s="128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</row>
    <row r="46" spans="1:29" ht="12.75" customHeight="1">
      <c r="A46" s="93"/>
      <c r="B46" s="93"/>
      <c r="C46" s="93"/>
      <c r="D46" s="93"/>
      <c r="E46" s="93"/>
      <c r="F46" s="93"/>
      <c r="G46" s="93"/>
      <c r="H46" s="93"/>
      <c r="I46" s="128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</row>
    <row r="47" spans="1:29" ht="12.75" customHeight="1">
      <c r="A47" s="93"/>
      <c r="B47" s="93"/>
      <c r="C47" s="93"/>
      <c r="D47" s="93"/>
      <c r="E47" s="93"/>
      <c r="F47" s="93"/>
      <c r="G47" s="93"/>
      <c r="H47" s="93"/>
      <c r="I47" s="128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</row>
    <row r="48" spans="1:29" ht="12.75" customHeight="1">
      <c r="A48" s="93"/>
      <c r="B48" s="93"/>
      <c r="C48" s="93"/>
      <c r="D48" s="93"/>
      <c r="E48" s="93"/>
      <c r="F48" s="93"/>
      <c r="G48" s="93"/>
      <c r="H48" s="93"/>
      <c r="I48" s="128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</row>
    <row r="49" spans="1:29" ht="12.75" customHeight="1">
      <c r="A49" s="93"/>
      <c r="B49" s="93"/>
      <c r="C49" s="93"/>
      <c r="D49" s="93"/>
      <c r="E49" s="93"/>
      <c r="F49" s="93"/>
      <c r="G49" s="93"/>
      <c r="H49" s="93"/>
      <c r="I49" s="128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</row>
    <row r="50" spans="1:29" ht="12.75" customHeight="1">
      <c r="A50" s="93"/>
      <c r="B50" s="93"/>
      <c r="C50" s="93"/>
      <c r="D50" s="93"/>
      <c r="E50" s="93"/>
      <c r="F50" s="93"/>
      <c r="G50" s="93"/>
      <c r="H50" s="93"/>
      <c r="I50" s="128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</row>
    <row r="51" spans="1:29" ht="12.75" customHeight="1">
      <c r="A51" s="93"/>
      <c r="B51" s="93"/>
      <c r="C51" s="93"/>
      <c r="D51" s="93"/>
      <c r="E51" s="93"/>
      <c r="F51" s="93"/>
      <c r="G51" s="93"/>
      <c r="H51" s="93"/>
      <c r="I51" s="128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</row>
    <row r="52" spans="1:29" ht="12.75" customHeight="1">
      <c r="A52" s="93"/>
      <c r="B52" s="93"/>
      <c r="C52" s="93"/>
      <c r="D52" s="93"/>
      <c r="E52" s="93"/>
      <c r="F52" s="93"/>
      <c r="G52" s="93"/>
      <c r="H52" s="93"/>
      <c r="I52" s="128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</row>
    <row r="53" spans="1:29" ht="12.75" customHeight="1">
      <c r="A53" s="93"/>
      <c r="B53" s="93"/>
      <c r="C53" s="93"/>
      <c r="D53" s="93"/>
      <c r="E53" s="93"/>
      <c r="F53" s="93"/>
      <c r="G53" s="93"/>
      <c r="H53" s="93"/>
      <c r="I53" s="128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</row>
    <row r="54" spans="1:29" ht="12.75" customHeight="1">
      <c r="A54" s="93"/>
      <c r="B54" s="93"/>
      <c r="C54" s="93"/>
      <c r="D54" s="93"/>
      <c r="E54" s="93"/>
      <c r="F54" s="93"/>
      <c r="G54" s="93"/>
      <c r="H54" s="93"/>
      <c r="I54" s="128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</row>
    <row r="55" spans="1:29" ht="12.75" customHeight="1">
      <c r="A55" s="93"/>
      <c r="B55" s="93"/>
      <c r="C55" s="93"/>
      <c r="D55" s="93"/>
      <c r="E55" s="93"/>
      <c r="F55" s="93"/>
      <c r="G55" s="93"/>
      <c r="H55" s="93"/>
      <c r="I55" s="128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</row>
    <row r="56" spans="1:29" ht="12.75" customHeight="1">
      <c r="A56" s="93"/>
      <c r="B56" s="93"/>
      <c r="C56" s="93"/>
      <c r="D56" s="93"/>
      <c r="E56" s="93"/>
      <c r="F56" s="93"/>
      <c r="G56" s="93"/>
      <c r="H56" s="93"/>
      <c r="I56" s="128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</row>
    <row r="57" spans="1:29" ht="12.75" customHeight="1">
      <c r="A57" s="93"/>
      <c r="B57" s="93"/>
      <c r="C57" s="93"/>
      <c r="D57" s="93"/>
      <c r="E57" s="93"/>
      <c r="F57" s="93"/>
      <c r="G57" s="93"/>
      <c r="H57" s="93"/>
      <c r="I57" s="128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</row>
    <row r="58" spans="1:29" ht="12.75" customHeight="1">
      <c r="A58" s="93"/>
      <c r="B58" s="93"/>
      <c r="C58" s="93"/>
      <c r="D58" s="93"/>
      <c r="E58" s="93"/>
      <c r="F58" s="93"/>
      <c r="G58" s="93"/>
      <c r="H58" s="93"/>
      <c r="I58" s="128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</row>
    <row r="59" spans="1:29" ht="12.75" customHeight="1">
      <c r="A59" s="93"/>
      <c r="B59" s="93"/>
      <c r="C59" s="93"/>
      <c r="D59" s="93"/>
      <c r="E59" s="93"/>
      <c r="F59" s="93"/>
      <c r="G59" s="93"/>
      <c r="H59" s="93"/>
      <c r="I59" s="128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</row>
    <row r="60" spans="1:29" ht="12.75" customHeight="1">
      <c r="A60" s="93"/>
      <c r="B60" s="93"/>
      <c r="C60" s="93"/>
      <c r="D60" s="93"/>
      <c r="E60" s="93"/>
      <c r="F60" s="93"/>
      <c r="G60" s="93"/>
      <c r="H60" s="93"/>
      <c r="I60" s="128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</row>
    <row r="61" spans="1:29" ht="12.75" customHeight="1">
      <c r="A61" s="93"/>
      <c r="B61" s="93"/>
      <c r="C61" s="93"/>
      <c r="D61" s="93"/>
      <c r="E61" s="93"/>
      <c r="F61" s="93"/>
      <c r="G61" s="93"/>
      <c r="H61" s="93"/>
      <c r="I61" s="128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</row>
    <row r="62" spans="1:29" ht="12.75" customHeight="1">
      <c r="A62" s="93"/>
      <c r="B62" s="93"/>
      <c r="C62" s="93"/>
      <c r="D62" s="93"/>
      <c r="E62" s="93"/>
      <c r="F62" s="93"/>
      <c r="G62" s="93"/>
      <c r="H62" s="93"/>
      <c r="I62" s="128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</row>
    <row r="63" spans="1:29" ht="12.75" customHeight="1">
      <c r="A63" s="93"/>
      <c r="B63" s="93"/>
      <c r="C63" s="93"/>
      <c r="D63" s="93"/>
      <c r="E63" s="93"/>
      <c r="F63" s="93"/>
      <c r="G63" s="93"/>
      <c r="H63" s="93"/>
      <c r="I63" s="128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</row>
    <row r="64" spans="1:29" ht="12.75" customHeight="1">
      <c r="A64" s="93"/>
      <c r="B64" s="93"/>
      <c r="C64" s="93"/>
      <c r="D64" s="93"/>
      <c r="E64" s="93"/>
      <c r="F64" s="93"/>
      <c r="G64" s="93"/>
      <c r="H64" s="93"/>
      <c r="I64" s="128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</row>
    <row r="65" spans="1:29" ht="12.75" customHeight="1">
      <c r="A65" s="93"/>
      <c r="B65" s="93"/>
      <c r="C65" s="93"/>
      <c r="D65" s="93"/>
      <c r="E65" s="93"/>
      <c r="F65" s="93"/>
      <c r="G65" s="93"/>
      <c r="H65" s="93"/>
      <c r="I65" s="128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</row>
    <row r="66" spans="1:29" ht="12.75" customHeight="1">
      <c r="A66" s="93"/>
      <c r="B66" s="93"/>
      <c r="C66" s="93"/>
      <c r="D66" s="93"/>
      <c r="E66" s="93"/>
      <c r="F66" s="93"/>
      <c r="G66" s="93"/>
      <c r="H66" s="93"/>
      <c r="I66" s="128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</row>
    <row r="67" spans="1:29" ht="12.75" customHeight="1">
      <c r="A67" s="93"/>
      <c r="B67" s="93"/>
      <c r="C67" s="93"/>
      <c r="D67" s="93"/>
      <c r="E67" s="93"/>
      <c r="F67" s="93"/>
      <c r="G67" s="93"/>
      <c r="H67" s="93"/>
      <c r="I67" s="128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</row>
    <row r="68" spans="1:29" ht="12.75" customHeight="1">
      <c r="A68" s="93"/>
      <c r="B68" s="93"/>
      <c r="C68" s="93"/>
      <c r="D68" s="93"/>
      <c r="E68" s="93"/>
      <c r="F68" s="93"/>
      <c r="G68" s="93"/>
      <c r="H68" s="93"/>
      <c r="I68" s="128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</row>
    <row r="69" spans="1:29" ht="12.75" customHeight="1">
      <c r="A69" s="93"/>
      <c r="B69" s="93"/>
      <c r="C69" s="93"/>
      <c r="D69" s="93"/>
      <c r="E69" s="93"/>
      <c r="F69" s="93"/>
      <c r="G69" s="93"/>
      <c r="H69" s="93"/>
      <c r="I69" s="128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</row>
    <row r="70" spans="1:29" ht="12.75" customHeight="1">
      <c r="A70" s="93"/>
      <c r="B70" s="93"/>
      <c r="C70" s="93"/>
      <c r="D70" s="93"/>
      <c r="E70" s="93"/>
      <c r="F70" s="93"/>
      <c r="G70" s="93"/>
      <c r="H70" s="93"/>
      <c r="I70" s="128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</row>
    <row r="71" spans="1:29" ht="12.75" customHeight="1">
      <c r="A71" s="93"/>
      <c r="B71" s="93"/>
      <c r="C71" s="93"/>
      <c r="D71" s="93"/>
      <c r="E71" s="93"/>
      <c r="F71" s="93"/>
      <c r="G71" s="93"/>
      <c r="H71" s="93"/>
      <c r="I71" s="128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</row>
    <row r="72" spans="1:29" ht="12.75" customHeight="1">
      <c r="A72" s="93"/>
      <c r="B72" s="93"/>
      <c r="C72" s="93"/>
      <c r="D72" s="93"/>
      <c r="E72" s="93"/>
      <c r="F72" s="93"/>
      <c r="G72" s="93"/>
      <c r="H72" s="93"/>
      <c r="I72" s="128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</row>
    <row r="73" spans="1:29" ht="12.75" customHeight="1">
      <c r="A73" s="93"/>
      <c r="B73" s="93"/>
      <c r="C73" s="93"/>
      <c r="D73" s="93"/>
      <c r="E73" s="93"/>
      <c r="F73" s="93"/>
      <c r="G73" s="93"/>
      <c r="H73" s="93"/>
      <c r="I73" s="128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</row>
    <row r="74" spans="1:29" ht="12.75" customHeight="1">
      <c r="A74" s="93"/>
      <c r="B74" s="93"/>
      <c r="C74" s="93"/>
      <c r="D74" s="93"/>
      <c r="E74" s="93"/>
      <c r="F74" s="93"/>
      <c r="G74" s="93"/>
      <c r="H74" s="93"/>
      <c r="I74" s="128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</row>
    <row r="75" spans="1:29" ht="12.75" customHeight="1">
      <c r="A75" s="93"/>
      <c r="B75" s="93"/>
      <c r="C75" s="93"/>
      <c r="D75" s="93"/>
      <c r="E75" s="93"/>
      <c r="F75" s="93"/>
      <c r="G75" s="93"/>
      <c r="H75" s="93"/>
      <c r="I75" s="128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</row>
    <row r="76" spans="1:29" ht="12.75" customHeight="1">
      <c r="A76" s="93"/>
      <c r="B76" s="93"/>
      <c r="C76" s="93"/>
      <c r="D76" s="93"/>
      <c r="E76" s="93"/>
      <c r="F76" s="93"/>
      <c r="G76" s="93"/>
      <c r="H76" s="93"/>
      <c r="I76" s="128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</row>
    <row r="77" spans="1:29" ht="12.75" customHeight="1">
      <c r="A77" s="93"/>
      <c r="B77" s="93"/>
      <c r="C77" s="93"/>
      <c r="D77" s="93"/>
      <c r="E77" s="93"/>
      <c r="F77" s="93"/>
      <c r="G77" s="93"/>
      <c r="H77" s="93"/>
      <c r="I77" s="128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</row>
    <row r="78" spans="1:29" ht="12.75" customHeight="1">
      <c r="A78" s="93"/>
      <c r="B78" s="93"/>
      <c r="C78" s="93"/>
      <c r="D78" s="93"/>
      <c r="E78" s="93"/>
      <c r="F78" s="93"/>
      <c r="G78" s="93"/>
      <c r="H78" s="93"/>
      <c r="I78" s="128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</row>
    <row r="79" spans="1:29" ht="12.75" customHeight="1">
      <c r="A79" s="93"/>
      <c r="B79" s="93"/>
      <c r="C79" s="93"/>
      <c r="D79" s="93"/>
      <c r="E79" s="93"/>
      <c r="F79" s="93"/>
      <c r="G79" s="93"/>
      <c r="H79" s="93"/>
      <c r="I79" s="128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</row>
    <row r="80" spans="1:29" ht="12.75" customHeight="1">
      <c r="A80" s="93"/>
      <c r="B80" s="93"/>
      <c r="C80" s="93"/>
      <c r="D80" s="93"/>
      <c r="E80" s="93"/>
      <c r="F80" s="93"/>
      <c r="G80" s="93"/>
      <c r="H80" s="93"/>
      <c r="I80" s="128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</row>
    <row r="81" spans="1:29" ht="12.75" customHeight="1">
      <c r="A81" s="93"/>
      <c r="B81" s="93"/>
      <c r="C81" s="93"/>
      <c r="D81" s="93"/>
      <c r="E81" s="93"/>
      <c r="F81" s="93"/>
      <c r="G81" s="93"/>
      <c r="H81" s="93"/>
      <c r="I81" s="128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</row>
    <row r="82" spans="1:29" ht="12.75" customHeight="1">
      <c r="A82" s="93"/>
      <c r="B82" s="93"/>
      <c r="C82" s="93"/>
      <c r="D82" s="93"/>
      <c r="E82" s="93"/>
      <c r="F82" s="93"/>
      <c r="G82" s="93"/>
      <c r="H82" s="93"/>
      <c r="I82" s="128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</row>
    <row r="83" spans="1:29" ht="12.75" customHeight="1">
      <c r="A83" s="93"/>
      <c r="B83" s="93"/>
      <c r="C83" s="93"/>
      <c r="D83" s="93"/>
      <c r="E83" s="93"/>
      <c r="F83" s="93"/>
      <c r="G83" s="93"/>
      <c r="H83" s="93"/>
      <c r="I83" s="128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</row>
    <row r="84" spans="1:29" ht="12.75" customHeight="1">
      <c r="A84" s="93"/>
      <c r="B84" s="93"/>
      <c r="C84" s="93"/>
      <c r="D84" s="93"/>
      <c r="E84" s="93"/>
      <c r="F84" s="93"/>
      <c r="G84" s="93"/>
      <c r="H84" s="93"/>
      <c r="I84" s="128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</row>
    <row r="85" spans="1:29" ht="12.75" customHeight="1">
      <c r="A85" s="93"/>
      <c r="B85" s="93"/>
      <c r="C85" s="93"/>
      <c r="D85" s="93"/>
      <c r="E85" s="93"/>
      <c r="F85" s="93"/>
      <c r="G85" s="93"/>
      <c r="H85" s="93"/>
      <c r="I85" s="128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</row>
    <row r="86" spans="1:29" ht="12.75" customHeight="1">
      <c r="A86" s="93"/>
      <c r="B86" s="93"/>
      <c r="C86" s="93"/>
      <c r="D86" s="93"/>
      <c r="E86" s="93"/>
      <c r="F86" s="93"/>
      <c r="G86" s="93"/>
      <c r="H86" s="93"/>
      <c r="I86" s="128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</row>
    <row r="87" spans="1:29" ht="12.75" customHeight="1">
      <c r="A87" s="93"/>
      <c r="B87" s="93"/>
      <c r="C87" s="93"/>
      <c r="D87" s="93"/>
      <c r="E87" s="93"/>
      <c r="F87" s="93"/>
      <c r="G87" s="93"/>
      <c r="H87" s="93"/>
      <c r="I87" s="128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</row>
    <row r="88" spans="1:29" ht="12.75" customHeight="1">
      <c r="A88" s="93"/>
      <c r="B88" s="93"/>
      <c r="C88" s="93"/>
      <c r="D88" s="93"/>
      <c r="E88" s="93"/>
      <c r="F88" s="93"/>
      <c r="G88" s="93"/>
      <c r="H88" s="93"/>
      <c r="I88" s="128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</row>
    <row r="89" spans="1:29" ht="12.75" customHeight="1">
      <c r="A89" s="93"/>
      <c r="B89" s="93"/>
      <c r="C89" s="93"/>
      <c r="D89" s="93"/>
      <c r="E89" s="93"/>
      <c r="F89" s="93"/>
      <c r="G89" s="93"/>
      <c r="H89" s="93"/>
      <c r="I89" s="128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</row>
    <row r="90" spans="1:29" ht="12.75" customHeight="1">
      <c r="A90" s="93"/>
      <c r="B90" s="93"/>
      <c r="C90" s="93"/>
      <c r="D90" s="93"/>
      <c r="E90" s="93"/>
      <c r="F90" s="93"/>
      <c r="G90" s="93"/>
      <c r="H90" s="93"/>
      <c r="I90" s="128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</row>
    <row r="91" spans="1:29" ht="12.75" customHeight="1">
      <c r="A91" s="93"/>
      <c r="B91" s="93"/>
      <c r="C91" s="93"/>
      <c r="D91" s="93"/>
      <c r="E91" s="93"/>
      <c r="F91" s="93"/>
      <c r="G91" s="93"/>
      <c r="H91" s="93"/>
      <c r="I91" s="128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</row>
    <row r="92" spans="1:29" ht="12.75" customHeight="1">
      <c r="A92" s="93"/>
      <c r="B92" s="93"/>
      <c r="C92" s="93"/>
      <c r="D92" s="93"/>
      <c r="E92" s="93"/>
      <c r="F92" s="93"/>
      <c r="G92" s="93"/>
      <c r="H92" s="93"/>
      <c r="I92" s="128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</row>
    <row r="93" spans="1:29" ht="12.75" customHeight="1">
      <c r="A93" s="93"/>
      <c r="B93" s="93"/>
      <c r="C93" s="93"/>
      <c r="D93" s="93"/>
      <c r="E93" s="93"/>
      <c r="F93" s="93"/>
      <c r="G93" s="93"/>
      <c r="H93" s="93"/>
      <c r="I93" s="128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</row>
    <row r="94" spans="1:29" ht="12.75" customHeight="1">
      <c r="A94" s="93"/>
      <c r="B94" s="93"/>
      <c r="C94" s="93"/>
      <c r="D94" s="93"/>
      <c r="E94" s="93"/>
      <c r="F94" s="93"/>
      <c r="G94" s="93"/>
      <c r="H94" s="93"/>
      <c r="I94" s="128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</row>
    <row r="95" spans="1:29" ht="12.75" customHeight="1">
      <c r="A95" s="93"/>
      <c r="B95" s="93"/>
      <c r="C95" s="93"/>
      <c r="D95" s="93"/>
      <c r="E95" s="93"/>
      <c r="F95" s="93"/>
      <c r="G95" s="93"/>
      <c r="H95" s="93"/>
      <c r="I95" s="128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</row>
    <row r="96" spans="1:29" ht="12.75" customHeight="1">
      <c r="A96" s="93"/>
      <c r="B96" s="93"/>
      <c r="C96" s="93"/>
      <c r="D96" s="93"/>
      <c r="E96" s="93"/>
      <c r="F96" s="93"/>
      <c r="G96" s="93"/>
      <c r="H96" s="93"/>
      <c r="I96" s="128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</row>
    <row r="97" spans="1:29" ht="12.75" customHeight="1">
      <c r="A97" s="93"/>
      <c r="B97" s="93"/>
      <c r="C97" s="93"/>
      <c r="D97" s="93"/>
      <c r="E97" s="93"/>
      <c r="F97" s="93"/>
      <c r="G97" s="93"/>
      <c r="H97" s="93"/>
      <c r="I97" s="128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</row>
    <row r="98" spans="1:29" ht="12.75" customHeight="1">
      <c r="A98" s="93"/>
      <c r="B98" s="93"/>
      <c r="C98" s="93"/>
      <c r="D98" s="93"/>
      <c r="E98" s="93"/>
      <c r="F98" s="93"/>
      <c r="G98" s="93"/>
      <c r="H98" s="93"/>
      <c r="I98" s="128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</row>
    <row r="99" spans="1:29" ht="12.75" customHeight="1">
      <c r="A99" s="93"/>
      <c r="B99" s="93"/>
      <c r="C99" s="93"/>
      <c r="D99" s="93"/>
      <c r="E99" s="93"/>
      <c r="F99" s="93"/>
      <c r="G99" s="93"/>
      <c r="H99" s="93"/>
      <c r="I99" s="128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</row>
    <row r="100" spans="1:29" ht="12.75" customHeight="1">
      <c r="A100" s="93"/>
      <c r="B100" s="93"/>
      <c r="C100" s="93"/>
      <c r="D100" s="93"/>
      <c r="E100" s="93"/>
      <c r="F100" s="93"/>
      <c r="G100" s="93"/>
      <c r="H100" s="93"/>
      <c r="I100" s="128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</row>
    <row r="101" spans="1:29" ht="12.75" customHeight="1">
      <c r="A101" s="93"/>
      <c r="B101" s="93"/>
      <c r="C101" s="93"/>
      <c r="D101" s="93"/>
      <c r="E101" s="93"/>
      <c r="F101" s="93"/>
      <c r="G101" s="93"/>
      <c r="H101" s="93"/>
      <c r="I101" s="128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</row>
    <row r="102" spans="1:29" ht="12.75" customHeight="1">
      <c r="A102" s="93"/>
      <c r="B102" s="93"/>
      <c r="C102" s="93"/>
      <c r="D102" s="93"/>
      <c r="E102" s="93"/>
      <c r="F102" s="93"/>
      <c r="G102" s="93"/>
      <c r="H102" s="93"/>
      <c r="I102" s="128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</row>
    <row r="103" spans="1:29" ht="12.75" customHeight="1">
      <c r="A103" s="93"/>
      <c r="B103" s="93"/>
      <c r="C103" s="93"/>
      <c r="D103" s="93"/>
      <c r="E103" s="93"/>
      <c r="F103" s="93"/>
      <c r="G103" s="93"/>
      <c r="H103" s="93"/>
      <c r="I103" s="128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</row>
    <row r="104" spans="1:29" ht="12.75" customHeight="1">
      <c r="A104" s="93"/>
      <c r="B104" s="93"/>
      <c r="C104" s="93"/>
      <c r="D104" s="93"/>
      <c r="E104" s="93"/>
      <c r="F104" s="93"/>
      <c r="G104" s="93"/>
      <c r="H104" s="93"/>
      <c r="I104" s="128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</row>
    <row r="105" spans="1:29" ht="12.75" customHeight="1">
      <c r="A105" s="93"/>
      <c r="B105" s="93"/>
      <c r="C105" s="93"/>
      <c r="D105" s="93"/>
      <c r="E105" s="93"/>
      <c r="F105" s="93"/>
      <c r="G105" s="93"/>
      <c r="H105" s="93"/>
      <c r="I105" s="128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</row>
    <row r="106" spans="1:29" ht="12.75" customHeight="1">
      <c r="A106" s="93"/>
      <c r="B106" s="93"/>
      <c r="C106" s="93"/>
      <c r="D106" s="93"/>
      <c r="E106" s="93"/>
      <c r="F106" s="93"/>
      <c r="G106" s="93"/>
      <c r="H106" s="93"/>
      <c r="I106" s="128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</row>
    <row r="107" spans="1:29" ht="12.75" customHeight="1">
      <c r="A107" s="93"/>
      <c r="B107" s="93"/>
      <c r="C107" s="93"/>
      <c r="D107" s="93"/>
      <c r="E107" s="93"/>
      <c r="F107" s="93"/>
      <c r="G107" s="93"/>
      <c r="H107" s="93"/>
      <c r="I107" s="128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</row>
    <row r="108" spans="1:29" ht="12.75" customHeight="1">
      <c r="A108" s="93"/>
      <c r="B108" s="93"/>
      <c r="C108" s="93"/>
      <c r="D108" s="93"/>
      <c r="E108" s="93"/>
      <c r="F108" s="93"/>
      <c r="G108" s="93"/>
      <c r="H108" s="93"/>
      <c r="I108" s="128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</row>
    <row r="109" spans="1:29" ht="12.75" customHeight="1">
      <c r="A109" s="93"/>
      <c r="B109" s="93"/>
      <c r="C109" s="93"/>
      <c r="D109" s="93"/>
      <c r="E109" s="93"/>
      <c r="F109" s="93"/>
      <c r="G109" s="93"/>
      <c r="H109" s="93"/>
      <c r="I109" s="128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</row>
    <row r="110" spans="1:29" ht="12.75" customHeight="1">
      <c r="A110" s="93"/>
      <c r="B110" s="93"/>
      <c r="C110" s="93"/>
      <c r="D110" s="93"/>
      <c r="E110" s="93"/>
      <c r="F110" s="93"/>
      <c r="G110" s="93"/>
      <c r="H110" s="93"/>
      <c r="I110" s="128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</row>
    <row r="111" spans="1:29" ht="12.75" customHeight="1">
      <c r="A111" s="93"/>
      <c r="B111" s="93"/>
      <c r="C111" s="93"/>
      <c r="D111" s="93"/>
      <c r="E111" s="93"/>
      <c r="F111" s="93"/>
      <c r="G111" s="93"/>
      <c r="H111" s="93"/>
      <c r="I111" s="128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</row>
    <row r="112" spans="1:29" ht="12.75" customHeight="1">
      <c r="A112" s="93"/>
      <c r="B112" s="93"/>
      <c r="C112" s="93"/>
      <c r="D112" s="93"/>
      <c r="E112" s="93"/>
      <c r="F112" s="93"/>
      <c r="G112" s="93"/>
      <c r="H112" s="93"/>
      <c r="I112" s="128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</row>
    <row r="113" spans="1:29" ht="12.75" customHeight="1">
      <c r="A113" s="93"/>
      <c r="B113" s="93"/>
      <c r="C113" s="93"/>
      <c r="D113" s="93"/>
      <c r="E113" s="93"/>
      <c r="F113" s="93"/>
      <c r="G113" s="93"/>
      <c r="H113" s="93"/>
      <c r="I113" s="128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</row>
    <row r="114" spans="1:29" ht="12.75" customHeight="1">
      <c r="A114" s="93"/>
      <c r="B114" s="93"/>
      <c r="C114" s="93"/>
      <c r="D114" s="93"/>
      <c r="E114" s="93"/>
      <c r="F114" s="93"/>
      <c r="G114" s="93"/>
      <c r="H114" s="93"/>
      <c r="I114" s="128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</row>
    <row r="115" spans="1:29" ht="12.75" customHeight="1">
      <c r="A115" s="93"/>
      <c r="B115" s="93"/>
      <c r="C115" s="93"/>
      <c r="D115" s="93"/>
      <c r="E115" s="93"/>
      <c r="F115" s="93"/>
      <c r="G115" s="93"/>
      <c r="H115" s="93"/>
      <c r="I115" s="128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</row>
    <row r="116" spans="1:29" ht="12.75" customHeight="1">
      <c r="A116" s="93"/>
      <c r="B116" s="93"/>
      <c r="C116" s="93"/>
      <c r="D116" s="93"/>
      <c r="E116" s="93"/>
      <c r="F116" s="93"/>
      <c r="G116" s="93"/>
      <c r="H116" s="93"/>
      <c r="I116" s="128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</row>
    <row r="117" spans="1:29" ht="12.75" customHeight="1">
      <c r="A117" s="93"/>
      <c r="B117" s="93"/>
      <c r="C117" s="93"/>
      <c r="D117" s="93"/>
      <c r="E117" s="93"/>
      <c r="F117" s="93"/>
      <c r="G117" s="93"/>
      <c r="H117" s="93"/>
      <c r="I117" s="128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</row>
    <row r="118" spans="1:29" ht="12.75" customHeight="1">
      <c r="A118" s="93"/>
      <c r="B118" s="93"/>
      <c r="C118" s="93"/>
      <c r="D118" s="93"/>
      <c r="E118" s="93"/>
      <c r="F118" s="93"/>
      <c r="G118" s="93"/>
      <c r="H118" s="93"/>
      <c r="I118" s="128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</row>
    <row r="119" spans="1:29" ht="12.75" customHeight="1">
      <c r="A119" s="93"/>
      <c r="B119" s="93"/>
      <c r="C119" s="93"/>
      <c r="D119" s="93"/>
      <c r="E119" s="93"/>
      <c r="F119" s="93"/>
      <c r="G119" s="93"/>
      <c r="H119" s="93"/>
      <c r="I119" s="128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</row>
    <row r="120" spans="1:29" ht="12.75" customHeight="1">
      <c r="A120" s="93"/>
      <c r="B120" s="93"/>
      <c r="C120" s="93"/>
      <c r="D120" s="93"/>
      <c r="E120" s="93"/>
      <c r="F120" s="93"/>
      <c r="G120" s="93"/>
      <c r="H120" s="93"/>
      <c r="I120" s="128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</row>
    <row r="121" spans="1:29" ht="12.75" customHeight="1">
      <c r="A121" s="93"/>
      <c r="B121" s="93"/>
      <c r="C121" s="93"/>
      <c r="D121" s="93"/>
      <c r="E121" s="93"/>
      <c r="F121" s="93"/>
      <c r="G121" s="93"/>
      <c r="H121" s="93"/>
      <c r="I121" s="128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</row>
    <row r="122" spans="1:29" ht="12.75" customHeight="1">
      <c r="A122" s="93"/>
      <c r="B122" s="93"/>
      <c r="C122" s="93"/>
      <c r="D122" s="93"/>
      <c r="E122" s="93"/>
      <c r="F122" s="93"/>
      <c r="G122" s="93"/>
      <c r="H122" s="93"/>
      <c r="I122" s="128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</row>
    <row r="123" spans="1:29" ht="12.75" customHeight="1">
      <c r="A123" s="93"/>
      <c r="B123" s="93"/>
      <c r="C123" s="93"/>
      <c r="D123" s="93"/>
      <c r="E123" s="93"/>
      <c r="F123" s="93"/>
      <c r="G123" s="93"/>
      <c r="H123" s="93"/>
      <c r="I123" s="128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</row>
    <row r="124" spans="1:29" ht="12.75" customHeight="1">
      <c r="A124" s="93"/>
      <c r="B124" s="93"/>
      <c r="C124" s="93"/>
      <c r="D124" s="93"/>
      <c r="E124" s="93"/>
      <c r="F124" s="93"/>
      <c r="G124" s="93"/>
      <c r="H124" s="93"/>
      <c r="I124" s="128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</row>
    <row r="125" spans="1:29" ht="12.75" customHeight="1">
      <c r="A125" s="93"/>
      <c r="B125" s="93"/>
      <c r="C125" s="93"/>
      <c r="D125" s="93"/>
      <c r="E125" s="93"/>
      <c r="F125" s="93"/>
      <c r="G125" s="93"/>
      <c r="H125" s="93"/>
      <c r="I125" s="128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</row>
    <row r="126" spans="1:29" ht="12.75" customHeight="1">
      <c r="A126" s="93"/>
      <c r="B126" s="93"/>
      <c r="C126" s="93"/>
      <c r="D126" s="93"/>
      <c r="E126" s="93"/>
      <c r="F126" s="93"/>
      <c r="G126" s="93"/>
      <c r="H126" s="93"/>
      <c r="I126" s="128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</row>
    <row r="127" spans="1:29" ht="12.75" customHeight="1">
      <c r="A127" s="93"/>
      <c r="B127" s="93"/>
      <c r="C127" s="93"/>
      <c r="D127" s="93"/>
      <c r="E127" s="93"/>
      <c r="F127" s="93"/>
      <c r="G127" s="93"/>
      <c r="H127" s="93"/>
      <c r="I127" s="128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</row>
    <row r="128" spans="1:29" ht="12.75" customHeight="1">
      <c r="A128" s="93"/>
      <c r="B128" s="93"/>
      <c r="C128" s="93"/>
      <c r="D128" s="93"/>
      <c r="E128" s="93"/>
      <c r="F128" s="93"/>
      <c r="G128" s="93"/>
      <c r="H128" s="93"/>
      <c r="I128" s="128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</row>
    <row r="129" spans="1:29" ht="12.75" customHeight="1">
      <c r="A129" s="93"/>
      <c r="B129" s="93"/>
      <c r="C129" s="93"/>
      <c r="D129" s="93"/>
      <c r="E129" s="93"/>
      <c r="F129" s="93"/>
      <c r="G129" s="93"/>
      <c r="H129" s="93"/>
      <c r="I129" s="128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</row>
    <row r="130" spans="1:29" ht="12.75" customHeight="1">
      <c r="A130" s="93"/>
      <c r="B130" s="93"/>
      <c r="C130" s="93"/>
      <c r="D130" s="93"/>
      <c r="E130" s="93"/>
      <c r="F130" s="93"/>
      <c r="G130" s="93"/>
      <c r="H130" s="93"/>
      <c r="I130" s="128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</row>
    <row r="131" spans="1:29" ht="12.75" customHeight="1">
      <c r="A131" s="93"/>
      <c r="B131" s="93"/>
      <c r="C131" s="93"/>
      <c r="D131" s="93"/>
      <c r="E131" s="93"/>
      <c r="F131" s="93"/>
      <c r="G131" s="93"/>
      <c r="H131" s="93"/>
      <c r="I131" s="128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</row>
    <row r="132" spans="1:29" ht="12.75" customHeight="1">
      <c r="A132" s="93"/>
      <c r="B132" s="93"/>
      <c r="C132" s="93"/>
      <c r="D132" s="93"/>
      <c r="E132" s="93"/>
      <c r="F132" s="93"/>
      <c r="G132" s="93"/>
      <c r="H132" s="93"/>
      <c r="I132" s="128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</row>
    <row r="133" spans="1:29" ht="12.75" customHeight="1">
      <c r="A133" s="93"/>
      <c r="B133" s="93"/>
      <c r="C133" s="93"/>
      <c r="D133" s="93"/>
      <c r="E133" s="93"/>
      <c r="F133" s="93"/>
      <c r="G133" s="93"/>
      <c r="H133" s="93"/>
      <c r="I133" s="128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</row>
    <row r="134" spans="1:29" ht="12.75" customHeight="1">
      <c r="A134" s="93"/>
      <c r="B134" s="93"/>
      <c r="C134" s="93"/>
      <c r="D134" s="93"/>
      <c r="E134" s="93"/>
      <c r="F134" s="93"/>
      <c r="G134" s="93"/>
      <c r="H134" s="93"/>
      <c r="I134" s="128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</row>
    <row r="135" spans="1:29" ht="12.75" customHeight="1">
      <c r="A135" s="93"/>
      <c r="B135" s="93"/>
      <c r="C135" s="93"/>
      <c r="D135" s="93"/>
      <c r="E135" s="93"/>
      <c r="F135" s="93"/>
      <c r="G135" s="93"/>
      <c r="H135" s="93"/>
      <c r="I135" s="128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</row>
    <row r="136" spans="1:29" ht="12.75" customHeight="1">
      <c r="A136" s="93"/>
      <c r="B136" s="93"/>
      <c r="C136" s="93"/>
      <c r="D136" s="93"/>
      <c r="E136" s="93"/>
      <c r="F136" s="93"/>
      <c r="G136" s="93"/>
      <c r="H136" s="93"/>
      <c r="I136" s="128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</row>
    <row r="137" spans="1:29" ht="12.75" customHeight="1">
      <c r="A137" s="93"/>
      <c r="B137" s="93"/>
      <c r="C137" s="93"/>
      <c r="D137" s="93"/>
      <c r="E137" s="93"/>
      <c r="F137" s="93"/>
      <c r="G137" s="93"/>
      <c r="H137" s="93"/>
      <c r="I137" s="128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</row>
    <row r="138" spans="1:29" ht="12.75" customHeight="1">
      <c r="A138" s="93"/>
      <c r="B138" s="93"/>
      <c r="C138" s="93"/>
      <c r="D138" s="93"/>
      <c r="E138" s="93"/>
      <c r="F138" s="93"/>
      <c r="G138" s="93"/>
      <c r="H138" s="93"/>
      <c r="I138" s="128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</row>
    <row r="139" spans="1:29" ht="12.75" customHeight="1">
      <c r="A139" s="93"/>
      <c r="B139" s="93"/>
      <c r="C139" s="93"/>
      <c r="D139" s="93"/>
      <c r="E139" s="93"/>
      <c r="F139" s="93"/>
      <c r="G139" s="93"/>
      <c r="H139" s="93"/>
      <c r="I139" s="128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</row>
    <row r="140" spans="1:29" ht="12.75" customHeight="1">
      <c r="A140" s="93"/>
      <c r="B140" s="93"/>
      <c r="C140" s="93"/>
      <c r="D140" s="93"/>
      <c r="E140" s="93"/>
      <c r="F140" s="93"/>
      <c r="G140" s="93"/>
      <c r="H140" s="93"/>
      <c r="I140" s="128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</row>
    <row r="141" spans="1:29" ht="12.75" customHeight="1">
      <c r="A141" s="93"/>
      <c r="B141" s="93"/>
      <c r="C141" s="93"/>
      <c r="D141" s="93"/>
      <c r="E141" s="93"/>
      <c r="F141" s="93"/>
      <c r="G141" s="93"/>
      <c r="H141" s="93"/>
      <c r="I141" s="128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</row>
    <row r="142" spans="1:29" ht="12.75" customHeight="1">
      <c r="A142" s="93"/>
      <c r="B142" s="93"/>
      <c r="C142" s="93"/>
      <c r="D142" s="93"/>
      <c r="E142" s="93"/>
      <c r="F142" s="93"/>
      <c r="G142" s="93"/>
      <c r="H142" s="93"/>
      <c r="I142" s="128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</row>
    <row r="143" spans="1:29" ht="12.75" customHeight="1">
      <c r="A143" s="93"/>
      <c r="B143" s="93"/>
      <c r="C143" s="93"/>
      <c r="D143" s="93"/>
      <c r="E143" s="93"/>
      <c r="F143" s="93"/>
      <c r="G143" s="93"/>
      <c r="H143" s="93"/>
      <c r="I143" s="128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</row>
    <row r="144" spans="1:29" ht="12.75" customHeight="1">
      <c r="A144" s="93"/>
      <c r="B144" s="93"/>
      <c r="C144" s="93"/>
      <c r="D144" s="93"/>
      <c r="E144" s="93"/>
      <c r="F144" s="93"/>
      <c r="G144" s="93"/>
      <c r="H144" s="93"/>
      <c r="I144" s="128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</row>
    <row r="145" spans="1:29" ht="12.75" customHeight="1">
      <c r="A145" s="93"/>
      <c r="B145" s="93"/>
      <c r="C145" s="93"/>
      <c r="D145" s="93"/>
      <c r="E145" s="93"/>
      <c r="F145" s="93"/>
      <c r="G145" s="93"/>
      <c r="H145" s="93"/>
      <c r="I145" s="128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</row>
    <row r="146" spans="1:29" ht="12.75" customHeight="1">
      <c r="A146" s="93"/>
      <c r="B146" s="93"/>
      <c r="C146" s="93"/>
      <c r="D146" s="93"/>
      <c r="E146" s="93"/>
      <c r="F146" s="93"/>
      <c r="G146" s="93"/>
      <c r="H146" s="93"/>
      <c r="I146" s="128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</row>
    <row r="147" spans="1:29" ht="12.75" customHeight="1">
      <c r="A147" s="93"/>
      <c r="B147" s="93"/>
      <c r="C147" s="93"/>
      <c r="D147" s="93"/>
      <c r="E147" s="93"/>
      <c r="F147" s="93"/>
      <c r="G147" s="93"/>
      <c r="H147" s="93"/>
      <c r="I147" s="128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</row>
    <row r="148" spans="1:29" ht="12.75" customHeight="1">
      <c r="A148" s="93"/>
      <c r="B148" s="93"/>
      <c r="C148" s="93"/>
      <c r="D148" s="93"/>
      <c r="E148" s="93"/>
      <c r="F148" s="93"/>
      <c r="G148" s="93"/>
      <c r="H148" s="93"/>
      <c r="I148" s="128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</row>
    <row r="149" spans="1:29" ht="12.75" customHeight="1">
      <c r="A149" s="93"/>
      <c r="B149" s="93"/>
      <c r="C149" s="93"/>
      <c r="D149" s="93"/>
      <c r="E149" s="93"/>
      <c r="F149" s="93"/>
      <c r="G149" s="93"/>
      <c r="H149" s="93"/>
      <c r="I149" s="128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</row>
    <row r="150" spans="1:29" ht="12.75" customHeight="1">
      <c r="A150" s="93"/>
      <c r="B150" s="93"/>
      <c r="C150" s="93"/>
      <c r="D150" s="93"/>
      <c r="E150" s="93"/>
      <c r="F150" s="93"/>
      <c r="G150" s="93"/>
      <c r="H150" s="93"/>
      <c r="I150" s="128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</row>
    <row r="151" spans="1:29" ht="12.75" customHeight="1">
      <c r="A151" s="93"/>
      <c r="B151" s="93"/>
      <c r="C151" s="93"/>
      <c r="D151" s="93"/>
      <c r="E151" s="93"/>
      <c r="F151" s="93"/>
      <c r="G151" s="93"/>
      <c r="H151" s="93"/>
      <c r="I151" s="128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</row>
    <row r="152" spans="1:29" ht="12.75" customHeight="1">
      <c r="A152" s="93"/>
      <c r="B152" s="93"/>
      <c r="C152" s="93"/>
      <c r="D152" s="93"/>
      <c r="E152" s="93"/>
      <c r="F152" s="93"/>
      <c r="G152" s="93"/>
      <c r="H152" s="93"/>
      <c r="I152" s="128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</row>
    <row r="153" spans="1:29" ht="12.75" customHeight="1">
      <c r="A153" s="93"/>
      <c r="B153" s="93"/>
      <c r="C153" s="93"/>
      <c r="D153" s="93"/>
      <c r="E153" s="93"/>
      <c r="F153" s="93"/>
      <c r="G153" s="93"/>
      <c r="H153" s="93"/>
      <c r="I153" s="128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</row>
    <row r="154" spans="1:29" ht="12.75" customHeight="1">
      <c r="A154" s="93"/>
      <c r="B154" s="93"/>
      <c r="C154" s="93"/>
      <c r="D154" s="93"/>
      <c r="E154" s="93"/>
      <c r="F154" s="93"/>
      <c r="G154" s="93"/>
      <c r="H154" s="93"/>
      <c r="I154" s="128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</row>
    <row r="155" spans="1:29" ht="12.75" customHeight="1">
      <c r="A155" s="93"/>
      <c r="B155" s="93"/>
      <c r="C155" s="93"/>
      <c r="D155" s="93"/>
      <c r="E155" s="93"/>
      <c r="F155" s="93"/>
      <c r="G155" s="93"/>
      <c r="H155" s="93"/>
      <c r="I155" s="128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</row>
    <row r="156" spans="1:29" ht="12.75" customHeight="1">
      <c r="A156" s="93"/>
      <c r="B156" s="93"/>
      <c r="C156" s="93"/>
      <c r="D156" s="93"/>
      <c r="E156" s="93"/>
      <c r="F156" s="93"/>
      <c r="G156" s="93"/>
      <c r="H156" s="93"/>
      <c r="I156" s="128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</row>
    <row r="157" spans="1:29" ht="12.75" customHeight="1">
      <c r="A157" s="93"/>
      <c r="B157" s="93"/>
      <c r="C157" s="93"/>
      <c r="D157" s="93"/>
      <c r="E157" s="93"/>
      <c r="F157" s="93"/>
      <c r="G157" s="93"/>
      <c r="H157" s="93"/>
      <c r="I157" s="128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</row>
    <row r="158" spans="1:29" ht="12.75" customHeight="1">
      <c r="A158" s="93"/>
      <c r="B158" s="93"/>
      <c r="C158" s="93"/>
      <c r="D158" s="93"/>
      <c r="E158" s="93"/>
      <c r="F158" s="93"/>
      <c r="G158" s="93"/>
      <c r="H158" s="93"/>
      <c r="I158" s="128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</row>
    <row r="159" spans="1:29" ht="12.75" customHeight="1">
      <c r="A159" s="93"/>
      <c r="B159" s="93"/>
      <c r="C159" s="93"/>
      <c r="D159" s="93"/>
      <c r="E159" s="93"/>
      <c r="F159" s="93"/>
      <c r="G159" s="93"/>
      <c r="H159" s="93"/>
      <c r="I159" s="128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</row>
    <row r="160" spans="1:29" ht="12.75" customHeight="1">
      <c r="A160" s="93"/>
      <c r="B160" s="93"/>
      <c r="C160" s="93"/>
      <c r="D160" s="93"/>
      <c r="E160" s="93"/>
      <c r="F160" s="93"/>
      <c r="G160" s="93"/>
      <c r="H160" s="93"/>
      <c r="I160" s="128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</row>
    <row r="161" spans="1:29" ht="12.75" customHeight="1">
      <c r="A161" s="93"/>
      <c r="B161" s="93"/>
      <c r="C161" s="93"/>
      <c r="D161" s="93"/>
      <c r="E161" s="93"/>
      <c r="F161" s="93"/>
      <c r="G161" s="93"/>
      <c r="H161" s="93"/>
      <c r="I161" s="128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</row>
    <row r="162" spans="1:29" ht="12.75" customHeight="1">
      <c r="A162" s="93"/>
      <c r="B162" s="93"/>
      <c r="C162" s="93"/>
      <c r="D162" s="93"/>
      <c r="E162" s="93"/>
      <c r="F162" s="93"/>
      <c r="G162" s="93"/>
      <c r="H162" s="93"/>
      <c r="I162" s="128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</row>
    <row r="163" spans="1:29" ht="12.75" customHeight="1">
      <c r="A163" s="93"/>
      <c r="B163" s="93"/>
      <c r="C163" s="93"/>
      <c r="D163" s="93"/>
      <c r="E163" s="93"/>
      <c r="F163" s="93"/>
      <c r="G163" s="93"/>
      <c r="H163" s="93"/>
      <c r="I163" s="128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</row>
    <row r="164" spans="1:29" ht="12.75" customHeight="1">
      <c r="A164" s="93"/>
      <c r="B164" s="93"/>
      <c r="C164" s="93"/>
      <c r="D164" s="93"/>
      <c r="E164" s="93"/>
      <c r="F164" s="93"/>
      <c r="G164" s="93"/>
      <c r="H164" s="93"/>
      <c r="I164" s="128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</row>
    <row r="165" spans="1:29" ht="12.75" customHeight="1">
      <c r="A165" s="93"/>
      <c r="B165" s="93"/>
      <c r="C165" s="93"/>
      <c r="D165" s="93"/>
      <c r="E165" s="93"/>
      <c r="F165" s="93"/>
      <c r="G165" s="93"/>
      <c r="H165" s="93"/>
      <c r="I165" s="128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</row>
    <row r="166" spans="1:29" ht="12.75" customHeight="1">
      <c r="A166" s="93"/>
      <c r="B166" s="93"/>
      <c r="C166" s="93"/>
      <c r="D166" s="93"/>
      <c r="E166" s="93"/>
      <c r="F166" s="93"/>
      <c r="G166" s="93"/>
      <c r="H166" s="93"/>
      <c r="I166" s="128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</row>
    <row r="167" spans="1:29" ht="12.75" customHeight="1">
      <c r="A167" s="93"/>
      <c r="B167" s="93"/>
      <c r="C167" s="93"/>
      <c r="D167" s="93"/>
      <c r="E167" s="93"/>
      <c r="F167" s="93"/>
      <c r="G167" s="93"/>
      <c r="H167" s="93"/>
      <c r="I167" s="128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</row>
    <row r="168" spans="1:29" ht="12.75" customHeight="1">
      <c r="A168" s="93"/>
      <c r="B168" s="93"/>
      <c r="C168" s="93"/>
      <c r="D168" s="93"/>
      <c r="E168" s="93"/>
      <c r="F168" s="93"/>
      <c r="G168" s="93"/>
      <c r="H168" s="93"/>
      <c r="I168" s="128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</row>
    <row r="169" spans="1:29" ht="12.75" customHeight="1">
      <c r="A169" s="93"/>
      <c r="B169" s="93"/>
      <c r="C169" s="93"/>
      <c r="D169" s="93"/>
      <c r="E169" s="93"/>
      <c r="F169" s="93"/>
      <c r="G169" s="93"/>
      <c r="H169" s="93"/>
      <c r="I169" s="128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</row>
    <row r="170" spans="1:29" ht="12.75" customHeight="1">
      <c r="A170" s="93"/>
      <c r="B170" s="93"/>
      <c r="C170" s="93"/>
      <c r="D170" s="93"/>
      <c r="E170" s="93"/>
      <c r="F170" s="93"/>
      <c r="G170" s="93"/>
      <c r="H170" s="93"/>
      <c r="I170" s="128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</row>
    <row r="171" spans="1:29" ht="12.75" customHeight="1">
      <c r="A171" s="93"/>
      <c r="B171" s="93"/>
      <c r="C171" s="93"/>
      <c r="D171" s="93"/>
      <c r="E171" s="93"/>
      <c r="F171" s="93"/>
      <c r="G171" s="93"/>
      <c r="H171" s="93"/>
      <c r="I171" s="128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</row>
    <row r="172" spans="1:29" ht="12.75" customHeight="1">
      <c r="A172" s="93"/>
      <c r="B172" s="93"/>
      <c r="C172" s="93"/>
      <c r="D172" s="93"/>
      <c r="E172" s="93"/>
      <c r="F172" s="93"/>
      <c r="G172" s="93"/>
      <c r="H172" s="93"/>
      <c r="I172" s="128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</row>
    <row r="173" spans="1:29" ht="12.75" customHeight="1">
      <c r="A173" s="93"/>
      <c r="B173" s="93"/>
      <c r="C173" s="93"/>
      <c r="D173" s="93"/>
      <c r="E173" s="93"/>
      <c r="F173" s="93"/>
      <c r="G173" s="93"/>
      <c r="H173" s="93"/>
      <c r="I173" s="128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</row>
    <row r="174" spans="1:29" ht="12.75" customHeight="1">
      <c r="A174" s="93"/>
      <c r="B174" s="93"/>
      <c r="C174" s="93"/>
      <c r="D174" s="93"/>
      <c r="E174" s="93"/>
      <c r="F174" s="93"/>
      <c r="G174" s="93"/>
      <c r="H174" s="93"/>
      <c r="I174" s="128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</row>
    <row r="175" spans="1:29" ht="12.75" customHeight="1">
      <c r="A175" s="93"/>
      <c r="B175" s="93"/>
      <c r="C175" s="93"/>
      <c r="D175" s="93"/>
      <c r="E175" s="93"/>
      <c r="F175" s="93"/>
      <c r="G175" s="93"/>
      <c r="H175" s="93"/>
      <c r="I175" s="128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</row>
    <row r="176" spans="1:29" ht="12.75" customHeight="1">
      <c r="A176" s="93"/>
      <c r="B176" s="93"/>
      <c r="C176" s="93"/>
      <c r="D176" s="93"/>
      <c r="E176" s="93"/>
      <c r="F176" s="93"/>
      <c r="G176" s="93"/>
      <c r="H176" s="93"/>
      <c r="I176" s="128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</row>
    <row r="177" spans="1:29" ht="12.75" customHeight="1">
      <c r="A177" s="93"/>
      <c r="B177" s="93"/>
      <c r="C177" s="93"/>
      <c r="D177" s="93"/>
      <c r="E177" s="93"/>
      <c r="F177" s="93"/>
      <c r="G177" s="93"/>
      <c r="H177" s="93"/>
      <c r="I177" s="128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</row>
    <row r="178" spans="1:29" ht="12.75" customHeight="1">
      <c r="A178" s="93"/>
      <c r="B178" s="93"/>
      <c r="C178" s="93"/>
      <c r="D178" s="93"/>
      <c r="E178" s="93"/>
      <c r="F178" s="93"/>
      <c r="G178" s="93"/>
      <c r="H178" s="93"/>
      <c r="I178" s="128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</row>
    <row r="179" spans="1:29" ht="12.75" customHeight="1">
      <c r="A179" s="93"/>
      <c r="B179" s="93"/>
      <c r="C179" s="93"/>
      <c r="D179" s="93"/>
      <c r="E179" s="93"/>
      <c r="F179" s="93"/>
      <c r="G179" s="93"/>
      <c r="H179" s="93"/>
      <c r="I179" s="128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</row>
    <row r="180" spans="1:29" ht="12.75" customHeight="1">
      <c r="A180" s="93"/>
      <c r="B180" s="93"/>
      <c r="C180" s="93"/>
      <c r="D180" s="93"/>
      <c r="E180" s="93"/>
      <c r="F180" s="93"/>
      <c r="G180" s="93"/>
      <c r="H180" s="93"/>
      <c r="I180" s="128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</row>
    <row r="181" spans="1:29" ht="12.75" customHeight="1">
      <c r="A181" s="93"/>
      <c r="B181" s="93"/>
      <c r="C181" s="93"/>
      <c r="D181" s="93"/>
      <c r="E181" s="93"/>
      <c r="F181" s="93"/>
      <c r="G181" s="93"/>
      <c r="H181" s="93"/>
      <c r="I181" s="128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</row>
    <row r="182" spans="1:29" ht="12.75" customHeight="1">
      <c r="A182" s="93"/>
      <c r="B182" s="93"/>
      <c r="C182" s="93"/>
      <c r="D182" s="93"/>
      <c r="E182" s="93"/>
      <c r="F182" s="93"/>
      <c r="G182" s="93"/>
      <c r="H182" s="93"/>
      <c r="I182" s="128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</row>
    <row r="183" spans="1:29" ht="12.75" customHeight="1">
      <c r="A183" s="93"/>
      <c r="B183" s="93"/>
      <c r="C183" s="93"/>
      <c r="D183" s="93"/>
      <c r="E183" s="93"/>
      <c r="F183" s="93"/>
      <c r="G183" s="93"/>
      <c r="H183" s="93"/>
      <c r="I183" s="128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</row>
    <row r="184" spans="1:29" ht="12.75" customHeight="1">
      <c r="A184" s="93"/>
      <c r="B184" s="93"/>
      <c r="C184" s="93"/>
      <c r="D184" s="93"/>
      <c r="E184" s="93"/>
      <c r="F184" s="93"/>
      <c r="G184" s="93"/>
      <c r="H184" s="93"/>
      <c r="I184" s="128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</row>
    <row r="185" spans="1:29" ht="12.75" customHeight="1">
      <c r="A185" s="93"/>
      <c r="B185" s="93"/>
      <c r="C185" s="93"/>
      <c r="D185" s="93"/>
      <c r="E185" s="93"/>
      <c r="F185" s="93"/>
      <c r="G185" s="93"/>
      <c r="H185" s="93"/>
      <c r="I185" s="128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</row>
    <row r="186" spans="1:29" ht="12.75" customHeight="1">
      <c r="A186" s="93"/>
      <c r="B186" s="93"/>
      <c r="C186" s="93"/>
      <c r="D186" s="93"/>
      <c r="E186" s="93"/>
      <c r="F186" s="93"/>
      <c r="G186" s="93"/>
      <c r="H186" s="93"/>
      <c r="I186" s="128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</row>
    <row r="187" spans="1:29" ht="12.75" customHeight="1">
      <c r="A187" s="93"/>
      <c r="B187" s="93"/>
      <c r="C187" s="93"/>
      <c r="D187" s="93"/>
      <c r="E187" s="93"/>
      <c r="F187" s="93"/>
      <c r="G187" s="93"/>
      <c r="H187" s="93"/>
      <c r="I187" s="128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</row>
    <row r="188" spans="1:29" ht="12.75" customHeight="1">
      <c r="A188" s="93"/>
      <c r="B188" s="93"/>
      <c r="C188" s="93"/>
      <c r="D188" s="93"/>
      <c r="E188" s="93"/>
      <c r="F188" s="93"/>
      <c r="G188" s="93"/>
      <c r="H188" s="93"/>
      <c r="I188" s="128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</row>
    <row r="189" spans="1:29" ht="12.75" customHeight="1">
      <c r="A189" s="93"/>
      <c r="B189" s="93"/>
      <c r="C189" s="93"/>
      <c r="D189" s="93"/>
      <c r="E189" s="93"/>
      <c r="F189" s="93"/>
      <c r="G189" s="93"/>
      <c r="H189" s="93"/>
      <c r="I189" s="128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</row>
    <row r="190" spans="1:29" ht="12.75" customHeight="1">
      <c r="A190" s="93"/>
      <c r="B190" s="93"/>
      <c r="C190" s="93"/>
      <c r="D190" s="93"/>
      <c r="E190" s="93"/>
      <c r="F190" s="93"/>
      <c r="G190" s="93"/>
      <c r="H190" s="93"/>
      <c r="I190" s="128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</row>
    <row r="191" spans="1:29" ht="12.75" customHeight="1">
      <c r="A191" s="93"/>
      <c r="B191" s="93"/>
      <c r="C191" s="93"/>
      <c r="D191" s="93"/>
      <c r="E191" s="93"/>
      <c r="F191" s="93"/>
      <c r="G191" s="93"/>
      <c r="H191" s="93"/>
      <c r="I191" s="128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</row>
    <row r="192" spans="1:29" ht="12.75" customHeight="1">
      <c r="A192" s="93"/>
      <c r="B192" s="93"/>
      <c r="C192" s="93"/>
      <c r="D192" s="93"/>
      <c r="E192" s="93"/>
      <c r="F192" s="93"/>
      <c r="G192" s="93"/>
      <c r="H192" s="93"/>
      <c r="I192" s="128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</row>
    <row r="193" spans="1:29" ht="12.75" customHeight="1">
      <c r="A193" s="93"/>
      <c r="B193" s="93"/>
      <c r="C193" s="93"/>
      <c r="D193" s="93"/>
      <c r="E193" s="93"/>
      <c r="F193" s="93"/>
      <c r="G193" s="93"/>
      <c r="H193" s="93"/>
      <c r="I193" s="128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</row>
    <row r="194" spans="1:29" ht="12.75" customHeight="1">
      <c r="A194" s="93"/>
      <c r="B194" s="93"/>
      <c r="C194" s="93"/>
      <c r="D194" s="93"/>
      <c r="E194" s="93"/>
      <c r="F194" s="93"/>
      <c r="G194" s="93"/>
      <c r="H194" s="93"/>
      <c r="I194" s="128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</row>
    <row r="195" spans="1:29" ht="12.75" customHeight="1">
      <c r="A195" s="93"/>
      <c r="B195" s="93"/>
      <c r="C195" s="93"/>
      <c r="D195" s="93"/>
      <c r="E195" s="93"/>
      <c r="F195" s="93"/>
      <c r="G195" s="93"/>
      <c r="H195" s="93"/>
      <c r="I195" s="128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</row>
    <row r="196" spans="1:29" ht="12.75" customHeight="1">
      <c r="A196" s="93"/>
      <c r="B196" s="93"/>
      <c r="C196" s="93"/>
      <c r="D196" s="93"/>
      <c r="E196" s="93"/>
      <c r="F196" s="93"/>
      <c r="G196" s="93"/>
      <c r="H196" s="93"/>
      <c r="I196" s="128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</row>
    <row r="197" spans="1:29" ht="12.75" customHeight="1">
      <c r="A197" s="93"/>
      <c r="B197" s="93"/>
      <c r="C197" s="93"/>
      <c r="D197" s="93"/>
      <c r="E197" s="93"/>
      <c r="F197" s="93"/>
      <c r="G197" s="93"/>
      <c r="H197" s="93"/>
      <c r="I197" s="128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</row>
    <row r="198" spans="1:29" ht="12.75" customHeight="1">
      <c r="A198" s="93"/>
      <c r="B198" s="93"/>
      <c r="C198" s="93"/>
      <c r="D198" s="93"/>
      <c r="E198" s="93"/>
      <c r="F198" s="93"/>
      <c r="G198" s="93"/>
      <c r="H198" s="93"/>
      <c r="I198" s="128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</row>
    <row r="199" spans="1:29" ht="12.75" customHeight="1">
      <c r="A199" s="93"/>
      <c r="B199" s="93"/>
      <c r="C199" s="93"/>
      <c r="D199" s="93"/>
      <c r="E199" s="93"/>
      <c r="F199" s="93"/>
      <c r="G199" s="93"/>
      <c r="H199" s="93"/>
      <c r="I199" s="128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</row>
    <row r="200" spans="1:29" ht="12.75" customHeight="1">
      <c r="A200" s="93"/>
      <c r="B200" s="93"/>
      <c r="C200" s="93"/>
      <c r="D200" s="93"/>
      <c r="E200" s="93"/>
      <c r="F200" s="93"/>
      <c r="G200" s="93"/>
      <c r="H200" s="93"/>
      <c r="I200" s="128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</row>
    <row r="201" spans="1:29" ht="12.75" customHeight="1">
      <c r="A201" s="93"/>
      <c r="B201" s="93"/>
      <c r="C201" s="93"/>
      <c r="D201" s="93"/>
      <c r="E201" s="93"/>
      <c r="F201" s="93"/>
      <c r="G201" s="93"/>
      <c r="H201" s="93"/>
      <c r="I201" s="128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</row>
    <row r="202" spans="1:29" ht="12.75" customHeight="1">
      <c r="A202" s="93"/>
      <c r="B202" s="93"/>
      <c r="C202" s="93"/>
      <c r="D202" s="93"/>
      <c r="E202" s="93"/>
      <c r="F202" s="93"/>
      <c r="G202" s="93"/>
      <c r="H202" s="93"/>
      <c r="I202" s="128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</row>
    <row r="203" spans="1:29" ht="12.75" customHeight="1">
      <c r="A203" s="93"/>
      <c r="B203" s="93"/>
      <c r="C203" s="93"/>
      <c r="D203" s="93"/>
      <c r="E203" s="93"/>
      <c r="F203" s="93"/>
      <c r="G203" s="93"/>
      <c r="H203" s="93"/>
      <c r="I203" s="128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</row>
    <row r="204" spans="1:29" ht="12.75" customHeight="1">
      <c r="A204" s="93"/>
      <c r="B204" s="93"/>
      <c r="C204" s="93"/>
      <c r="D204" s="93"/>
      <c r="E204" s="93"/>
      <c r="F204" s="93"/>
      <c r="G204" s="93"/>
      <c r="H204" s="93"/>
      <c r="I204" s="128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</row>
    <row r="205" spans="1:29" ht="12.75" customHeight="1">
      <c r="A205" s="93"/>
      <c r="B205" s="93"/>
      <c r="C205" s="93"/>
      <c r="D205" s="93"/>
      <c r="E205" s="93"/>
      <c r="F205" s="93"/>
      <c r="G205" s="93"/>
      <c r="H205" s="93"/>
      <c r="I205" s="128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</row>
    <row r="206" spans="1:29" ht="12.75" customHeight="1">
      <c r="A206" s="93"/>
      <c r="B206" s="93"/>
      <c r="C206" s="93"/>
      <c r="D206" s="93"/>
      <c r="E206" s="93"/>
      <c r="F206" s="93"/>
      <c r="G206" s="93"/>
      <c r="H206" s="93"/>
      <c r="I206" s="128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</row>
    <row r="207" spans="1:29" ht="12.75" customHeight="1">
      <c r="A207" s="93"/>
      <c r="B207" s="93"/>
      <c r="C207" s="93"/>
      <c r="D207" s="93"/>
      <c r="E207" s="93"/>
      <c r="F207" s="93"/>
      <c r="G207" s="93"/>
      <c r="H207" s="93"/>
      <c r="I207" s="128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</row>
    <row r="208" spans="1:29" ht="12.75" customHeight="1">
      <c r="A208" s="93"/>
      <c r="B208" s="93"/>
      <c r="C208" s="93"/>
      <c r="D208" s="93"/>
      <c r="E208" s="93"/>
      <c r="F208" s="93"/>
      <c r="G208" s="93"/>
      <c r="H208" s="93"/>
      <c r="I208" s="128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</row>
    <row r="209" spans="1:29" ht="12.75" customHeight="1">
      <c r="A209" s="93"/>
      <c r="B209" s="93"/>
      <c r="C209" s="93"/>
      <c r="D209" s="93"/>
      <c r="E209" s="93"/>
      <c r="F209" s="93"/>
      <c r="G209" s="93"/>
      <c r="H209" s="93"/>
      <c r="I209" s="128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</row>
    <row r="210" spans="1:29" ht="12.75" customHeight="1">
      <c r="A210" s="93"/>
      <c r="B210" s="93"/>
      <c r="C210" s="93"/>
      <c r="D210" s="93"/>
      <c r="E210" s="93"/>
      <c r="F210" s="93"/>
      <c r="G210" s="93"/>
      <c r="H210" s="93"/>
      <c r="I210" s="128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</row>
    <row r="211" spans="1:29" ht="12.75" customHeight="1">
      <c r="A211" s="93"/>
      <c r="B211" s="93"/>
      <c r="C211" s="93"/>
      <c r="D211" s="93"/>
      <c r="E211" s="93"/>
      <c r="F211" s="93"/>
      <c r="G211" s="93"/>
      <c r="H211" s="93"/>
      <c r="I211" s="128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</row>
    <row r="212" spans="1:29" ht="12.75" customHeight="1">
      <c r="A212" s="93"/>
      <c r="B212" s="93"/>
      <c r="C212" s="93"/>
      <c r="D212" s="93"/>
      <c r="E212" s="93"/>
      <c r="F212" s="93"/>
      <c r="G212" s="93"/>
      <c r="H212" s="93"/>
      <c r="I212" s="128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</row>
    <row r="213" spans="1:29" ht="12.75" customHeight="1">
      <c r="A213" s="93"/>
      <c r="B213" s="93"/>
      <c r="C213" s="93"/>
      <c r="D213" s="93"/>
      <c r="E213" s="93"/>
      <c r="F213" s="93"/>
      <c r="G213" s="93"/>
      <c r="H213" s="93"/>
      <c r="I213" s="128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</row>
    <row r="214" spans="1:29" ht="12.75" customHeight="1">
      <c r="A214" s="93"/>
      <c r="B214" s="93"/>
      <c r="C214" s="93"/>
      <c r="D214" s="93"/>
      <c r="E214" s="93"/>
      <c r="F214" s="93"/>
      <c r="G214" s="93"/>
      <c r="H214" s="93"/>
      <c r="I214" s="128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</row>
    <row r="215" spans="1:29" ht="12.75" customHeight="1">
      <c r="A215" s="93"/>
      <c r="B215" s="93"/>
      <c r="C215" s="93"/>
      <c r="D215" s="93"/>
      <c r="E215" s="93"/>
      <c r="F215" s="93"/>
      <c r="G215" s="93"/>
      <c r="H215" s="93"/>
      <c r="I215" s="128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</row>
    <row r="216" spans="1:29" ht="12.75" customHeight="1">
      <c r="A216" s="93"/>
      <c r="B216" s="93"/>
      <c r="C216" s="93"/>
      <c r="D216" s="93"/>
      <c r="E216" s="93"/>
      <c r="F216" s="93"/>
      <c r="G216" s="93"/>
      <c r="H216" s="93"/>
      <c r="I216" s="128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</row>
    <row r="217" spans="1:29" ht="12.75" customHeight="1">
      <c r="A217" s="93"/>
      <c r="B217" s="93"/>
      <c r="C217" s="93"/>
      <c r="D217" s="93"/>
      <c r="E217" s="93"/>
      <c r="F217" s="93"/>
      <c r="G217" s="93"/>
      <c r="H217" s="93"/>
      <c r="I217" s="128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</row>
    <row r="218" spans="1:29" ht="12.75" customHeight="1">
      <c r="A218" s="93"/>
      <c r="B218" s="93"/>
      <c r="C218" s="93"/>
      <c r="D218" s="93"/>
      <c r="E218" s="93"/>
      <c r="F218" s="93"/>
      <c r="G218" s="93"/>
      <c r="H218" s="93"/>
      <c r="I218" s="128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</row>
    <row r="219" spans="1:29" ht="12.75" customHeight="1">
      <c r="A219" s="93"/>
      <c r="B219" s="93"/>
      <c r="C219" s="93"/>
      <c r="D219" s="93"/>
      <c r="E219" s="93"/>
      <c r="F219" s="93"/>
      <c r="G219" s="93"/>
      <c r="H219" s="93"/>
      <c r="I219" s="128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</row>
    <row r="220" spans="1:29" ht="12.75" customHeight="1">
      <c r="A220" s="93"/>
      <c r="B220" s="93"/>
      <c r="C220" s="93"/>
      <c r="D220" s="93"/>
      <c r="E220" s="93"/>
      <c r="F220" s="93"/>
      <c r="G220" s="93"/>
      <c r="H220" s="93"/>
      <c r="I220" s="128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</row>
    <row r="221" spans="1:29" ht="12.75" customHeight="1">
      <c r="A221" s="93"/>
      <c r="B221" s="93"/>
      <c r="C221" s="93"/>
      <c r="D221" s="93"/>
      <c r="E221" s="93"/>
      <c r="F221" s="93"/>
      <c r="G221" s="93"/>
      <c r="H221" s="93"/>
      <c r="I221" s="128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</row>
    <row r="222" spans="1:29" ht="12.75" customHeight="1">
      <c r="A222" s="93"/>
      <c r="B222" s="93"/>
      <c r="C222" s="93"/>
      <c r="D222" s="93"/>
      <c r="E222" s="93"/>
      <c r="F222" s="93"/>
      <c r="G222" s="93"/>
      <c r="H222" s="93"/>
      <c r="I222" s="128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</row>
    <row r="223" spans="1:29" ht="12.75" customHeight="1">
      <c r="A223" s="93"/>
      <c r="B223" s="93"/>
      <c r="C223" s="93"/>
      <c r="D223" s="93"/>
      <c r="E223" s="93"/>
      <c r="F223" s="93"/>
      <c r="G223" s="93"/>
      <c r="H223" s="93"/>
      <c r="I223" s="128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</row>
    <row r="224" spans="1:29" ht="12.75" customHeight="1">
      <c r="A224" s="93"/>
      <c r="B224" s="93"/>
      <c r="C224" s="93"/>
      <c r="D224" s="93"/>
      <c r="E224" s="93"/>
      <c r="F224" s="93"/>
      <c r="G224" s="93"/>
      <c r="H224" s="93"/>
      <c r="I224" s="128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</row>
    <row r="225" spans="1:29" ht="12.75" customHeight="1">
      <c r="A225" s="93"/>
      <c r="B225" s="93"/>
      <c r="C225" s="93"/>
      <c r="D225" s="93"/>
      <c r="E225" s="93"/>
      <c r="F225" s="93"/>
      <c r="G225" s="93"/>
      <c r="H225" s="93"/>
      <c r="I225" s="128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</row>
    <row r="226" spans="1:29" ht="12.75" customHeight="1">
      <c r="A226" s="93"/>
      <c r="B226" s="93"/>
      <c r="C226" s="93"/>
      <c r="D226" s="93"/>
      <c r="E226" s="93"/>
      <c r="F226" s="93"/>
      <c r="G226" s="93"/>
      <c r="H226" s="93"/>
      <c r="I226" s="128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</row>
    <row r="227" spans="1:29" ht="12.75" customHeight="1">
      <c r="A227" s="93"/>
      <c r="B227" s="93"/>
      <c r="C227" s="93"/>
      <c r="D227" s="93"/>
      <c r="E227" s="93"/>
      <c r="F227" s="93"/>
      <c r="G227" s="93"/>
      <c r="H227" s="93"/>
      <c r="I227" s="128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</row>
    <row r="228" spans="1:29" ht="12.75" customHeight="1">
      <c r="A228" s="93"/>
      <c r="B228" s="93"/>
      <c r="C228" s="93"/>
      <c r="D228" s="93"/>
      <c r="E228" s="93"/>
      <c r="F228" s="93"/>
      <c r="G228" s="93"/>
      <c r="H228" s="93"/>
      <c r="I228" s="128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</row>
    <row r="229" spans="1:29" ht="12.75" customHeight="1">
      <c r="A229" s="93"/>
      <c r="B229" s="93"/>
      <c r="C229" s="93"/>
      <c r="D229" s="93"/>
      <c r="E229" s="93"/>
      <c r="F229" s="93"/>
      <c r="G229" s="93"/>
      <c r="H229" s="93"/>
      <c r="I229" s="128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</row>
    <row r="230" spans="1:29" ht="12.75" customHeight="1">
      <c r="A230" s="93"/>
      <c r="B230" s="93"/>
      <c r="C230" s="93"/>
      <c r="D230" s="93"/>
      <c r="E230" s="93"/>
      <c r="F230" s="93"/>
      <c r="G230" s="93"/>
      <c r="H230" s="93"/>
      <c r="I230" s="128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</row>
    <row r="231" spans="1:29" ht="12.75" customHeight="1">
      <c r="A231" s="93"/>
      <c r="B231" s="93"/>
      <c r="C231" s="93"/>
      <c r="D231" s="93"/>
      <c r="E231" s="93"/>
      <c r="F231" s="93"/>
      <c r="G231" s="93"/>
      <c r="H231" s="93"/>
      <c r="I231" s="128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</row>
    <row r="232" spans="1:29" ht="12.75" customHeight="1">
      <c r="A232" s="93"/>
      <c r="B232" s="93"/>
      <c r="C232" s="93"/>
      <c r="D232" s="93"/>
      <c r="E232" s="93"/>
      <c r="F232" s="93"/>
      <c r="G232" s="93"/>
      <c r="H232" s="93"/>
      <c r="I232" s="128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</row>
    <row r="233" spans="1:29" ht="12.75" customHeight="1">
      <c r="A233" s="93"/>
      <c r="B233" s="93"/>
      <c r="C233" s="93"/>
      <c r="D233" s="93"/>
      <c r="E233" s="93"/>
      <c r="F233" s="93"/>
      <c r="G233" s="93"/>
      <c r="H233" s="93"/>
      <c r="I233" s="128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</row>
    <row r="234" spans="1:29" ht="12.75" customHeight="1">
      <c r="A234" s="93"/>
      <c r="B234" s="93"/>
      <c r="C234" s="93"/>
      <c r="D234" s="93"/>
      <c r="E234" s="93"/>
      <c r="F234" s="93"/>
      <c r="G234" s="93"/>
      <c r="H234" s="93"/>
      <c r="I234" s="128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</row>
    <row r="235" spans="1:29" ht="12.75" customHeight="1">
      <c r="A235" s="93"/>
      <c r="B235" s="93"/>
      <c r="C235" s="93"/>
      <c r="D235" s="93"/>
      <c r="E235" s="93"/>
      <c r="F235" s="93"/>
      <c r="G235" s="93"/>
      <c r="H235" s="93"/>
      <c r="I235" s="128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</row>
    <row r="236" spans="1:29" ht="12.75" customHeight="1">
      <c r="A236" s="93"/>
      <c r="B236" s="93"/>
      <c r="C236" s="93"/>
      <c r="D236" s="93"/>
      <c r="E236" s="93"/>
      <c r="F236" s="93"/>
      <c r="G236" s="93"/>
      <c r="H236" s="93"/>
      <c r="I236" s="128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</row>
    <row r="237" spans="1:29" ht="12.75" customHeight="1">
      <c r="A237" s="93"/>
      <c r="B237" s="93"/>
      <c r="C237" s="93"/>
      <c r="D237" s="93"/>
      <c r="E237" s="93"/>
      <c r="F237" s="93"/>
      <c r="G237" s="93"/>
      <c r="H237" s="93"/>
      <c r="I237" s="128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</row>
    <row r="238" spans="1:29" ht="12.75" customHeight="1">
      <c r="A238" s="93"/>
      <c r="B238" s="93"/>
      <c r="C238" s="93"/>
      <c r="D238" s="93"/>
      <c r="E238" s="93"/>
      <c r="F238" s="93"/>
      <c r="G238" s="93"/>
      <c r="H238" s="93"/>
      <c r="I238" s="128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</row>
    <row r="239" spans="1:29" ht="12.75" customHeight="1">
      <c r="A239" s="93"/>
      <c r="B239" s="93"/>
      <c r="C239" s="93"/>
      <c r="D239" s="93"/>
      <c r="E239" s="93"/>
      <c r="F239" s="93"/>
      <c r="G239" s="93"/>
      <c r="H239" s="93"/>
      <c r="I239" s="128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</row>
    <row r="240" spans="1:29" ht="12.75" customHeight="1">
      <c r="A240" s="93"/>
      <c r="B240" s="93"/>
      <c r="C240" s="93"/>
      <c r="D240" s="93"/>
      <c r="E240" s="93"/>
      <c r="F240" s="93"/>
      <c r="G240" s="93"/>
      <c r="H240" s="93"/>
      <c r="I240" s="128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</row>
    <row r="241" spans="1:29" ht="12.75" customHeight="1">
      <c r="A241" s="93"/>
      <c r="B241" s="93"/>
      <c r="C241" s="93"/>
      <c r="D241" s="93"/>
      <c r="E241" s="93"/>
      <c r="F241" s="93"/>
      <c r="G241" s="93"/>
      <c r="H241" s="93"/>
      <c r="I241" s="128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</row>
    <row r="242" spans="1:29" ht="12.75" customHeight="1">
      <c r="A242" s="93"/>
      <c r="B242" s="93"/>
      <c r="C242" s="93"/>
      <c r="D242" s="93"/>
      <c r="E242" s="93"/>
      <c r="F242" s="93"/>
      <c r="G242" s="93"/>
      <c r="H242" s="93"/>
      <c r="I242" s="128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</row>
    <row r="243" spans="1:29" ht="12.75" customHeight="1">
      <c r="A243" s="93"/>
      <c r="B243" s="93"/>
      <c r="C243" s="93"/>
      <c r="D243" s="93"/>
      <c r="E243" s="93"/>
      <c r="F243" s="93"/>
      <c r="G243" s="93"/>
      <c r="H243" s="93"/>
      <c r="I243" s="128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</row>
    <row r="244" spans="1:29" ht="12.75" customHeight="1">
      <c r="A244" s="93"/>
      <c r="B244" s="93"/>
      <c r="C244" s="93"/>
      <c r="D244" s="93"/>
      <c r="E244" s="93"/>
      <c r="F244" s="93"/>
      <c r="G244" s="93"/>
      <c r="H244" s="93"/>
      <c r="I244" s="128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</row>
    <row r="245" spans="1:29" ht="12.75" customHeight="1">
      <c r="A245" s="93"/>
      <c r="B245" s="93"/>
      <c r="C245" s="93"/>
      <c r="D245" s="93"/>
      <c r="E245" s="93"/>
      <c r="F245" s="93"/>
      <c r="G245" s="93"/>
      <c r="H245" s="93"/>
      <c r="I245" s="128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</row>
    <row r="246" spans="1:29" ht="12.75" customHeight="1">
      <c r="A246" s="93"/>
      <c r="B246" s="93"/>
      <c r="C246" s="93"/>
      <c r="D246" s="93"/>
      <c r="E246" s="93"/>
      <c r="F246" s="93"/>
      <c r="G246" s="93"/>
      <c r="H246" s="93"/>
      <c r="I246" s="128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</row>
    <row r="247" spans="1:29" ht="12.75" customHeight="1">
      <c r="A247" s="93"/>
      <c r="B247" s="93"/>
      <c r="C247" s="93"/>
      <c r="D247" s="93"/>
      <c r="E247" s="93"/>
      <c r="F247" s="93"/>
      <c r="G247" s="93"/>
      <c r="H247" s="93"/>
      <c r="I247" s="128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</row>
    <row r="248" spans="1:29" ht="12.75" customHeight="1">
      <c r="A248" s="93"/>
      <c r="B248" s="93"/>
      <c r="C248" s="93"/>
      <c r="D248" s="93"/>
      <c r="E248" s="93"/>
      <c r="F248" s="93"/>
      <c r="G248" s="93"/>
      <c r="H248" s="93"/>
      <c r="I248" s="128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</row>
    <row r="249" spans="1:29" ht="12.75" customHeight="1">
      <c r="A249" s="93"/>
      <c r="B249" s="93"/>
      <c r="C249" s="93"/>
      <c r="D249" s="93"/>
      <c r="E249" s="93"/>
      <c r="F249" s="93"/>
      <c r="G249" s="93"/>
      <c r="H249" s="93"/>
      <c r="I249" s="128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</row>
    <row r="250" spans="1:29" ht="12.75" customHeight="1">
      <c r="A250" s="93"/>
      <c r="B250" s="93"/>
      <c r="C250" s="93"/>
      <c r="D250" s="93"/>
      <c r="E250" s="93"/>
      <c r="F250" s="93"/>
      <c r="G250" s="93"/>
      <c r="H250" s="93"/>
      <c r="I250" s="128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</row>
    <row r="251" spans="1:29" ht="12.75" customHeight="1">
      <c r="A251" s="93"/>
      <c r="B251" s="93"/>
      <c r="C251" s="93"/>
      <c r="D251" s="93"/>
      <c r="E251" s="93"/>
      <c r="F251" s="93"/>
      <c r="G251" s="93"/>
      <c r="H251" s="93"/>
      <c r="I251" s="128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</row>
    <row r="252" spans="1:29" ht="12.75" customHeight="1">
      <c r="A252" s="93"/>
      <c r="B252" s="93"/>
      <c r="C252" s="93"/>
      <c r="D252" s="93"/>
      <c r="E252" s="93"/>
      <c r="F252" s="93"/>
      <c r="G252" s="93"/>
      <c r="H252" s="93"/>
      <c r="I252" s="128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</row>
    <row r="253" spans="1:29" ht="12.75" customHeight="1">
      <c r="A253" s="93"/>
      <c r="B253" s="93"/>
      <c r="C253" s="93"/>
      <c r="D253" s="93"/>
      <c r="E253" s="93"/>
      <c r="F253" s="93"/>
      <c r="G253" s="93"/>
      <c r="H253" s="93"/>
      <c r="I253" s="128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</row>
    <row r="254" spans="1:29" ht="12.75" customHeight="1">
      <c r="A254" s="93"/>
      <c r="B254" s="93"/>
      <c r="C254" s="93"/>
      <c r="D254" s="93"/>
      <c r="E254" s="93"/>
      <c r="F254" s="93"/>
      <c r="G254" s="93"/>
      <c r="H254" s="93"/>
      <c r="I254" s="128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</row>
    <row r="255" spans="1:29" ht="12.75" customHeight="1">
      <c r="A255" s="93"/>
      <c r="B255" s="93"/>
      <c r="C255" s="93"/>
      <c r="D255" s="93"/>
      <c r="E255" s="93"/>
      <c r="F255" s="93"/>
      <c r="G255" s="93"/>
      <c r="H255" s="93"/>
      <c r="I255" s="128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</row>
    <row r="256" spans="1:29" ht="12.75" customHeight="1">
      <c r="A256" s="93"/>
      <c r="B256" s="93"/>
      <c r="C256" s="93"/>
      <c r="D256" s="93"/>
      <c r="E256" s="93"/>
      <c r="F256" s="93"/>
      <c r="G256" s="93"/>
      <c r="H256" s="93"/>
      <c r="I256" s="128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</row>
    <row r="257" spans="1:29" ht="12.75" customHeight="1">
      <c r="A257" s="93"/>
      <c r="B257" s="93"/>
      <c r="C257" s="93"/>
      <c r="D257" s="93"/>
      <c r="E257" s="93"/>
      <c r="F257" s="93"/>
      <c r="G257" s="93"/>
      <c r="H257" s="93"/>
      <c r="I257" s="128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</row>
    <row r="258" spans="1:29" ht="12.75" customHeight="1">
      <c r="A258" s="93"/>
      <c r="B258" s="93"/>
      <c r="C258" s="93"/>
      <c r="D258" s="93"/>
      <c r="E258" s="93"/>
      <c r="F258" s="93"/>
      <c r="G258" s="93"/>
      <c r="H258" s="93"/>
      <c r="I258" s="128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</row>
    <row r="259" spans="1:29" ht="12.75" customHeight="1">
      <c r="A259" s="93"/>
      <c r="B259" s="93"/>
      <c r="C259" s="93"/>
      <c r="D259" s="93"/>
      <c r="E259" s="93"/>
      <c r="F259" s="93"/>
      <c r="G259" s="93"/>
      <c r="H259" s="93"/>
      <c r="I259" s="128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</row>
    <row r="260" spans="1:29" ht="12.75" customHeight="1">
      <c r="A260" s="93"/>
      <c r="B260" s="93"/>
      <c r="C260" s="93"/>
      <c r="D260" s="93"/>
      <c r="E260" s="93"/>
      <c r="F260" s="93"/>
      <c r="G260" s="93"/>
      <c r="H260" s="93"/>
      <c r="I260" s="128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</row>
    <row r="261" spans="1:29" ht="12.75" customHeight="1">
      <c r="A261" s="93"/>
      <c r="B261" s="93"/>
      <c r="C261" s="93"/>
      <c r="D261" s="93"/>
      <c r="E261" s="93"/>
      <c r="F261" s="93"/>
      <c r="G261" s="93"/>
      <c r="H261" s="93"/>
      <c r="I261" s="128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</row>
    <row r="262" spans="1:29" ht="12.75" customHeight="1">
      <c r="A262" s="93"/>
      <c r="B262" s="93"/>
      <c r="C262" s="93"/>
      <c r="D262" s="93"/>
      <c r="E262" s="93"/>
      <c r="F262" s="93"/>
      <c r="G262" s="93"/>
      <c r="H262" s="93"/>
      <c r="I262" s="128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</row>
    <row r="263" spans="1:29" ht="12.75" customHeight="1">
      <c r="A263" s="93"/>
      <c r="B263" s="93"/>
      <c r="C263" s="93"/>
      <c r="D263" s="93"/>
      <c r="E263" s="93"/>
      <c r="F263" s="93"/>
      <c r="G263" s="93"/>
      <c r="H263" s="93"/>
      <c r="I263" s="128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</row>
    <row r="264" spans="1:29" ht="12.75" customHeight="1">
      <c r="A264" s="93"/>
      <c r="B264" s="93"/>
      <c r="C264" s="93"/>
      <c r="D264" s="93"/>
      <c r="E264" s="93"/>
      <c r="F264" s="93"/>
      <c r="G264" s="93"/>
      <c r="H264" s="93"/>
      <c r="I264" s="128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</row>
    <row r="265" spans="1:29" ht="12.75" customHeight="1">
      <c r="A265" s="93"/>
      <c r="B265" s="93"/>
      <c r="C265" s="93"/>
      <c r="D265" s="93"/>
      <c r="E265" s="93"/>
      <c r="F265" s="93"/>
      <c r="G265" s="93"/>
      <c r="H265" s="93"/>
      <c r="I265" s="128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</row>
    <row r="266" spans="1:29" ht="12.75" customHeight="1">
      <c r="A266" s="93"/>
      <c r="B266" s="93"/>
      <c r="C266" s="93"/>
      <c r="D266" s="93"/>
      <c r="E266" s="93"/>
      <c r="F266" s="93"/>
      <c r="G266" s="93"/>
      <c r="H266" s="93"/>
      <c r="I266" s="128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</row>
    <row r="267" spans="1:29" ht="12.75" customHeight="1">
      <c r="A267" s="93"/>
      <c r="B267" s="93"/>
      <c r="C267" s="93"/>
      <c r="D267" s="93"/>
      <c r="E267" s="93"/>
      <c r="F267" s="93"/>
      <c r="G267" s="93"/>
      <c r="H267" s="93"/>
      <c r="I267" s="128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</row>
    <row r="268" spans="1:29" ht="12.75" customHeight="1">
      <c r="A268" s="93"/>
      <c r="B268" s="93"/>
      <c r="C268" s="93"/>
      <c r="D268" s="93"/>
      <c r="E268" s="93"/>
      <c r="F268" s="93"/>
      <c r="G268" s="93"/>
      <c r="H268" s="93"/>
      <c r="I268" s="128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</row>
    <row r="269" spans="1:29" ht="12.75" customHeight="1">
      <c r="A269" s="93"/>
      <c r="B269" s="93"/>
      <c r="C269" s="93"/>
      <c r="D269" s="93"/>
      <c r="E269" s="93"/>
      <c r="F269" s="93"/>
      <c r="G269" s="93"/>
      <c r="H269" s="93"/>
      <c r="I269" s="128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</row>
    <row r="270" spans="1:29" ht="12.75" customHeight="1">
      <c r="A270" s="93"/>
      <c r="B270" s="93"/>
      <c r="C270" s="93"/>
      <c r="D270" s="93"/>
      <c r="E270" s="93"/>
      <c r="F270" s="93"/>
      <c r="G270" s="93"/>
      <c r="H270" s="93"/>
      <c r="I270" s="128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</row>
    <row r="271" spans="1:29" ht="12.75" customHeight="1">
      <c r="A271" s="93"/>
      <c r="B271" s="93"/>
      <c r="C271" s="93"/>
      <c r="D271" s="93"/>
      <c r="E271" s="93"/>
      <c r="F271" s="93"/>
      <c r="G271" s="93"/>
      <c r="H271" s="93"/>
      <c r="I271" s="128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</row>
    <row r="272" spans="1:29" ht="12.75" customHeight="1">
      <c r="A272" s="93"/>
      <c r="B272" s="93"/>
      <c r="C272" s="93"/>
      <c r="D272" s="93"/>
      <c r="E272" s="93"/>
      <c r="F272" s="93"/>
      <c r="G272" s="93"/>
      <c r="H272" s="93"/>
      <c r="I272" s="128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</row>
    <row r="273" spans="1:29" ht="12.75" customHeight="1">
      <c r="A273" s="93"/>
      <c r="B273" s="93"/>
      <c r="C273" s="93"/>
      <c r="D273" s="93"/>
      <c r="E273" s="93"/>
      <c r="F273" s="93"/>
      <c r="G273" s="93"/>
      <c r="H273" s="93"/>
      <c r="I273" s="128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</row>
    <row r="274" spans="1:29" ht="12.75" customHeight="1">
      <c r="A274" s="93"/>
      <c r="B274" s="93"/>
      <c r="C274" s="93"/>
      <c r="D274" s="93"/>
      <c r="E274" s="93"/>
      <c r="F274" s="93"/>
      <c r="G274" s="93"/>
      <c r="H274" s="93"/>
      <c r="I274" s="128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</row>
    <row r="275" spans="1:29" ht="12.75" customHeight="1">
      <c r="A275" s="93"/>
      <c r="B275" s="93"/>
      <c r="C275" s="93"/>
      <c r="D275" s="93"/>
      <c r="E275" s="93"/>
      <c r="F275" s="93"/>
      <c r="G275" s="93"/>
      <c r="H275" s="93"/>
      <c r="I275" s="128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</row>
    <row r="276" spans="1:29" ht="12.75" customHeight="1">
      <c r="A276" s="93"/>
      <c r="B276" s="93"/>
      <c r="C276" s="93"/>
      <c r="D276" s="93"/>
      <c r="E276" s="93"/>
      <c r="F276" s="93"/>
      <c r="G276" s="93"/>
      <c r="H276" s="93"/>
      <c r="I276" s="128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</row>
    <row r="277" spans="1:29" ht="12.75" customHeight="1">
      <c r="A277" s="93"/>
      <c r="B277" s="93"/>
      <c r="C277" s="93"/>
      <c r="D277" s="93"/>
      <c r="E277" s="93"/>
      <c r="F277" s="93"/>
      <c r="G277" s="93"/>
      <c r="H277" s="93"/>
      <c r="I277" s="128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</row>
    <row r="278" spans="1:29" ht="12.75" customHeight="1">
      <c r="A278" s="93"/>
      <c r="B278" s="93"/>
      <c r="C278" s="93"/>
      <c r="D278" s="93"/>
      <c r="E278" s="93"/>
      <c r="F278" s="93"/>
      <c r="G278" s="93"/>
      <c r="H278" s="93"/>
      <c r="I278" s="128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</row>
    <row r="279" spans="1:29" ht="12.75" customHeight="1">
      <c r="A279" s="93"/>
      <c r="B279" s="93"/>
      <c r="C279" s="93"/>
      <c r="D279" s="93"/>
      <c r="E279" s="93"/>
      <c r="F279" s="93"/>
      <c r="G279" s="93"/>
      <c r="H279" s="93"/>
      <c r="I279" s="128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</row>
    <row r="280" spans="1:29" ht="12.75" customHeight="1">
      <c r="A280" s="93"/>
      <c r="B280" s="93"/>
      <c r="C280" s="93"/>
      <c r="D280" s="93"/>
      <c r="E280" s="93"/>
      <c r="F280" s="93"/>
      <c r="G280" s="93"/>
      <c r="H280" s="93"/>
      <c r="I280" s="128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</row>
    <row r="281" spans="1:29" ht="12.75" customHeight="1">
      <c r="A281" s="93"/>
      <c r="B281" s="93"/>
      <c r="C281" s="93"/>
      <c r="D281" s="93"/>
      <c r="E281" s="93"/>
      <c r="F281" s="93"/>
      <c r="G281" s="93"/>
      <c r="H281" s="93"/>
      <c r="I281" s="128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</row>
    <row r="282" spans="1:29" ht="12.75" customHeight="1">
      <c r="A282" s="93"/>
      <c r="B282" s="93"/>
      <c r="C282" s="93"/>
      <c r="D282" s="93"/>
      <c r="E282" s="93"/>
      <c r="F282" s="93"/>
      <c r="G282" s="93"/>
      <c r="H282" s="93"/>
      <c r="I282" s="128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</row>
    <row r="283" spans="1:29" ht="12.75" customHeight="1">
      <c r="A283" s="93"/>
      <c r="B283" s="93"/>
      <c r="C283" s="93"/>
      <c r="D283" s="93"/>
      <c r="E283" s="93"/>
      <c r="F283" s="93"/>
      <c r="G283" s="93"/>
      <c r="H283" s="93"/>
      <c r="I283" s="128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</row>
    <row r="284" spans="1:29" ht="12.75" customHeight="1">
      <c r="A284" s="93"/>
      <c r="B284" s="93"/>
      <c r="C284" s="93"/>
      <c r="D284" s="93"/>
      <c r="E284" s="93"/>
      <c r="F284" s="93"/>
      <c r="G284" s="93"/>
      <c r="H284" s="93"/>
      <c r="I284" s="128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</row>
    <row r="285" spans="1:29" ht="12.75" customHeight="1">
      <c r="A285" s="93"/>
      <c r="B285" s="93"/>
      <c r="C285" s="93"/>
      <c r="D285" s="93"/>
      <c r="E285" s="93"/>
      <c r="F285" s="93"/>
      <c r="G285" s="93"/>
      <c r="H285" s="93"/>
      <c r="I285" s="128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</row>
    <row r="286" spans="1:29" ht="12.75" customHeight="1">
      <c r="A286" s="93"/>
      <c r="B286" s="93"/>
      <c r="C286" s="93"/>
      <c r="D286" s="93"/>
      <c r="E286" s="93"/>
      <c r="F286" s="93"/>
      <c r="G286" s="93"/>
      <c r="H286" s="93"/>
      <c r="I286" s="128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</row>
    <row r="287" spans="1:29" ht="12.75" customHeight="1">
      <c r="A287" s="93"/>
      <c r="B287" s="93"/>
      <c r="C287" s="93"/>
      <c r="D287" s="93"/>
      <c r="E287" s="93"/>
      <c r="F287" s="93"/>
      <c r="G287" s="93"/>
      <c r="H287" s="93"/>
      <c r="I287" s="128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</row>
    <row r="288" spans="1:29" ht="12.75" customHeight="1">
      <c r="A288" s="93"/>
      <c r="B288" s="93"/>
      <c r="C288" s="93"/>
      <c r="D288" s="93"/>
      <c r="E288" s="93"/>
      <c r="F288" s="93"/>
      <c r="G288" s="93"/>
      <c r="H288" s="93"/>
      <c r="I288" s="128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</row>
    <row r="289" spans="1:29" ht="12.75" customHeight="1">
      <c r="A289" s="93"/>
      <c r="B289" s="93"/>
      <c r="C289" s="93"/>
      <c r="D289" s="93"/>
      <c r="E289" s="93"/>
      <c r="F289" s="93"/>
      <c r="G289" s="93"/>
      <c r="H289" s="93"/>
      <c r="I289" s="128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</row>
    <row r="290" spans="1:29" ht="12.75" customHeight="1">
      <c r="A290" s="93"/>
      <c r="B290" s="93"/>
      <c r="C290" s="93"/>
      <c r="D290" s="93"/>
      <c r="E290" s="93"/>
      <c r="F290" s="93"/>
      <c r="G290" s="93"/>
      <c r="H290" s="93"/>
      <c r="I290" s="128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</row>
    <row r="291" spans="1:29" ht="12.75" customHeight="1">
      <c r="A291" s="93"/>
      <c r="B291" s="93"/>
      <c r="C291" s="93"/>
      <c r="D291" s="93"/>
      <c r="E291" s="93"/>
      <c r="F291" s="93"/>
      <c r="G291" s="93"/>
      <c r="H291" s="93"/>
      <c r="I291" s="128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</row>
    <row r="292" spans="1:29" ht="12.75" customHeight="1">
      <c r="A292" s="93"/>
      <c r="B292" s="93"/>
      <c r="C292" s="93"/>
      <c r="D292" s="93"/>
      <c r="E292" s="93"/>
      <c r="F292" s="93"/>
      <c r="G292" s="93"/>
      <c r="H292" s="93"/>
      <c r="I292" s="128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</row>
    <row r="293" spans="1:29" ht="12.75" customHeight="1">
      <c r="A293" s="93"/>
      <c r="B293" s="93"/>
      <c r="C293" s="93"/>
      <c r="D293" s="93"/>
      <c r="E293" s="93"/>
      <c r="F293" s="93"/>
      <c r="G293" s="93"/>
      <c r="H293" s="93"/>
      <c r="I293" s="128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</row>
    <row r="294" spans="1:29" ht="12.75" customHeight="1">
      <c r="A294" s="93"/>
      <c r="B294" s="93"/>
      <c r="C294" s="93"/>
      <c r="D294" s="93"/>
      <c r="E294" s="93"/>
      <c r="F294" s="93"/>
      <c r="G294" s="93"/>
      <c r="H294" s="93"/>
      <c r="I294" s="128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</row>
    <row r="295" spans="1:29" ht="12.75" customHeight="1">
      <c r="A295" s="93"/>
      <c r="B295" s="93"/>
      <c r="C295" s="93"/>
      <c r="D295" s="93"/>
      <c r="E295" s="93"/>
      <c r="F295" s="93"/>
      <c r="G295" s="93"/>
      <c r="H295" s="93"/>
      <c r="I295" s="128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</row>
    <row r="296" spans="1:29" ht="12.75" customHeight="1">
      <c r="A296" s="93"/>
      <c r="B296" s="93"/>
      <c r="C296" s="93"/>
      <c r="D296" s="93"/>
      <c r="E296" s="93"/>
      <c r="F296" s="93"/>
      <c r="G296" s="93"/>
      <c r="H296" s="93"/>
      <c r="I296" s="128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</row>
    <row r="297" spans="1:29" ht="12.75" customHeight="1">
      <c r="A297" s="93"/>
      <c r="B297" s="93"/>
      <c r="C297" s="93"/>
      <c r="D297" s="93"/>
      <c r="E297" s="93"/>
      <c r="F297" s="93"/>
      <c r="G297" s="93"/>
      <c r="H297" s="93"/>
      <c r="I297" s="128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</row>
    <row r="298" spans="1:29" ht="12.75" customHeight="1">
      <c r="A298" s="93"/>
      <c r="B298" s="93"/>
      <c r="C298" s="93"/>
      <c r="D298" s="93"/>
      <c r="E298" s="93"/>
      <c r="F298" s="93"/>
      <c r="G298" s="93"/>
      <c r="H298" s="93"/>
      <c r="I298" s="128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</row>
    <row r="299" spans="1:29" ht="12.75" customHeight="1">
      <c r="A299" s="93"/>
      <c r="B299" s="93"/>
      <c r="C299" s="93"/>
      <c r="D299" s="93"/>
      <c r="E299" s="93"/>
      <c r="F299" s="93"/>
      <c r="G299" s="93"/>
      <c r="H299" s="93"/>
      <c r="I299" s="128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</row>
    <row r="300" spans="1:29" ht="12.75" customHeight="1">
      <c r="A300" s="93"/>
      <c r="B300" s="93"/>
      <c r="C300" s="93"/>
      <c r="D300" s="93"/>
      <c r="E300" s="93"/>
      <c r="F300" s="93"/>
      <c r="G300" s="93"/>
      <c r="H300" s="93"/>
      <c r="I300" s="128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</row>
    <row r="301" spans="1:29" ht="12.75" customHeight="1">
      <c r="A301" s="93"/>
      <c r="B301" s="93"/>
      <c r="C301" s="93"/>
      <c r="D301" s="93"/>
      <c r="E301" s="93"/>
      <c r="F301" s="93"/>
      <c r="G301" s="93"/>
      <c r="H301" s="93"/>
      <c r="I301" s="128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</row>
    <row r="302" spans="1:29" ht="12.75" customHeight="1">
      <c r="A302" s="93"/>
      <c r="B302" s="93"/>
      <c r="C302" s="93"/>
      <c r="D302" s="93"/>
      <c r="E302" s="93"/>
      <c r="F302" s="93"/>
      <c r="G302" s="93"/>
      <c r="H302" s="93"/>
      <c r="I302" s="128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</row>
    <row r="303" spans="1:29" ht="12.75" customHeight="1">
      <c r="A303" s="93"/>
      <c r="B303" s="93"/>
      <c r="C303" s="93"/>
      <c r="D303" s="93"/>
      <c r="E303" s="93"/>
      <c r="F303" s="93"/>
      <c r="G303" s="93"/>
      <c r="H303" s="93"/>
      <c r="I303" s="128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</row>
    <row r="304" spans="1:29" ht="12.75" customHeight="1">
      <c r="A304" s="93"/>
      <c r="B304" s="93"/>
      <c r="C304" s="93"/>
      <c r="D304" s="93"/>
      <c r="E304" s="93"/>
      <c r="F304" s="93"/>
      <c r="G304" s="93"/>
      <c r="H304" s="93"/>
      <c r="I304" s="128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</row>
    <row r="305" spans="1:29" ht="12.75" customHeight="1">
      <c r="A305" s="93"/>
      <c r="B305" s="93"/>
      <c r="C305" s="93"/>
      <c r="D305" s="93"/>
      <c r="E305" s="93"/>
      <c r="F305" s="93"/>
      <c r="G305" s="93"/>
      <c r="H305" s="93"/>
      <c r="I305" s="128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</row>
    <row r="306" spans="1:29" ht="12.75" customHeight="1">
      <c r="A306" s="93"/>
      <c r="B306" s="93"/>
      <c r="C306" s="93"/>
      <c r="D306" s="93"/>
      <c r="E306" s="93"/>
      <c r="F306" s="93"/>
      <c r="G306" s="93"/>
      <c r="H306" s="93"/>
      <c r="I306" s="128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</row>
    <row r="307" spans="1:29" ht="12.75" customHeight="1">
      <c r="A307" s="93"/>
      <c r="B307" s="93"/>
      <c r="C307" s="93"/>
      <c r="D307" s="93"/>
      <c r="E307" s="93"/>
      <c r="F307" s="93"/>
      <c r="G307" s="93"/>
      <c r="H307" s="93"/>
      <c r="I307" s="128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</row>
    <row r="308" spans="1:29" ht="12.75" customHeight="1">
      <c r="A308" s="93"/>
      <c r="B308" s="93"/>
      <c r="C308" s="93"/>
      <c r="D308" s="93"/>
      <c r="E308" s="93"/>
      <c r="F308" s="93"/>
      <c r="G308" s="93"/>
      <c r="H308" s="93"/>
      <c r="I308" s="128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</row>
    <row r="309" spans="1:29" ht="12.75" customHeight="1">
      <c r="A309" s="93"/>
      <c r="B309" s="93"/>
      <c r="C309" s="93"/>
      <c r="D309" s="93"/>
      <c r="E309" s="93"/>
      <c r="F309" s="93"/>
      <c r="G309" s="93"/>
      <c r="H309" s="93"/>
      <c r="I309" s="128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</row>
    <row r="310" spans="1:29" ht="12.75" customHeight="1">
      <c r="A310" s="93"/>
      <c r="B310" s="93"/>
      <c r="C310" s="93"/>
      <c r="D310" s="93"/>
      <c r="E310" s="93"/>
      <c r="F310" s="93"/>
      <c r="G310" s="93"/>
      <c r="H310" s="93"/>
      <c r="I310" s="128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</row>
    <row r="311" spans="1:29" ht="12.75" customHeight="1">
      <c r="A311" s="93"/>
      <c r="B311" s="93"/>
      <c r="C311" s="93"/>
      <c r="D311" s="93"/>
      <c r="E311" s="93"/>
      <c r="F311" s="93"/>
      <c r="G311" s="93"/>
      <c r="H311" s="93"/>
      <c r="I311" s="128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</row>
    <row r="312" spans="1:29" ht="12.75" customHeight="1">
      <c r="A312" s="93"/>
      <c r="B312" s="93"/>
      <c r="C312" s="93"/>
      <c r="D312" s="93"/>
      <c r="E312" s="93"/>
      <c r="F312" s="93"/>
      <c r="G312" s="93"/>
      <c r="H312" s="93"/>
      <c r="I312" s="128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</row>
    <row r="313" spans="1:29" ht="12.75" customHeight="1">
      <c r="A313" s="93"/>
      <c r="B313" s="93"/>
      <c r="C313" s="93"/>
      <c r="D313" s="93"/>
      <c r="E313" s="93"/>
      <c r="F313" s="93"/>
      <c r="G313" s="93"/>
      <c r="H313" s="93"/>
      <c r="I313" s="128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</row>
    <row r="314" spans="1:29" ht="12.75" customHeight="1">
      <c r="A314" s="93"/>
      <c r="B314" s="93"/>
      <c r="C314" s="93"/>
      <c r="D314" s="93"/>
      <c r="E314" s="93"/>
      <c r="F314" s="93"/>
      <c r="G314" s="93"/>
      <c r="H314" s="93"/>
      <c r="I314" s="128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</row>
    <row r="315" spans="1:29" ht="12.75" customHeight="1">
      <c r="A315" s="93"/>
      <c r="B315" s="93"/>
      <c r="C315" s="93"/>
      <c r="D315" s="93"/>
      <c r="E315" s="93"/>
      <c r="F315" s="93"/>
      <c r="G315" s="93"/>
      <c r="H315" s="93"/>
      <c r="I315" s="128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</row>
    <row r="316" spans="1:29" ht="12.75" customHeight="1">
      <c r="A316" s="93"/>
      <c r="B316" s="93"/>
      <c r="C316" s="93"/>
      <c r="D316" s="93"/>
      <c r="E316" s="93"/>
      <c r="F316" s="93"/>
      <c r="G316" s="93"/>
      <c r="H316" s="93"/>
      <c r="I316" s="128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</row>
    <row r="317" spans="1:29" ht="12.75" customHeight="1">
      <c r="A317" s="93"/>
      <c r="B317" s="93"/>
      <c r="C317" s="93"/>
      <c r="D317" s="93"/>
      <c r="E317" s="93"/>
      <c r="F317" s="93"/>
      <c r="G317" s="93"/>
      <c r="H317" s="93"/>
      <c r="I317" s="128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</row>
    <row r="318" spans="1:29" ht="12.75" customHeight="1">
      <c r="A318" s="93"/>
      <c r="B318" s="93"/>
      <c r="C318" s="93"/>
      <c r="D318" s="93"/>
      <c r="E318" s="93"/>
      <c r="F318" s="93"/>
      <c r="G318" s="93"/>
      <c r="H318" s="93"/>
      <c r="I318" s="128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</row>
    <row r="319" spans="1:29" ht="12.75" customHeight="1">
      <c r="A319" s="93"/>
      <c r="B319" s="93"/>
      <c r="C319" s="93"/>
      <c r="D319" s="93"/>
      <c r="E319" s="93"/>
      <c r="F319" s="93"/>
      <c r="G319" s="93"/>
      <c r="H319" s="93"/>
      <c r="I319" s="128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</row>
    <row r="320" spans="1:29" ht="12.75" customHeight="1">
      <c r="A320" s="93"/>
      <c r="B320" s="93"/>
      <c r="C320" s="93"/>
      <c r="D320" s="93"/>
      <c r="E320" s="93"/>
      <c r="F320" s="93"/>
      <c r="G320" s="93"/>
      <c r="H320" s="93"/>
      <c r="I320" s="128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</row>
    <row r="321" spans="1:29" ht="12.75" customHeight="1">
      <c r="A321" s="93"/>
      <c r="B321" s="93"/>
      <c r="C321" s="93"/>
      <c r="D321" s="93"/>
      <c r="E321" s="93"/>
      <c r="F321" s="93"/>
      <c r="G321" s="93"/>
      <c r="H321" s="93"/>
      <c r="I321" s="128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</row>
    <row r="322" spans="1:29" ht="12.75" customHeight="1">
      <c r="A322" s="93"/>
      <c r="B322" s="93"/>
      <c r="C322" s="93"/>
      <c r="D322" s="93"/>
      <c r="E322" s="93"/>
      <c r="F322" s="93"/>
      <c r="G322" s="93"/>
      <c r="H322" s="93"/>
      <c r="I322" s="128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</row>
    <row r="323" spans="1:29" ht="12.75" customHeight="1">
      <c r="A323" s="93"/>
      <c r="B323" s="93"/>
      <c r="C323" s="93"/>
      <c r="D323" s="93"/>
      <c r="E323" s="93"/>
      <c r="F323" s="93"/>
      <c r="G323" s="93"/>
      <c r="H323" s="93"/>
      <c r="I323" s="128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</row>
    <row r="324" spans="1:29" ht="12.75" customHeight="1">
      <c r="A324" s="93"/>
      <c r="B324" s="93"/>
      <c r="C324" s="93"/>
      <c r="D324" s="93"/>
      <c r="E324" s="93"/>
      <c r="F324" s="93"/>
      <c r="G324" s="93"/>
      <c r="H324" s="93"/>
      <c r="I324" s="128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</row>
    <row r="325" spans="1:29" ht="12.75" customHeight="1">
      <c r="A325" s="93"/>
      <c r="B325" s="93"/>
      <c r="C325" s="93"/>
      <c r="D325" s="93"/>
      <c r="E325" s="93"/>
      <c r="F325" s="93"/>
      <c r="G325" s="93"/>
      <c r="H325" s="93"/>
      <c r="I325" s="128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</row>
    <row r="326" spans="1:29" ht="12.75" customHeight="1">
      <c r="A326" s="93"/>
      <c r="B326" s="93"/>
      <c r="C326" s="93"/>
      <c r="D326" s="93"/>
      <c r="E326" s="93"/>
      <c r="F326" s="93"/>
      <c r="G326" s="93"/>
      <c r="H326" s="93"/>
      <c r="I326" s="128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</row>
    <row r="327" spans="1:29" ht="12.75" customHeight="1">
      <c r="A327" s="93"/>
      <c r="B327" s="93"/>
      <c r="C327" s="93"/>
      <c r="D327" s="93"/>
      <c r="E327" s="93"/>
      <c r="F327" s="93"/>
      <c r="G327" s="93"/>
      <c r="H327" s="93"/>
      <c r="I327" s="128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</row>
    <row r="328" spans="1:29" ht="12.75" customHeight="1">
      <c r="A328" s="93"/>
      <c r="B328" s="93"/>
      <c r="C328" s="93"/>
      <c r="D328" s="93"/>
      <c r="E328" s="93"/>
      <c r="F328" s="93"/>
      <c r="G328" s="93"/>
      <c r="H328" s="93"/>
      <c r="I328" s="128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</row>
    <row r="329" spans="1:29" ht="12.75" customHeight="1">
      <c r="A329" s="93"/>
      <c r="B329" s="93"/>
      <c r="C329" s="93"/>
      <c r="D329" s="93"/>
      <c r="E329" s="93"/>
      <c r="F329" s="93"/>
      <c r="G329" s="93"/>
      <c r="H329" s="93"/>
      <c r="I329" s="128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</row>
    <row r="330" spans="1:29" ht="12.75" customHeight="1">
      <c r="A330" s="93"/>
      <c r="B330" s="93"/>
      <c r="C330" s="93"/>
      <c r="D330" s="93"/>
      <c r="E330" s="93"/>
      <c r="F330" s="93"/>
      <c r="G330" s="93"/>
      <c r="H330" s="93"/>
      <c r="I330" s="128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</row>
    <row r="331" spans="1:29" ht="12.75" customHeight="1">
      <c r="A331" s="93"/>
      <c r="B331" s="93"/>
      <c r="C331" s="93"/>
      <c r="D331" s="93"/>
      <c r="E331" s="93"/>
      <c r="F331" s="93"/>
      <c r="G331" s="93"/>
      <c r="H331" s="93"/>
      <c r="I331" s="128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</row>
    <row r="332" spans="1:29" ht="12.75" customHeight="1">
      <c r="A332" s="93"/>
      <c r="B332" s="93"/>
      <c r="C332" s="93"/>
      <c r="D332" s="93"/>
      <c r="E332" s="93"/>
      <c r="F332" s="93"/>
      <c r="G332" s="93"/>
      <c r="H332" s="93"/>
      <c r="I332" s="128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</row>
    <row r="333" spans="1:29" ht="12.75" customHeight="1">
      <c r="A333" s="93"/>
      <c r="B333" s="93"/>
      <c r="C333" s="93"/>
      <c r="D333" s="93"/>
      <c r="E333" s="93"/>
      <c r="F333" s="93"/>
      <c r="G333" s="93"/>
      <c r="H333" s="93"/>
      <c r="I333" s="128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</row>
    <row r="334" spans="1:29" ht="12.75" customHeight="1">
      <c r="A334" s="93"/>
      <c r="B334" s="93"/>
      <c r="C334" s="93"/>
      <c r="D334" s="93"/>
      <c r="E334" s="93"/>
      <c r="F334" s="93"/>
      <c r="G334" s="93"/>
      <c r="H334" s="93"/>
      <c r="I334" s="128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</row>
    <row r="335" spans="1:29" ht="12.75" customHeight="1">
      <c r="A335" s="93"/>
      <c r="B335" s="93"/>
      <c r="C335" s="93"/>
      <c r="D335" s="93"/>
      <c r="E335" s="93"/>
      <c r="F335" s="93"/>
      <c r="G335" s="93"/>
      <c r="H335" s="93"/>
      <c r="I335" s="128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</row>
    <row r="336" spans="1:29" ht="12.75" customHeight="1">
      <c r="A336" s="93"/>
      <c r="B336" s="93"/>
      <c r="C336" s="93"/>
      <c r="D336" s="93"/>
      <c r="E336" s="93"/>
      <c r="F336" s="93"/>
      <c r="G336" s="93"/>
      <c r="H336" s="93"/>
      <c r="I336" s="128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</row>
    <row r="337" spans="1:29" ht="12.75" customHeight="1">
      <c r="A337" s="93"/>
      <c r="B337" s="93"/>
      <c r="C337" s="93"/>
      <c r="D337" s="93"/>
      <c r="E337" s="93"/>
      <c r="F337" s="93"/>
      <c r="G337" s="93"/>
      <c r="H337" s="93"/>
      <c r="I337" s="128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</row>
    <row r="338" spans="1:29" ht="12.75" customHeight="1">
      <c r="A338" s="93"/>
      <c r="B338" s="93"/>
      <c r="C338" s="93"/>
      <c r="D338" s="93"/>
      <c r="E338" s="93"/>
      <c r="F338" s="93"/>
      <c r="G338" s="93"/>
      <c r="H338" s="93"/>
      <c r="I338" s="128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</row>
    <row r="339" spans="1:29" ht="12.75" customHeight="1">
      <c r="A339" s="93"/>
      <c r="B339" s="93"/>
      <c r="C339" s="93"/>
      <c r="D339" s="93"/>
      <c r="E339" s="93"/>
      <c r="F339" s="93"/>
      <c r="G339" s="93"/>
      <c r="H339" s="93"/>
      <c r="I339" s="128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</row>
    <row r="340" spans="1:29" ht="12.75" customHeight="1">
      <c r="A340" s="93"/>
      <c r="B340" s="93"/>
      <c r="C340" s="93"/>
      <c r="D340" s="93"/>
      <c r="E340" s="93"/>
      <c r="F340" s="93"/>
      <c r="G340" s="93"/>
      <c r="H340" s="93"/>
      <c r="I340" s="128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</row>
    <row r="341" spans="1:29" ht="12.75" customHeight="1">
      <c r="A341" s="93"/>
      <c r="B341" s="93"/>
      <c r="C341" s="93"/>
      <c r="D341" s="93"/>
      <c r="E341" s="93"/>
      <c r="F341" s="93"/>
      <c r="G341" s="93"/>
      <c r="H341" s="93"/>
      <c r="I341" s="128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</row>
    <row r="342" spans="1:29" ht="12.75" customHeight="1">
      <c r="A342" s="93"/>
      <c r="B342" s="93"/>
      <c r="C342" s="93"/>
      <c r="D342" s="93"/>
      <c r="E342" s="93"/>
      <c r="F342" s="93"/>
      <c r="G342" s="93"/>
      <c r="H342" s="93"/>
      <c r="I342" s="128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</row>
    <row r="343" spans="1:29" ht="12.75" customHeight="1">
      <c r="A343" s="93"/>
      <c r="B343" s="93"/>
      <c r="C343" s="93"/>
      <c r="D343" s="93"/>
      <c r="E343" s="93"/>
      <c r="F343" s="93"/>
      <c r="G343" s="93"/>
      <c r="H343" s="93"/>
      <c r="I343" s="128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</row>
    <row r="344" spans="1:29" ht="12.75" customHeight="1">
      <c r="A344" s="93"/>
      <c r="B344" s="93"/>
      <c r="C344" s="93"/>
      <c r="D344" s="93"/>
      <c r="E344" s="93"/>
      <c r="F344" s="93"/>
      <c r="G344" s="93"/>
      <c r="H344" s="93"/>
      <c r="I344" s="128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</row>
    <row r="345" spans="1:29" ht="12.75" customHeight="1">
      <c r="A345" s="93"/>
      <c r="B345" s="93"/>
      <c r="C345" s="93"/>
      <c r="D345" s="93"/>
      <c r="E345" s="93"/>
      <c r="F345" s="93"/>
      <c r="G345" s="93"/>
      <c r="H345" s="93"/>
      <c r="I345" s="128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</row>
    <row r="346" spans="1:29" ht="12.75" customHeight="1">
      <c r="A346" s="93"/>
      <c r="B346" s="93"/>
      <c r="C346" s="93"/>
      <c r="D346" s="93"/>
      <c r="E346" s="93"/>
      <c r="F346" s="93"/>
      <c r="G346" s="93"/>
      <c r="H346" s="93"/>
      <c r="I346" s="128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</row>
    <row r="347" spans="1:29" ht="12.75" customHeight="1">
      <c r="A347" s="93"/>
      <c r="B347" s="93"/>
      <c r="C347" s="93"/>
      <c r="D347" s="93"/>
      <c r="E347" s="93"/>
      <c r="F347" s="93"/>
      <c r="G347" s="93"/>
      <c r="H347" s="93"/>
      <c r="I347" s="128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</row>
    <row r="348" spans="1:29" ht="12.75" customHeight="1">
      <c r="A348" s="93"/>
      <c r="B348" s="93"/>
      <c r="C348" s="93"/>
      <c r="D348" s="93"/>
      <c r="E348" s="93"/>
      <c r="F348" s="93"/>
      <c r="G348" s="93"/>
      <c r="H348" s="93"/>
      <c r="I348" s="128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</row>
    <row r="349" spans="1:29" ht="12.75" customHeight="1">
      <c r="A349" s="93"/>
      <c r="B349" s="93"/>
      <c r="C349" s="93"/>
      <c r="D349" s="93"/>
      <c r="E349" s="93"/>
      <c r="F349" s="93"/>
      <c r="G349" s="93"/>
      <c r="H349" s="93"/>
      <c r="I349" s="128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</row>
    <row r="350" spans="1:29" ht="12.75" customHeight="1">
      <c r="A350" s="93"/>
      <c r="B350" s="93"/>
      <c r="C350" s="93"/>
      <c r="D350" s="93"/>
      <c r="E350" s="93"/>
      <c r="F350" s="93"/>
      <c r="G350" s="93"/>
      <c r="H350" s="93"/>
      <c r="I350" s="128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</row>
    <row r="351" spans="1:29" ht="12.75" customHeight="1">
      <c r="A351" s="93"/>
      <c r="B351" s="93"/>
      <c r="C351" s="93"/>
      <c r="D351" s="93"/>
      <c r="E351" s="93"/>
      <c r="F351" s="93"/>
      <c r="G351" s="93"/>
      <c r="H351" s="93"/>
      <c r="I351" s="128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</row>
    <row r="352" spans="1:29" ht="12.75" customHeight="1">
      <c r="A352" s="93"/>
      <c r="B352" s="93"/>
      <c r="C352" s="93"/>
      <c r="D352" s="93"/>
      <c r="E352" s="93"/>
      <c r="F352" s="93"/>
      <c r="G352" s="93"/>
      <c r="H352" s="93"/>
      <c r="I352" s="128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</row>
    <row r="353" spans="1:29" ht="12.75" customHeight="1">
      <c r="A353" s="93"/>
      <c r="B353" s="93"/>
      <c r="C353" s="93"/>
      <c r="D353" s="93"/>
      <c r="E353" s="93"/>
      <c r="F353" s="93"/>
      <c r="G353" s="93"/>
      <c r="H353" s="93"/>
      <c r="I353" s="128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</row>
    <row r="354" spans="1:29" ht="12.75" customHeight="1">
      <c r="A354" s="93"/>
      <c r="B354" s="93"/>
      <c r="C354" s="93"/>
      <c r="D354" s="93"/>
      <c r="E354" s="93"/>
      <c r="F354" s="93"/>
      <c r="G354" s="93"/>
      <c r="H354" s="93"/>
      <c r="I354" s="128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</row>
    <row r="355" spans="1:29" ht="12.75" customHeight="1">
      <c r="A355" s="93"/>
      <c r="B355" s="93"/>
      <c r="C355" s="93"/>
      <c r="D355" s="93"/>
      <c r="E355" s="93"/>
      <c r="F355" s="93"/>
      <c r="G355" s="93"/>
      <c r="H355" s="93"/>
      <c r="I355" s="128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</row>
    <row r="356" spans="1:29" ht="12.75" customHeight="1">
      <c r="A356" s="93"/>
      <c r="B356" s="93"/>
      <c r="C356" s="93"/>
      <c r="D356" s="93"/>
      <c r="E356" s="93"/>
      <c r="F356" s="93"/>
      <c r="G356" s="93"/>
      <c r="H356" s="93"/>
      <c r="I356" s="128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</row>
    <row r="357" spans="1:29" ht="12.75" customHeight="1">
      <c r="A357" s="93"/>
      <c r="B357" s="93"/>
      <c r="C357" s="93"/>
      <c r="D357" s="93"/>
      <c r="E357" s="93"/>
      <c r="F357" s="93"/>
      <c r="G357" s="93"/>
      <c r="H357" s="93"/>
      <c r="I357" s="128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</row>
    <row r="358" spans="1:29" ht="12.75" customHeight="1">
      <c r="A358" s="93"/>
      <c r="B358" s="93"/>
      <c r="C358" s="93"/>
      <c r="D358" s="93"/>
      <c r="E358" s="93"/>
      <c r="F358" s="93"/>
      <c r="G358" s="93"/>
      <c r="H358" s="93"/>
      <c r="I358" s="128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</row>
    <row r="359" spans="1:29" ht="12.75" customHeight="1">
      <c r="A359" s="93"/>
      <c r="B359" s="93"/>
      <c r="C359" s="93"/>
      <c r="D359" s="93"/>
      <c r="E359" s="93"/>
      <c r="F359" s="93"/>
      <c r="G359" s="93"/>
      <c r="H359" s="93"/>
      <c r="I359" s="128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</row>
    <row r="360" spans="1:29" ht="12.75" customHeight="1">
      <c r="A360" s="93"/>
      <c r="B360" s="93"/>
      <c r="C360" s="93"/>
      <c r="D360" s="93"/>
      <c r="E360" s="93"/>
      <c r="F360" s="93"/>
      <c r="G360" s="93"/>
      <c r="H360" s="93"/>
      <c r="I360" s="128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</row>
    <row r="361" spans="1:29" ht="12.75" customHeight="1">
      <c r="A361" s="93"/>
      <c r="B361" s="93"/>
      <c r="C361" s="93"/>
      <c r="D361" s="93"/>
      <c r="E361" s="93"/>
      <c r="F361" s="93"/>
      <c r="G361" s="93"/>
      <c r="H361" s="93"/>
      <c r="I361" s="128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</row>
    <row r="362" spans="1:29" ht="12.75" customHeight="1">
      <c r="A362" s="93"/>
      <c r="B362" s="93"/>
      <c r="C362" s="93"/>
      <c r="D362" s="93"/>
      <c r="E362" s="93"/>
      <c r="F362" s="93"/>
      <c r="G362" s="93"/>
      <c r="H362" s="93"/>
      <c r="I362" s="128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</row>
    <row r="363" spans="1:29" ht="12.75" customHeight="1">
      <c r="A363" s="93"/>
      <c r="B363" s="93"/>
      <c r="C363" s="93"/>
      <c r="D363" s="93"/>
      <c r="E363" s="93"/>
      <c r="F363" s="93"/>
      <c r="G363" s="93"/>
      <c r="H363" s="93"/>
      <c r="I363" s="128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</row>
    <row r="364" spans="1:29" ht="12.75" customHeight="1">
      <c r="A364" s="93"/>
      <c r="B364" s="93"/>
      <c r="C364" s="93"/>
      <c r="D364" s="93"/>
      <c r="E364" s="93"/>
      <c r="F364" s="93"/>
      <c r="G364" s="93"/>
      <c r="H364" s="93"/>
      <c r="I364" s="128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</row>
    <row r="365" spans="1:29" ht="12.75" customHeight="1">
      <c r="A365" s="93"/>
      <c r="B365" s="93"/>
      <c r="C365" s="93"/>
      <c r="D365" s="93"/>
      <c r="E365" s="93"/>
      <c r="F365" s="93"/>
      <c r="G365" s="93"/>
      <c r="H365" s="93"/>
      <c r="I365" s="128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</row>
    <row r="366" spans="1:29" ht="12.75" customHeight="1">
      <c r="A366" s="93"/>
      <c r="B366" s="93"/>
      <c r="C366" s="93"/>
      <c r="D366" s="93"/>
      <c r="E366" s="93"/>
      <c r="F366" s="93"/>
      <c r="G366" s="93"/>
      <c r="H366" s="93"/>
      <c r="I366" s="128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</row>
    <row r="367" spans="1:29" ht="12.75" customHeight="1">
      <c r="A367" s="93"/>
      <c r="B367" s="93"/>
      <c r="C367" s="93"/>
      <c r="D367" s="93"/>
      <c r="E367" s="93"/>
      <c r="F367" s="93"/>
      <c r="G367" s="93"/>
      <c r="H367" s="93"/>
      <c r="I367" s="128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</row>
    <row r="368" spans="1:29" ht="12.75" customHeight="1">
      <c r="A368" s="93"/>
      <c r="B368" s="93"/>
      <c r="C368" s="93"/>
      <c r="D368" s="93"/>
      <c r="E368" s="93"/>
      <c r="F368" s="93"/>
      <c r="G368" s="93"/>
      <c r="H368" s="93"/>
      <c r="I368" s="128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</row>
    <row r="369" spans="1:29" ht="12.75" customHeight="1">
      <c r="A369" s="93"/>
      <c r="B369" s="93"/>
      <c r="C369" s="93"/>
      <c r="D369" s="93"/>
      <c r="E369" s="93"/>
      <c r="F369" s="93"/>
      <c r="G369" s="93"/>
      <c r="H369" s="93"/>
      <c r="I369" s="128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</row>
    <row r="370" spans="1:29" ht="12.75" customHeight="1">
      <c r="A370" s="93"/>
      <c r="B370" s="93"/>
      <c r="C370" s="93"/>
      <c r="D370" s="93"/>
      <c r="E370" s="93"/>
      <c r="F370" s="93"/>
      <c r="G370" s="93"/>
      <c r="H370" s="93"/>
      <c r="I370" s="128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</row>
    <row r="371" spans="1:29" ht="12.75" customHeight="1">
      <c r="A371" s="93"/>
      <c r="B371" s="93"/>
      <c r="C371" s="93"/>
      <c r="D371" s="93"/>
      <c r="E371" s="93"/>
      <c r="F371" s="93"/>
      <c r="G371" s="93"/>
      <c r="H371" s="93"/>
      <c r="I371" s="128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</row>
    <row r="372" spans="1:29" ht="12.75" customHeight="1">
      <c r="A372" s="93"/>
      <c r="B372" s="93"/>
      <c r="C372" s="93"/>
      <c r="D372" s="93"/>
      <c r="E372" s="93"/>
      <c r="F372" s="93"/>
      <c r="G372" s="93"/>
      <c r="H372" s="93"/>
      <c r="I372" s="128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</row>
    <row r="373" spans="1:29" ht="12.75" customHeight="1">
      <c r="A373" s="93"/>
      <c r="B373" s="93"/>
      <c r="C373" s="93"/>
      <c r="D373" s="93"/>
      <c r="E373" s="93"/>
      <c r="F373" s="93"/>
      <c r="G373" s="93"/>
      <c r="H373" s="93"/>
      <c r="I373" s="128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</row>
    <row r="374" spans="1:29" ht="12.75" customHeight="1">
      <c r="A374" s="93"/>
      <c r="B374" s="93"/>
      <c r="C374" s="93"/>
      <c r="D374" s="93"/>
      <c r="E374" s="93"/>
      <c r="F374" s="93"/>
      <c r="G374" s="93"/>
      <c r="H374" s="93"/>
      <c r="I374" s="128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</row>
    <row r="375" spans="1:29" ht="12.75" customHeight="1">
      <c r="A375" s="93"/>
      <c r="B375" s="93"/>
      <c r="C375" s="93"/>
      <c r="D375" s="93"/>
      <c r="E375" s="93"/>
      <c r="F375" s="93"/>
      <c r="G375" s="93"/>
      <c r="H375" s="93"/>
      <c r="I375" s="128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</row>
    <row r="376" spans="1:29" ht="12.75" customHeight="1">
      <c r="A376" s="93"/>
      <c r="B376" s="93"/>
      <c r="C376" s="93"/>
      <c r="D376" s="93"/>
      <c r="E376" s="93"/>
      <c r="F376" s="93"/>
      <c r="G376" s="93"/>
      <c r="H376" s="93"/>
      <c r="I376" s="128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</row>
    <row r="377" spans="1:29" ht="12.75" customHeight="1">
      <c r="A377" s="93"/>
      <c r="B377" s="93"/>
      <c r="C377" s="93"/>
      <c r="D377" s="93"/>
      <c r="E377" s="93"/>
      <c r="F377" s="93"/>
      <c r="G377" s="93"/>
      <c r="H377" s="93"/>
      <c r="I377" s="128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</row>
    <row r="378" spans="1:29" ht="12.75" customHeight="1">
      <c r="A378" s="93"/>
      <c r="B378" s="93"/>
      <c r="C378" s="93"/>
      <c r="D378" s="93"/>
      <c r="E378" s="93"/>
      <c r="F378" s="93"/>
      <c r="G378" s="93"/>
      <c r="H378" s="93"/>
      <c r="I378" s="128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</row>
    <row r="379" spans="1:29" ht="12.75" customHeight="1">
      <c r="A379" s="93"/>
      <c r="B379" s="93"/>
      <c r="C379" s="93"/>
      <c r="D379" s="93"/>
      <c r="E379" s="93"/>
      <c r="F379" s="93"/>
      <c r="G379" s="93"/>
      <c r="H379" s="93"/>
      <c r="I379" s="128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</row>
    <row r="380" spans="1:29" ht="12.75" customHeight="1">
      <c r="A380" s="93"/>
      <c r="B380" s="93"/>
      <c r="C380" s="93"/>
      <c r="D380" s="93"/>
      <c r="E380" s="93"/>
      <c r="F380" s="93"/>
      <c r="G380" s="93"/>
      <c r="H380" s="93"/>
      <c r="I380" s="128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</row>
    <row r="381" spans="1:29" ht="12.75" customHeight="1">
      <c r="A381" s="93"/>
      <c r="B381" s="93"/>
      <c r="C381" s="93"/>
      <c r="D381" s="93"/>
      <c r="E381" s="93"/>
      <c r="F381" s="93"/>
      <c r="G381" s="93"/>
      <c r="H381" s="93"/>
      <c r="I381" s="128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</row>
    <row r="382" spans="1:29" ht="12.75" customHeight="1">
      <c r="A382" s="93"/>
      <c r="B382" s="93"/>
      <c r="C382" s="93"/>
      <c r="D382" s="93"/>
      <c r="E382" s="93"/>
      <c r="F382" s="93"/>
      <c r="G382" s="93"/>
      <c r="H382" s="93"/>
      <c r="I382" s="128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</row>
    <row r="383" spans="1:29" ht="12.75" customHeight="1">
      <c r="A383" s="93"/>
      <c r="B383" s="93"/>
      <c r="C383" s="93"/>
      <c r="D383" s="93"/>
      <c r="E383" s="93"/>
      <c r="F383" s="93"/>
      <c r="G383" s="93"/>
      <c r="H383" s="93"/>
      <c r="I383" s="128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</row>
    <row r="384" spans="1:29" ht="12.75" customHeight="1">
      <c r="A384" s="93"/>
      <c r="B384" s="93"/>
      <c r="C384" s="93"/>
      <c r="D384" s="93"/>
      <c r="E384" s="93"/>
      <c r="F384" s="93"/>
      <c r="G384" s="93"/>
      <c r="H384" s="93"/>
      <c r="I384" s="128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</row>
    <row r="385" spans="1:29" ht="12.75" customHeight="1">
      <c r="A385" s="93"/>
      <c r="B385" s="93"/>
      <c r="C385" s="93"/>
      <c r="D385" s="93"/>
      <c r="E385" s="93"/>
      <c r="F385" s="93"/>
      <c r="G385" s="93"/>
      <c r="H385" s="93"/>
      <c r="I385" s="128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</row>
    <row r="386" spans="1:29" ht="12.75" customHeight="1">
      <c r="A386" s="93"/>
      <c r="B386" s="93"/>
      <c r="C386" s="93"/>
      <c r="D386" s="93"/>
      <c r="E386" s="93"/>
      <c r="F386" s="93"/>
      <c r="G386" s="93"/>
      <c r="H386" s="93"/>
      <c r="I386" s="128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</row>
    <row r="387" spans="1:29" ht="12.75" customHeight="1">
      <c r="A387" s="93"/>
      <c r="B387" s="93"/>
      <c r="C387" s="93"/>
      <c r="D387" s="93"/>
      <c r="E387" s="93"/>
      <c r="F387" s="93"/>
      <c r="G387" s="93"/>
      <c r="H387" s="93"/>
      <c r="I387" s="128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</row>
    <row r="388" spans="1:29" ht="12.75" customHeight="1">
      <c r="A388" s="93"/>
      <c r="B388" s="93"/>
      <c r="C388" s="93"/>
      <c r="D388" s="93"/>
      <c r="E388" s="93"/>
      <c r="F388" s="93"/>
      <c r="G388" s="93"/>
      <c r="H388" s="93"/>
      <c r="I388" s="128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</row>
    <row r="389" spans="1:29" ht="12.75" customHeight="1">
      <c r="A389" s="93"/>
      <c r="B389" s="93"/>
      <c r="C389" s="93"/>
      <c r="D389" s="93"/>
      <c r="E389" s="93"/>
      <c r="F389" s="93"/>
      <c r="G389" s="93"/>
      <c r="H389" s="93"/>
      <c r="I389" s="128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</row>
    <row r="390" spans="1:29" ht="12.75" customHeight="1">
      <c r="A390" s="93"/>
      <c r="B390" s="93"/>
      <c r="C390" s="93"/>
      <c r="D390" s="93"/>
      <c r="E390" s="93"/>
      <c r="F390" s="93"/>
      <c r="G390" s="93"/>
      <c r="H390" s="93"/>
      <c r="I390" s="128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</row>
    <row r="391" spans="1:29" ht="12.75" customHeight="1">
      <c r="A391" s="93"/>
      <c r="B391" s="93"/>
      <c r="C391" s="93"/>
      <c r="D391" s="93"/>
      <c r="E391" s="93"/>
      <c r="F391" s="93"/>
      <c r="G391" s="93"/>
      <c r="H391" s="93"/>
      <c r="I391" s="128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</row>
    <row r="392" spans="1:29" ht="12.75" customHeight="1">
      <c r="A392" s="93"/>
      <c r="B392" s="93"/>
      <c r="C392" s="93"/>
      <c r="D392" s="93"/>
      <c r="E392" s="93"/>
      <c r="F392" s="93"/>
      <c r="G392" s="93"/>
      <c r="H392" s="93"/>
      <c r="I392" s="128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</row>
    <row r="393" spans="1:29" ht="12.75" customHeight="1">
      <c r="A393" s="93"/>
      <c r="B393" s="93"/>
      <c r="C393" s="93"/>
      <c r="D393" s="93"/>
      <c r="E393" s="93"/>
      <c r="F393" s="93"/>
      <c r="G393" s="93"/>
      <c r="H393" s="93"/>
      <c r="I393" s="128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</row>
    <row r="394" spans="1:29" ht="12.75" customHeight="1">
      <c r="A394" s="93"/>
      <c r="B394" s="93"/>
      <c r="C394" s="93"/>
      <c r="D394" s="93"/>
      <c r="E394" s="93"/>
      <c r="F394" s="93"/>
      <c r="G394" s="93"/>
      <c r="H394" s="93"/>
      <c r="I394" s="128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</row>
    <row r="395" spans="1:29" ht="12.75" customHeight="1">
      <c r="A395" s="93"/>
      <c r="B395" s="93"/>
      <c r="C395" s="93"/>
      <c r="D395" s="93"/>
      <c r="E395" s="93"/>
      <c r="F395" s="93"/>
      <c r="G395" s="93"/>
      <c r="H395" s="93"/>
      <c r="I395" s="128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</row>
    <row r="396" spans="1:29" ht="12.75" customHeight="1">
      <c r="A396" s="93"/>
      <c r="B396" s="93"/>
      <c r="C396" s="93"/>
      <c r="D396" s="93"/>
      <c r="E396" s="93"/>
      <c r="F396" s="93"/>
      <c r="G396" s="93"/>
      <c r="H396" s="93"/>
      <c r="I396" s="128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</row>
    <row r="397" spans="1:29" ht="12.75" customHeight="1">
      <c r="A397" s="93"/>
      <c r="B397" s="93"/>
      <c r="C397" s="93"/>
      <c r="D397" s="93"/>
      <c r="E397" s="93"/>
      <c r="F397" s="93"/>
      <c r="G397" s="93"/>
      <c r="H397" s="93"/>
      <c r="I397" s="128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</row>
    <row r="398" spans="1:29" ht="12.75" customHeight="1">
      <c r="A398" s="93"/>
      <c r="B398" s="93"/>
      <c r="C398" s="93"/>
      <c r="D398" s="93"/>
      <c r="E398" s="93"/>
      <c r="F398" s="93"/>
      <c r="G398" s="93"/>
      <c r="H398" s="93"/>
      <c r="I398" s="128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</row>
    <row r="399" spans="1:29" ht="12.75" customHeight="1">
      <c r="A399" s="93"/>
      <c r="B399" s="93"/>
      <c r="C399" s="93"/>
      <c r="D399" s="93"/>
      <c r="E399" s="93"/>
      <c r="F399" s="93"/>
      <c r="G399" s="93"/>
      <c r="H399" s="93"/>
      <c r="I399" s="128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</row>
    <row r="400" spans="1:29" ht="12.75" customHeight="1">
      <c r="A400" s="93"/>
      <c r="B400" s="93"/>
      <c r="C400" s="93"/>
      <c r="D400" s="93"/>
      <c r="E400" s="93"/>
      <c r="F400" s="93"/>
      <c r="G400" s="93"/>
      <c r="H400" s="93"/>
      <c r="I400" s="128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</row>
    <row r="401" spans="1:29" ht="12.75" customHeight="1">
      <c r="A401" s="93"/>
      <c r="B401" s="93"/>
      <c r="C401" s="93"/>
      <c r="D401" s="93"/>
      <c r="E401" s="93"/>
      <c r="F401" s="93"/>
      <c r="G401" s="93"/>
      <c r="H401" s="93"/>
      <c r="I401" s="128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</row>
    <row r="402" spans="1:29" ht="12.75" customHeight="1">
      <c r="A402" s="93"/>
      <c r="B402" s="93"/>
      <c r="C402" s="93"/>
      <c r="D402" s="93"/>
      <c r="E402" s="93"/>
      <c r="F402" s="93"/>
      <c r="G402" s="93"/>
      <c r="H402" s="93"/>
      <c r="I402" s="128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</row>
    <row r="403" spans="1:29" ht="12.75" customHeight="1">
      <c r="A403" s="93"/>
      <c r="B403" s="93"/>
      <c r="C403" s="93"/>
      <c r="D403" s="93"/>
      <c r="E403" s="93"/>
      <c r="F403" s="93"/>
      <c r="G403" s="93"/>
      <c r="H403" s="93"/>
      <c r="I403" s="128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</row>
    <row r="404" spans="1:29" ht="12.75" customHeight="1">
      <c r="A404" s="93"/>
      <c r="B404" s="93"/>
      <c r="C404" s="93"/>
      <c r="D404" s="93"/>
      <c r="E404" s="93"/>
      <c r="F404" s="93"/>
      <c r="G404" s="93"/>
      <c r="H404" s="93"/>
      <c r="I404" s="128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</row>
    <row r="405" spans="1:29" ht="12.75" customHeight="1">
      <c r="A405" s="93"/>
      <c r="B405" s="93"/>
      <c r="C405" s="93"/>
      <c r="D405" s="93"/>
      <c r="E405" s="93"/>
      <c r="F405" s="93"/>
      <c r="G405" s="93"/>
      <c r="H405" s="93"/>
      <c r="I405" s="128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</row>
    <row r="406" spans="1:29" ht="12.75" customHeight="1">
      <c r="A406" s="93"/>
      <c r="B406" s="93"/>
      <c r="C406" s="93"/>
      <c r="D406" s="93"/>
      <c r="E406" s="93"/>
      <c r="F406" s="93"/>
      <c r="G406" s="93"/>
      <c r="H406" s="93"/>
      <c r="I406" s="128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</row>
    <row r="407" spans="1:29" ht="12.75" customHeight="1">
      <c r="A407" s="93"/>
      <c r="B407" s="93"/>
      <c r="C407" s="93"/>
      <c r="D407" s="93"/>
      <c r="E407" s="93"/>
      <c r="F407" s="93"/>
      <c r="G407" s="93"/>
      <c r="H407" s="93"/>
      <c r="I407" s="128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</row>
    <row r="408" spans="1:29" ht="12.75" customHeight="1">
      <c r="A408" s="93"/>
      <c r="B408" s="93"/>
      <c r="C408" s="93"/>
      <c r="D408" s="93"/>
      <c r="E408" s="93"/>
      <c r="F408" s="93"/>
      <c r="G408" s="93"/>
      <c r="H408" s="93"/>
      <c r="I408" s="128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</row>
    <row r="409" spans="1:29" ht="12.75" customHeight="1">
      <c r="A409" s="93"/>
      <c r="B409" s="93"/>
      <c r="C409" s="93"/>
      <c r="D409" s="93"/>
      <c r="E409" s="93"/>
      <c r="F409" s="93"/>
      <c r="G409" s="93"/>
      <c r="H409" s="93"/>
      <c r="I409" s="128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</row>
    <row r="410" spans="1:29" ht="12.75" customHeight="1">
      <c r="A410" s="93"/>
      <c r="B410" s="93"/>
      <c r="C410" s="93"/>
      <c r="D410" s="93"/>
      <c r="E410" s="93"/>
      <c r="F410" s="93"/>
      <c r="G410" s="93"/>
      <c r="H410" s="93"/>
      <c r="I410" s="128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</row>
    <row r="411" spans="1:29" ht="12.75" customHeight="1">
      <c r="A411" s="93"/>
      <c r="B411" s="93"/>
      <c r="C411" s="93"/>
      <c r="D411" s="93"/>
      <c r="E411" s="93"/>
      <c r="F411" s="93"/>
      <c r="G411" s="93"/>
      <c r="H411" s="93"/>
      <c r="I411" s="128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</row>
    <row r="412" spans="1:29" ht="12.75" customHeight="1">
      <c r="A412" s="93"/>
      <c r="B412" s="93"/>
      <c r="C412" s="93"/>
      <c r="D412" s="93"/>
      <c r="E412" s="93"/>
      <c r="F412" s="93"/>
      <c r="G412" s="93"/>
      <c r="H412" s="93"/>
      <c r="I412" s="128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</row>
    <row r="413" spans="1:29" ht="12.75" customHeight="1">
      <c r="A413" s="93"/>
      <c r="B413" s="93"/>
      <c r="C413" s="93"/>
      <c r="D413" s="93"/>
      <c r="E413" s="93"/>
      <c r="F413" s="93"/>
      <c r="G413" s="93"/>
      <c r="H413" s="93"/>
      <c r="I413" s="128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</row>
    <row r="414" spans="1:29" ht="12.75" customHeight="1">
      <c r="A414" s="93"/>
      <c r="B414" s="93"/>
      <c r="C414" s="93"/>
      <c r="D414" s="93"/>
      <c r="E414" s="93"/>
      <c r="F414" s="93"/>
      <c r="G414" s="93"/>
      <c r="H414" s="93"/>
      <c r="I414" s="128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</row>
    <row r="415" spans="1:29" ht="12.75" customHeight="1">
      <c r="A415" s="93"/>
      <c r="B415" s="93"/>
      <c r="C415" s="93"/>
      <c r="D415" s="93"/>
      <c r="E415" s="93"/>
      <c r="F415" s="93"/>
      <c r="G415" s="93"/>
      <c r="H415" s="93"/>
      <c r="I415" s="128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</row>
    <row r="416" spans="1:29" ht="12.75" customHeight="1">
      <c r="A416" s="93"/>
      <c r="B416" s="93"/>
      <c r="C416" s="93"/>
      <c r="D416" s="93"/>
      <c r="E416" s="93"/>
      <c r="F416" s="93"/>
      <c r="G416" s="93"/>
      <c r="H416" s="93"/>
      <c r="I416" s="128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</row>
    <row r="417" spans="1:29" ht="12.75" customHeight="1">
      <c r="A417" s="93"/>
      <c r="B417" s="93"/>
      <c r="C417" s="93"/>
      <c r="D417" s="93"/>
      <c r="E417" s="93"/>
      <c r="F417" s="93"/>
      <c r="G417" s="93"/>
      <c r="H417" s="93"/>
      <c r="I417" s="128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</row>
    <row r="418" spans="1:29" ht="12.75" customHeight="1">
      <c r="A418" s="93"/>
      <c r="B418" s="93"/>
      <c r="C418" s="93"/>
      <c r="D418" s="93"/>
      <c r="E418" s="93"/>
      <c r="F418" s="93"/>
      <c r="G418" s="93"/>
      <c r="H418" s="93"/>
      <c r="I418" s="128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</row>
    <row r="419" spans="1:29" ht="12.75" customHeight="1">
      <c r="A419" s="93"/>
      <c r="B419" s="93"/>
      <c r="C419" s="93"/>
      <c r="D419" s="93"/>
      <c r="E419" s="93"/>
      <c r="F419" s="93"/>
      <c r="G419" s="93"/>
      <c r="H419" s="93"/>
      <c r="I419" s="128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</row>
    <row r="420" spans="1:29" ht="12.75" customHeight="1">
      <c r="A420" s="93"/>
      <c r="B420" s="93"/>
      <c r="C420" s="93"/>
      <c r="D420" s="93"/>
      <c r="E420" s="93"/>
      <c r="F420" s="93"/>
      <c r="G420" s="93"/>
      <c r="H420" s="93"/>
      <c r="I420" s="128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</row>
    <row r="421" spans="1:29" ht="12.75" customHeight="1">
      <c r="A421" s="93"/>
      <c r="B421" s="93"/>
      <c r="C421" s="93"/>
      <c r="D421" s="93"/>
      <c r="E421" s="93"/>
      <c r="F421" s="93"/>
      <c r="G421" s="93"/>
      <c r="H421" s="93"/>
      <c r="I421" s="128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</row>
    <row r="422" spans="1:29" ht="12.75" customHeight="1">
      <c r="A422" s="93"/>
      <c r="B422" s="93"/>
      <c r="C422" s="93"/>
      <c r="D422" s="93"/>
      <c r="E422" s="93"/>
      <c r="F422" s="93"/>
      <c r="G422" s="93"/>
      <c r="H422" s="93"/>
      <c r="I422" s="128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</row>
    <row r="423" spans="1:29" ht="12.75" customHeight="1">
      <c r="A423" s="93"/>
      <c r="B423" s="93"/>
      <c r="C423" s="93"/>
      <c r="D423" s="93"/>
      <c r="E423" s="93"/>
      <c r="F423" s="93"/>
      <c r="G423" s="93"/>
      <c r="H423" s="93"/>
      <c r="I423" s="128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</row>
    <row r="424" spans="1:29" ht="12.75" customHeight="1">
      <c r="A424" s="93"/>
      <c r="B424" s="93"/>
      <c r="C424" s="93"/>
      <c r="D424" s="93"/>
      <c r="E424" s="93"/>
      <c r="F424" s="93"/>
      <c r="G424" s="93"/>
      <c r="H424" s="93"/>
      <c r="I424" s="128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</row>
    <row r="425" spans="1:29" ht="12.75" customHeight="1">
      <c r="A425" s="93"/>
      <c r="B425" s="93"/>
      <c r="C425" s="93"/>
      <c r="D425" s="93"/>
      <c r="E425" s="93"/>
      <c r="F425" s="93"/>
      <c r="G425" s="93"/>
      <c r="H425" s="93"/>
      <c r="I425" s="128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</row>
    <row r="426" spans="1:29" ht="12.75" customHeight="1">
      <c r="A426" s="93"/>
      <c r="B426" s="93"/>
      <c r="C426" s="93"/>
      <c r="D426" s="93"/>
      <c r="E426" s="93"/>
      <c r="F426" s="93"/>
      <c r="G426" s="93"/>
      <c r="H426" s="93"/>
      <c r="I426" s="128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</row>
    <row r="427" spans="1:29" ht="12.75" customHeight="1">
      <c r="A427" s="93"/>
      <c r="B427" s="93"/>
      <c r="C427" s="93"/>
      <c r="D427" s="93"/>
      <c r="E427" s="93"/>
      <c r="F427" s="93"/>
      <c r="G427" s="93"/>
      <c r="H427" s="93"/>
      <c r="I427" s="128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</row>
    <row r="428" spans="1:29" ht="12.75" customHeight="1">
      <c r="A428" s="93"/>
      <c r="B428" s="93"/>
      <c r="C428" s="93"/>
      <c r="D428" s="93"/>
      <c r="E428" s="93"/>
      <c r="F428" s="93"/>
      <c r="G428" s="93"/>
      <c r="H428" s="93"/>
      <c r="I428" s="128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</row>
    <row r="429" spans="1:29" ht="12.75" customHeight="1">
      <c r="A429" s="93"/>
      <c r="B429" s="93"/>
      <c r="C429" s="93"/>
      <c r="D429" s="93"/>
      <c r="E429" s="93"/>
      <c r="F429" s="93"/>
      <c r="G429" s="93"/>
      <c r="H429" s="93"/>
      <c r="I429" s="128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</row>
    <row r="430" spans="1:29" ht="12.75" customHeight="1">
      <c r="A430" s="93"/>
      <c r="B430" s="93"/>
      <c r="C430" s="93"/>
      <c r="D430" s="93"/>
      <c r="E430" s="93"/>
      <c r="F430" s="93"/>
      <c r="G430" s="93"/>
      <c r="H430" s="93"/>
      <c r="I430" s="128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</row>
    <row r="431" spans="1:29" ht="12.75" customHeight="1">
      <c r="A431" s="93"/>
      <c r="B431" s="93"/>
      <c r="C431" s="93"/>
      <c r="D431" s="93"/>
      <c r="E431" s="93"/>
      <c r="F431" s="93"/>
      <c r="G431" s="93"/>
      <c r="H431" s="93"/>
      <c r="I431" s="128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</row>
    <row r="432" spans="1:29" ht="12.75" customHeight="1">
      <c r="A432" s="93"/>
      <c r="B432" s="93"/>
      <c r="C432" s="93"/>
      <c r="D432" s="93"/>
      <c r="E432" s="93"/>
      <c r="F432" s="93"/>
      <c r="G432" s="93"/>
      <c r="H432" s="93"/>
      <c r="I432" s="128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</row>
    <row r="433" spans="1:29" ht="12.75" customHeight="1">
      <c r="A433" s="93"/>
      <c r="B433" s="93"/>
      <c r="C433" s="93"/>
      <c r="D433" s="93"/>
      <c r="E433" s="93"/>
      <c r="F433" s="93"/>
      <c r="G433" s="93"/>
      <c r="H433" s="93"/>
      <c r="I433" s="128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</row>
    <row r="434" spans="1:29" ht="12.75" customHeight="1">
      <c r="A434" s="93"/>
      <c r="B434" s="93"/>
      <c r="C434" s="93"/>
      <c r="D434" s="93"/>
      <c r="E434" s="93"/>
      <c r="F434" s="93"/>
      <c r="G434" s="93"/>
      <c r="H434" s="93"/>
      <c r="I434" s="128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</row>
    <row r="435" spans="1:29" ht="12.75" customHeight="1">
      <c r="A435" s="93"/>
      <c r="B435" s="93"/>
      <c r="C435" s="93"/>
      <c r="D435" s="93"/>
      <c r="E435" s="93"/>
      <c r="F435" s="93"/>
      <c r="G435" s="93"/>
      <c r="H435" s="93"/>
      <c r="I435" s="128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</row>
    <row r="436" spans="1:29" ht="12.75" customHeight="1">
      <c r="A436" s="93"/>
      <c r="B436" s="93"/>
      <c r="C436" s="93"/>
      <c r="D436" s="93"/>
      <c r="E436" s="93"/>
      <c r="F436" s="93"/>
      <c r="G436" s="93"/>
      <c r="H436" s="93"/>
      <c r="I436" s="128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</row>
    <row r="437" spans="1:29" ht="12.75" customHeight="1">
      <c r="A437" s="93"/>
      <c r="B437" s="93"/>
      <c r="C437" s="93"/>
      <c r="D437" s="93"/>
      <c r="E437" s="93"/>
      <c r="F437" s="93"/>
      <c r="G437" s="93"/>
      <c r="H437" s="93"/>
      <c r="I437" s="128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</row>
    <row r="438" spans="1:29" ht="12.75" customHeight="1">
      <c r="A438" s="93"/>
      <c r="B438" s="93"/>
      <c r="C438" s="93"/>
      <c r="D438" s="93"/>
      <c r="E438" s="93"/>
      <c r="F438" s="93"/>
      <c r="G438" s="93"/>
      <c r="H438" s="93"/>
      <c r="I438" s="128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</row>
    <row r="439" spans="1:29" ht="12.75" customHeight="1">
      <c r="A439" s="93"/>
      <c r="B439" s="93"/>
      <c r="C439" s="93"/>
      <c r="D439" s="93"/>
      <c r="E439" s="93"/>
      <c r="F439" s="93"/>
      <c r="G439" s="93"/>
      <c r="H439" s="93"/>
      <c r="I439" s="128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</row>
    <row r="440" spans="1:29" ht="12.75" customHeight="1">
      <c r="A440" s="93"/>
      <c r="B440" s="93"/>
      <c r="C440" s="93"/>
      <c r="D440" s="93"/>
      <c r="E440" s="93"/>
      <c r="F440" s="93"/>
      <c r="G440" s="93"/>
      <c r="H440" s="93"/>
      <c r="I440" s="128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</row>
    <row r="441" spans="1:29" ht="12.75" customHeight="1">
      <c r="A441" s="93"/>
      <c r="B441" s="93"/>
      <c r="C441" s="93"/>
      <c r="D441" s="93"/>
      <c r="E441" s="93"/>
      <c r="F441" s="93"/>
      <c r="G441" s="93"/>
      <c r="H441" s="93"/>
      <c r="I441" s="128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</row>
    <row r="442" spans="1:29" ht="12.75" customHeight="1">
      <c r="A442" s="93"/>
      <c r="B442" s="93"/>
      <c r="C442" s="93"/>
      <c r="D442" s="93"/>
      <c r="E442" s="93"/>
      <c r="F442" s="93"/>
      <c r="G442" s="93"/>
      <c r="H442" s="93"/>
      <c r="I442" s="128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</row>
    <row r="443" spans="1:29" ht="12.75" customHeight="1">
      <c r="A443" s="93"/>
      <c r="B443" s="93"/>
      <c r="C443" s="93"/>
      <c r="D443" s="93"/>
      <c r="E443" s="93"/>
      <c r="F443" s="93"/>
      <c r="G443" s="93"/>
      <c r="H443" s="93"/>
      <c r="I443" s="128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</row>
    <row r="444" spans="1:29" ht="12.75" customHeight="1">
      <c r="A444" s="93"/>
      <c r="B444" s="93"/>
      <c r="C444" s="93"/>
      <c r="D444" s="93"/>
      <c r="E444" s="93"/>
      <c r="F444" s="93"/>
      <c r="G444" s="93"/>
      <c r="H444" s="93"/>
      <c r="I444" s="128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</row>
    <row r="445" spans="1:29" ht="12.75" customHeight="1">
      <c r="A445" s="93"/>
      <c r="B445" s="93"/>
      <c r="C445" s="93"/>
      <c r="D445" s="93"/>
      <c r="E445" s="93"/>
      <c r="F445" s="93"/>
      <c r="G445" s="93"/>
      <c r="H445" s="93"/>
      <c r="I445" s="128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</row>
    <row r="446" spans="1:29" ht="12.75" customHeight="1">
      <c r="A446" s="93"/>
      <c r="B446" s="93"/>
      <c r="C446" s="93"/>
      <c r="D446" s="93"/>
      <c r="E446" s="93"/>
      <c r="F446" s="93"/>
      <c r="G446" s="93"/>
      <c r="H446" s="93"/>
      <c r="I446" s="128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</row>
    <row r="447" spans="1:29" ht="12.75" customHeight="1">
      <c r="A447" s="93"/>
      <c r="B447" s="93"/>
      <c r="C447" s="93"/>
      <c r="D447" s="93"/>
      <c r="E447" s="93"/>
      <c r="F447" s="93"/>
      <c r="G447" s="93"/>
      <c r="H447" s="93"/>
      <c r="I447" s="128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</row>
    <row r="448" spans="1:29" ht="12.75" customHeight="1">
      <c r="A448" s="93"/>
      <c r="B448" s="93"/>
      <c r="C448" s="93"/>
      <c r="D448" s="93"/>
      <c r="E448" s="93"/>
      <c r="F448" s="93"/>
      <c r="G448" s="93"/>
      <c r="H448" s="93"/>
      <c r="I448" s="128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</row>
    <row r="449" spans="1:29" ht="12.75" customHeight="1">
      <c r="A449" s="93"/>
      <c r="B449" s="93"/>
      <c r="C449" s="93"/>
      <c r="D449" s="93"/>
      <c r="E449" s="93"/>
      <c r="F449" s="93"/>
      <c r="G449" s="93"/>
      <c r="H449" s="93"/>
      <c r="I449" s="128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</row>
    <row r="450" spans="1:29" ht="12.75" customHeight="1">
      <c r="A450" s="93"/>
      <c r="B450" s="93"/>
      <c r="C450" s="93"/>
      <c r="D450" s="93"/>
      <c r="E450" s="93"/>
      <c r="F450" s="93"/>
      <c r="G450" s="93"/>
      <c r="H450" s="93"/>
      <c r="I450" s="128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</row>
    <row r="451" spans="1:29" ht="12.75" customHeight="1">
      <c r="A451" s="93"/>
      <c r="B451" s="93"/>
      <c r="C451" s="93"/>
      <c r="D451" s="93"/>
      <c r="E451" s="93"/>
      <c r="F451" s="93"/>
      <c r="G451" s="93"/>
      <c r="H451" s="93"/>
      <c r="I451" s="128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</row>
    <row r="452" spans="1:29" ht="12.75" customHeight="1">
      <c r="A452" s="93"/>
      <c r="B452" s="93"/>
      <c r="C452" s="93"/>
      <c r="D452" s="93"/>
      <c r="E452" s="93"/>
      <c r="F452" s="93"/>
      <c r="G452" s="93"/>
      <c r="H452" s="93"/>
      <c r="I452" s="128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</row>
    <row r="453" spans="1:29" ht="12.75" customHeight="1">
      <c r="A453" s="93"/>
      <c r="B453" s="93"/>
      <c r="C453" s="93"/>
      <c r="D453" s="93"/>
      <c r="E453" s="93"/>
      <c r="F453" s="93"/>
      <c r="G453" s="93"/>
      <c r="H453" s="93"/>
      <c r="I453" s="128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</row>
    <row r="454" spans="1:29" ht="12.75" customHeight="1">
      <c r="A454" s="93"/>
      <c r="B454" s="93"/>
      <c r="C454" s="93"/>
      <c r="D454" s="93"/>
      <c r="E454" s="93"/>
      <c r="F454" s="93"/>
      <c r="G454" s="93"/>
      <c r="H454" s="93"/>
      <c r="I454" s="128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</row>
    <row r="455" spans="1:29" ht="12.75" customHeight="1">
      <c r="A455" s="93"/>
      <c r="B455" s="93"/>
      <c r="C455" s="93"/>
      <c r="D455" s="93"/>
      <c r="E455" s="93"/>
      <c r="F455" s="93"/>
      <c r="G455" s="93"/>
      <c r="H455" s="93"/>
      <c r="I455" s="128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</row>
    <row r="456" spans="1:29" ht="12.75" customHeight="1">
      <c r="A456" s="93"/>
      <c r="B456" s="93"/>
      <c r="C456" s="93"/>
      <c r="D456" s="93"/>
      <c r="E456" s="93"/>
      <c r="F456" s="93"/>
      <c r="G456" s="93"/>
      <c r="H456" s="93"/>
      <c r="I456" s="128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</row>
    <row r="457" spans="1:29" ht="12.75" customHeight="1">
      <c r="A457" s="93"/>
      <c r="B457" s="93"/>
      <c r="C457" s="93"/>
      <c r="D457" s="93"/>
      <c r="E457" s="93"/>
      <c r="F457" s="93"/>
      <c r="G457" s="93"/>
      <c r="H457" s="93"/>
      <c r="I457" s="128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</row>
    <row r="458" spans="1:29" ht="12.75" customHeight="1">
      <c r="A458" s="93"/>
      <c r="B458" s="93"/>
      <c r="C458" s="93"/>
      <c r="D458" s="93"/>
      <c r="E458" s="93"/>
      <c r="F458" s="93"/>
      <c r="G458" s="93"/>
      <c r="H458" s="93"/>
      <c r="I458" s="128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</row>
    <row r="459" spans="1:29" ht="12.75" customHeight="1">
      <c r="A459" s="93"/>
      <c r="B459" s="93"/>
      <c r="C459" s="93"/>
      <c r="D459" s="93"/>
      <c r="E459" s="93"/>
      <c r="F459" s="93"/>
      <c r="G459" s="93"/>
      <c r="H459" s="93"/>
      <c r="I459" s="128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</row>
    <row r="460" spans="1:29" ht="12.75" customHeight="1">
      <c r="A460" s="93"/>
      <c r="B460" s="93"/>
      <c r="C460" s="93"/>
      <c r="D460" s="93"/>
      <c r="E460" s="93"/>
      <c r="F460" s="93"/>
      <c r="G460" s="93"/>
      <c r="H460" s="93"/>
      <c r="I460" s="128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</row>
    <row r="461" spans="1:29" ht="12.75" customHeight="1">
      <c r="A461" s="93"/>
      <c r="B461" s="93"/>
      <c r="C461" s="93"/>
      <c r="D461" s="93"/>
      <c r="E461" s="93"/>
      <c r="F461" s="93"/>
      <c r="G461" s="93"/>
      <c r="H461" s="93"/>
      <c r="I461" s="128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</row>
    <row r="462" spans="1:29" ht="12.75" customHeight="1">
      <c r="A462" s="93"/>
      <c r="B462" s="93"/>
      <c r="C462" s="93"/>
      <c r="D462" s="93"/>
      <c r="E462" s="93"/>
      <c r="F462" s="93"/>
      <c r="G462" s="93"/>
      <c r="H462" s="93"/>
      <c r="I462" s="128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</row>
    <row r="463" spans="1:29" ht="12.75" customHeight="1">
      <c r="A463" s="93"/>
      <c r="B463" s="93"/>
      <c r="C463" s="93"/>
      <c r="D463" s="93"/>
      <c r="E463" s="93"/>
      <c r="F463" s="93"/>
      <c r="G463" s="93"/>
      <c r="H463" s="93"/>
      <c r="I463" s="128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</row>
    <row r="464" spans="1:29" ht="12.75" customHeight="1">
      <c r="A464" s="93"/>
      <c r="B464" s="93"/>
      <c r="C464" s="93"/>
      <c r="D464" s="93"/>
      <c r="E464" s="93"/>
      <c r="F464" s="93"/>
      <c r="G464" s="93"/>
      <c r="H464" s="93"/>
      <c r="I464" s="128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</row>
    <row r="465" spans="1:29" ht="12.75" customHeight="1">
      <c r="A465" s="93"/>
      <c r="B465" s="93"/>
      <c r="C465" s="93"/>
      <c r="D465" s="93"/>
      <c r="E465" s="93"/>
      <c r="F465" s="93"/>
      <c r="G465" s="93"/>
      <c r="H465" s="93"/>
      <c r="I465" s="128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</row>
    <row r="466" spans="1:29" ht="12.75" customHeight="1">
      <c r="A466" s="93"/>
      <c r="B466" s="93"/>
      <c r="C466" s="93"/>
      <c r="D466" s="93"/>
      <c r="E466" s="93"/>
      <c r="F466" s="93"/>
      <c r="G466" s="93"/>
      <c r="H466" s="93"/>
      <c r="I466" s="128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</row>
    <row r="467" spans="1:29" ht="12.75" customHeight="1">
      <c r="A467" s="93"/>
      <c r="B467" s="93"/>
      <c r="C467" s="93"/>
      <c r="D467" s="93"/>
      <c r="E467" s="93"/>
      <c r="F467" s="93"/>
      <c r="G467" s="93"/>
      <c r="H467" s="93"/>
      <c r="I467" s="128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</row>
    <row r="468" spans="1:29" ht="12.75" customHeight="1">
      <c r="A468" s="93"/>
      <c r="B468" s="93"/>
      <c r="C468" s="93"/>
      <c r="D468" s="93"/>
      <c r="E468" s="93"/>
      <c r="F468" s="93"/>
      <c r="G468" s="93"/>
      <c r="H468" s="93"/>
      <c r="I468" s="128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</row>
    <row r="469" spans="1:29" ht="12.75" customHeight="1">
      <c r="A469" s="93"/>
      <c r="B469" s="93"/>
      <c r="C469" s="93"/>
      <c r="D469" s="93"/>
      <c r="E469" s="93"/>
      <c r="F469" s="93"/>
      <c r="G469" s="93"/>
      <c r="H469" s="93"/>
      <c r="I469" s="128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</row>
    <row r="470" spans="1:29" ht="12.75" customHeight="1">
      <c r="A470" s="93"/>
      <c r="B470" s="93"/>
      <c r="C470" s="93"/>
      <c r="D470" s="93"/>
      <c r="E470" s="93"/>
      <c r="F470" s="93"/>
      <c r="G470" s="93"/>
      <c r="H470" s="93"/>
      <c r="I470" s="128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</row>
    <row r="471" spans="1:29" ht="12.75" customHeight="1">
      <c r="A471" s="93"/>
      <c r="B471" s="93"/>
      <c r="C471" s="93"/>
      <c r="D471" s="93"/>
      <c r="E471" s="93"/>
      <c r="F471" s="93"/>
      <c r="G471" s="93"/>
      <c r="H471" s="93"/>
      <c r="I471" s="128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</row>
    <row r="472" spans="1:29" ht="12.75" customHeight="1">
      <c r="A472" s="93"/>
      <c r="B472" s="93"/>
      <c r="C472" s="93"/>
      <c r="D472" s="93"/>
      <c r="E472" s="93"/>
      <c r="F472" s="93"/>
      <c r="G472" s="93"/>
      <c r="H472" s="93"/>
      <c r="I472" s="128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</row>
    <row r="473" spans="1:29" ht="12.75" customHeight="1">
      <c r="A473" s="93"/>
      <c r="B473" s="93"/>
      <c r="C473" s="93"/>
      <c r="D473" s="93"/>
      <c r="E473" s="93"/>
      <c r="F473" s="93"/>
      <c r="G473" s="93"/>
      <c r="H473" s="93"/>
      <c r="I473" s="128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</row>
    <row r="474" spans="1:29" ht="12.75" customHeight="1">
      <c r="A474" s="93"/>
      <c r="B474" s="93"/>
      <c r="C474" s="93"/>
      <c r="D474" s="93"/>
      <c r="E474" s="93"/>
      <c r="F474" s="93"/>
      <c r="G474" s="93"/>
      <c r="H474" s="93"/>
      <c r="I474" s="128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</row>
    <row r="475" spans="1:29" ht="12.75" customHeight="1">
      <c r="A475" s="93"/>
      <c r="B475" s="93"/>
      <c r="C475" s="93"/>
      <c r="D475" s="93"/>
      <c r="E475" s="93"/>
      <c r="F475" s="93"/>
      <c r="G475" s="93"/>
      <c r="H475" s="93"/>
      <c r="I475" s="128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</row>
    <row r="476" spans="1:29" ht="12.75" customHeight="1">
      <c r="A476" s="93"/>
      <c r="B476" s="93"/>
      <c r="C476" s="93"/>
      <c r="D476" s="93"/>
      <c r="E476" s="93"/>
      <c r="F476" s="93"/>
      <c r="G476" s="93"/>
      <c r="H476" s="93"/>
      <c r="I476" s="128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</row>
    <row r="477" spans="1:29" ht="12.75" customHeight="1">
      <c r="A477" s="93"/>
      <c r="B477" s="93"/>
      <c r="C477" s="93"/>
      <c r="D477" s="93"/>
      <c r="E477" s="93"/>
      <c r="F477" s="93"/>
      <c r="G477" s="93"/>
      <c r="H477" s="93"/>
      <c r="I477" s="128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</row>
    <row r="478" spans="1:29" ht="12.75" customHeight="1">
      <c r="A478" s="93"/>
      <c r="B478" s="93"/>
      <c r="C478" s="93"/>
      <c r="D478" s="93"/>
      <c r="E478" s="93"/>
      <c r="F478" s="93"/>
      <c r="G478" s="93"/>
      <c r="H478" s="93"/>
      <c r="I478" s="128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</row>
    <row r="479" spans="1:29" ht="12.75" customHeight="1">
      <c r="A479" s="93"/>
      <c r="B479" s="93"/>
      <c r="C479" s="93"/>
      <c r="D479" s="93"/>
      <c r="E479" s="93"/>
      <c r="F479" s="93"/>
      <c r="G479" s="93"/>
      <c r="H479" s="93"/>
      <c r="I479" s="128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</row>
    <row r="480" spans="1:29" ht="12.75" customHeight="1">
      <c r="A480" s="93"/>
      <c r="B480" s="93"/>
      <c r="C480" s="93"/>
      <c r="D480" s="93"/>
      <c r="E480" s="93"/>
      <c r="F480" s="93"/>
      <c r="G480" s="93"/>
      <c r="H480" s="93"/>
      <c r="I480" s="128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</row>
    <row r="481" spans="1:29" ht="12.75" customHeight="1">
      <c r="A481" s="93"/>
      <c r="B481" s="93"/>
      <c r="C481" s="93"/>
      <c r="D481" s="93"/>
      <c r="E481" s="93"/>
      <c r="F481" s="93"/>
      <c r="G481" s="93"/>
      <c r="H481" s="93"/>
      <c r="I481" s="128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</row>
    <row r="482" spans="1:29" ht="12.75" customHeight="1">
      <c r="A482" s="93"/>
      <c r="B482" s="93"/>
      <c r="C482" s="93"/>
      <c r="D482" s="93"/>
      <c r="E482" s="93"/>
      <c r="F482" s="93"/>
      <c r="G482" s="93"/>
      <c r="H482" s="93"/>
      <c r="I482" s="128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</row>
    <row r="483" spans="1:29" ht="12.75" customHeight="1">
      <c r="A483" s="93"/>
      <c r="B483" s="93"/>
      <c r="C483" s="93"/>
      <c r="D483" s="93"/>
      <c r="E483" s="93"/>
      <c r="F483" s="93"/>
      <c r="G483" s="93"/>
      <c r="H483" s="93"/>
      <c r="I483" s="128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</row>
    <row r="484" spans="1:29" ht="12.75" customHeight="1">
      <c r="A484" s="93"/>
      <c r="B484" s="93"/>
      <c r="C484" s="93"/>
      <c r="D484" s="93"/>
      <c r="E484" s="93"/>
      <c r="F484" s="93"/>
      <c r="G484" s="93"/>
      <c r="H484" s="93"/>
      <c r="I484" s="128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</row>
    <row r="485" spans="1:29" ht="12.75" customHeight="1">
      <c r="A485" s="93"/>
      <c r="B485" s="93"/>
      <c r="C485" s="93"/>
      <c r="D485" s="93"/>
      <c r="E485" s="93"/>
      <c r="F485" s="93"/>
      <c r="G485" s="93"/>
      <c r="H485" s="93"/>
      <c r="I485" s="128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</row>
    <row r="486" spans="1:29" ht="12.75" customHeight="1">
      <c r="A486" s="93"/>
      <c r="B486" s="93"/>
      <c r="C486" s="93"/>
      <c r="D486" s="93"/>
      <c r="E486" s="93"/>
      <c r="F486" s="93"/>
      <c r="G486" s="93"/>
      <c r="H486" s="93"/>
      <c r="I486" s="128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</row>
    <row r="487" spans="1:29" ht="12.75" customHeight="1">
      <c r="A487" s="93"/>
      <c r="B487" s="93"/>
      <c r="C487" s="93"/>
      <c r="D487" s="93"/>
      <c r="E487" s="93"/>
      <c r="F487" s="93"/>
      <c r="G487" s="93"/>
      <c r="H487" s="93"/>
      <c r="I487" s="128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</row>
    <row r="488" spans="1:29" ht="12.75" customHeight="1">
      <c r="A488" s="93"/>
      <c r="B488" s="93"/>
      <c r="C488" s="93"/>
      <c r="D488" s="93"/>
      <c r="E488" s="93"/>
      <c r="F488" s="93"/>
      <c r="G488" s="93"/>
      <c r="H488" s="93"/>
      <c r="I488" s="128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</row>
    <row r="489" spans="1:29" ht="12.75" customHeight="1">
      <c r="A489" s="93"/>
      <c r="B489" s="93"/>
      <c r="C489" s="93"/>
      <c r="D489" s="93"/>
      <c r="E489" s="93"/>
      <c r="F489" s="93"/>
      <c r="G489" s="93"/>
      <c r="H489" s="93"/>
      <c r="I489" s="128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</row>
    <row r="490" spans="1:29" ht="12.75" customHeight="1">
      <c r="A490" s="93"/>
      <c r="B490" s="93"/>
      <c r="C490" s="93"/>
      <c r="D490" s="93"/>
      <c r="E490" s="93"/>
      <c r="F490" s="93"/>
      <c r="G490" s="93"/>
      <c r="H490" s="93"/>
      <c r="I490" s="128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</row>
    <row r="491" spans="1:29" ht="12.75" customHeight="1">
      <c r="A491" s="93"/>
      <c r="B491" s="93"/>
      <c r="C491" s="93"/>
      <c r="D491" s="93"/>
      <c r="E491" s="93"/>
      <c r="F491" s="93"/>
      <c r="G491" s="93"/>
      <c r="H491" s="93"/>
      <c r="I491" s="128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</row>
    <row r="492" spans="1:29" ht="12.75" customHeight="1">
      <c r="A492" s="93"/>
      <c r="B492" s="93"/>
      <c r="C492" s="93"/>
      <c r="D492" s="93"/>
      <c r="E492" s="93"/>
      <c r="F492" s="93"/>
      <c r="G492" s="93"/>
      <c r="H492" s="93"/>
      <c r="I492" s="128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</row>
    <row r="493" spans="1:29" ht="12.75" customHeight="1">
      <c r="A493" s="93"/>
      <c r="B493" s="93"/>
      <c r="C493" s="93"/>
      <c r="D493" s="93"/>
      <c r="E493" s="93"/>
      <c r="F493" s="93"/>
      <c r="G493" s="93"/>
      <c r="H493" s="93"/>
      <c r="I493" s="128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</row>
    <row r="494" spans="1:29" ht="12.75" customHeight="1">
      <c r="A494" s="93"/>
      <c r="B494" s="93"/>
      <c r="C494" s="93"/>
      <c r="D494" s="93"/>
      <c r="E494" s="93"/>
      <c r="F494" s="93"/>
      <c r="G494" s="93"/>
      <c r="H494" s="93"/>
      <c r="I494" s="128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</row>
    <row r="495" spans="1:29" ht="12.75" customHeight="1">
      <c r="A495" s="93"/>
      <c r="B495" s="93"/>
      <c r="C495" s="93"/>
      <c r="D495" s="93"/>
      <c r="E495" s="93"/>
      <c r="F495" s="93"/>
      <c r="G495" s="93"/>
      <c r="H495" s="93"/>
      <c r="I495" s="128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</row>
    <row r="496" spans="1:29" ht="12.75" customHeight="1">
      <c r="A496" s="93"/>
      <c r="B496" s="93"/>
      <c r="C496" s="93"/>
      <c r="D496" s="93"/>
      <c r="E496" s="93"/>
      <c r="F496" s="93"/>
      <c r="G496" s="93"/>
      <c r="H496" s="93"/>
      <c r="I496" s="128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</row>
    <row r="497" spans="1:29" ht="12.75" customHeight="1">
      <c r="A497" s="93"/>
      <c r="B497" s="93"/>
      <c r="C497" s="93"/>
      <c r="D497" s="93"/>
      <c r="E497" s="93"/>
      <c r="F497" s="93"/>
      <c r="G497" s="93"/>
      <c r="H497" s="93"/>
      <c r="I497" s="128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</row>
    <row r="498" spans="1:29" ht="12.75" customHeight="1">
      <c r="A498" s="93"/>
      <c r="B498" s="93"/>
      <c r="C498" s="93"/>
      <c r="D498" s="93"/>
      <c r="E498" s="93"/>
      <c r="F498" s="93"/>
      <c r="G498" s="93"/>
      <c r="H498" s="93"/>
      <c r="I498" s="128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</row>
    <row r="499" spans="1:29" ht="12.75" customHeight="1">
      <c r="A499" s="93"/>
      <c r="B499" s="93"/>
      <c r="C499" s="93"/>
      <c r="D499" s="93"/>
      <c r="E499" s="93"/>
      <c r="F499" s="93"/>
      <c r="G499" s="93"/>
      <c r="H499" s="93"/>
      <c r="I499" s="128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</row>
    <row r="500" spans="1:29" ht="12.75" customHeight="1">
      <c r="A500" s="93"/>
      <c r="B500" s="93"/>
      <c r="C500" s="93"/>
      <c r="D500" s="93"/>
      <c r="E500" s="93"/>
      <c r="F500" s="93"/>
      <c r="G500" s="93"/>
      <c r="H500" s="93"/>
      <c r="I500" s="128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</row>
    <row r="501" spans="1:29" ht="12.75" customHeight="1">
      <c r="A501" s="93"/>
      <c r="B501" s="93"/>
      <c r="C501" s="93"/>
      <c r="D501" s="93"/>
      <c r="E501" s="93"/>
      <c r="F501" s="93"/>
      <c r="G501" s="93"/>
      <c r="H501" s="93"/>
      <c r="I501" s="128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</row>
    <row r="502" spans="1:29" ht="12.75" customHeight="1">
      <c r="A502" s="93"/>
      <c r="B502" s="93"/>
      <c r="C502" s="93"/>
      <c r="D502" s="93"/>
      <c r="E502" s="93"/>
      <c r="F502" s="93"/>
      <c r="G502" s="93"/>
      <c r="H502" s="93"/>
      <c r="I502" s="128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</row>
    <row r="503" spans="1:29" ht="12.75" customHeight="1">
      <c r="A503" s="93"/>
      <c r="B503" s="93"/>
      <c r="C503" s="93"/>
      <c r="D503" s="93"/>
      <c r="E503" s="93"/>
      <c r="F503" s="93"/>
      <c r="G503" s="93"/>
      <c r="H503" s="93"/>
      <c r="I503" s="128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</row>
    <row r="504" spans="1:29" ht="12.75" customHeight="1">
      <c r="A504" s="93"/>
      <c r="B504" s="93"/>
      <c r="C504" s="93"/>
      <c r="D504" s="93"/>
      <c r="E504" s="93"/>
      <c r="F504" s="93"/>
      <c r="G504" s="93"/>
      <c r="H504" s="93"/>
      <c r="I504" s="128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</row>
    <row r="505" spans="1:29" ht="12.75" customHeight="1">
      <c r="A505" s="93"/>
      <c r="B505" s="93"/>
      <c r="C505" s="93"/>
      <c r="D505" s="93"/>
      <c r="E505" s="93"/>
      <c r="F505" s="93"/>
      <c r="G505" s="93"/>
      <c r="H505" s="93"/>
      <c r="I505" s="128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</row>
    <row r="506" spans="1:29" ht="12.75" customHeight="1">
      <c r="A506" s="93"/>
      <c r="B506" s="93"/>
      <c r="C506" s="93"/>
      <c r="D506" s="93"/>
      <c r="E506" s="93"/>
      <c r="F506" s="93"/>
      <c r="G506" s="93"/>
      <c r="H506" s="93"/>
      <c r="I506" s="128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</row>
    <row r="507" spans="1:29" ht="12.75" customHeight="1">
      <c r="A507" s="93"/>
      <c r="B507" s="93"/>
      <c r="C507" s="93"/>
      <c r="D507" s="93"/>
      <c r="E507" s="93"/>
      <c r="F507" s="93"/>
      <c r="G507" s="93"/>
      <c r="H507" s="93"/>
      <c r="I507" s="128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</row>
    <row r="508" spans="1:29" ht="12.75" customHeight="1">
      <c r="A508" s="93"/>
      <c r="B508" s="93"/>
      <c r="C508" s="93"/>
      <c r="D508" s="93"/>
      <c r="E508" s="93"/>
      <c r="F508" s="93"/>
      <c r="G508" s="93"/>
      <c r="H508" s="93"/>
      <c r="I508" s="128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</row>
    <row r="509" spans="1:29" ht="12.75" customHeight="1">
      <c r="A509" s="93"/>
      <c r="B509" s="93"/>
      <c r="C509" s="93"/>
      <c r="D509" s="93"/>
      <c r="E509" s="93"/>
      <c r="F509" s="93"/>
      <c r="G509" s="93"/>
      <c r="H509" s="93"/>
      <c r="I509" s="128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</row>
    <row r="510" spans="1:29" ht="12.75" customHeight="1">
      <c r="A510" s="93"/>
      <c r="B510" s="93"/>
      <c r="C510" s="93"/>
      <c r="D510" s="93"/>
      <c r="E510" s="93"/>
      <c r="F510" s="93"/>
      <c r="G510" s="93"/>
      <c r="H510" s="93"/>
      <c r="I510" s="128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</row>
    <row r="511" spans="1:29" ht="12.75" customHeight="1">
      <c r="A511" s="93"/>
      <c r="B511" s="93"/>
      <c r="C511" s="93"/>
      <c r="D511" s="93"/>
      <c r="E511" s="93"/>
      <c r="F511" s="93"/>
      <c r="G511" s="93"/>
      <c r="H511" s="93"/>
      <c r="I511" s="128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</row>
    <row r="512" spans="1:29" ht="12.75" customHeight="1">
      <c r="A512" s="93"/>
      <c r="B512" s="93"/>
      <c r="C512" s="93"/>
      <c r="D512" s="93"/>
      <c r="E512" s="93"/>
      <c r="F512" s="93"/>
      <c r="G512" s="93"/>
      <c r="H512" s="93"/>
      <c r="I512" s="128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</row>
    <row r="513" spans="1:29" ht="12.75" customHeight="1">
      <c r="A513" s="93"/>
      <c r="B513" s="93"/>
      <c r="C513" s="93"/>
      <c r="D513" s="93"/>
      <c r="E513" s="93"/>
      <c r="F513" s="93"/>
      <c r="G513" s="93"/>
      <c r="H513" s="93"/>
      <c r="I513" s="128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</row>
    <row r="514" spans="1:29" ht="12.75" customHeight="1">
      <c r="A514" s="93"/>
      <c r="B514" s="93"/>
      <c r="C514" s="93"/>
      <c r="D514" s="93"/>
      <c r="E514" s="93"/>
      <c r="F514" s="93"/>
      <c r="G514" s="93"/>
      <c r="H514" s="93"/>
      <c r="I514" s="128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</row>
    <row r="515" spans="1:29" ht="12.75" customHeight="1">
      <c r="A515" s="93"/>
      <c r="B515" s="93"/>
      <c r="C515" s="93"/>
      <c r="D515" s="93"/>
      <c r="E515" s="93"/>
      <c r="F515" s="93"/>
      <c r="G515" s="93"/>
      <c r="H515" s="93"/>
      <c r="I515" s="128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</row>
    <row r="516" spans="1:29" ht="12.75" customHeight="1">
      <c r="A516" s="93"/>
      <c r="B516" s="93"/>
      <c r="C516" s="93"/>
      <c r="D516" s="93"/>
      <c r="E516" s="93"/>
      <c r="F516" s="93"/>
      <c r="G516" s="93"/>
      <c r="H516" s="93"/>
      <c r="I516" s="128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</row>
    <row r="517" spans="1:29" ht="12.75" customHeight="1">
      <c r="A517" s="93"/>
      <c r="B517" s="93"/>
      <c r="C517" s="93"/>
      <c r="D517" s="93"/>
      <c r="E517" s="93"/>
      <c r="F517" s="93"/>
      <c r="G517" s="93"/>
      <c r="H517" s="93"/>
      <c r="I517" s="128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</row>
    <row r="518" spans="1:29" ht="12.75" customHeight="1">
      <c r="A518" s="93"/>
      <c r="B518" s="93"/>
      <c r="C518" s="93"/>
      <c r="D518" s="93"/>
      <c r="E518" s="93"/>
      <c r="F518" s="93"/>
      <c r="G518" s="93"/>
      <c r="H518" s="93"/>
      <c r="I518" s="128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</row>
    <row r="519" spans="1:29" ht="12.75" customHeight="1">
      <c r="A519" s="93"/>
      <c r="B519" s="93"/>
      <c r="C519" s="93"/>
      <c r="D519" s="93"/>
      <c r="E519" s="93"/>
      <c r="F519" s="93"/>
      <c r="G519" s="93"/>
      <c r="H519" s="93"/>
      <c r="I519" s="128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</row>
    <row r="520" spans="1:29" ht="12.75" customHeight="1">
      <c r="A520" s="93"/>
      <c r="B520" s="93"/>
      <c r="C520" s="93"/>
      <c r="D520" s="93"/>
      <c r="E520" s="93"/>
      <c r="F520" s="93"/>
      <c r="G520" s="93"/>
      <c r="H520" s="93"/>
      <c r="I520" s="128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</row>
    <row r="521" spans="1:29" ht="12.75" customHeight="1">
      <c r="A521" s="93"/>
      <c r="B521" s="93"/>
      <c r="C521" s="93"/>
      <c r="D521" s="93"/>
      <c r="E521" s="93"/>
      <c r="F521" s="93"/>
      <c r="G521" s="93"/>
      <c r="H521" s="93"/>
      <c r="I521" s="128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</row>
    <row r="522" spans="1:29" ht="12.75" customHeight="1">
      <c r="A522" s="93"/>
      <c r="B522" s="93"/>
      <c r="C522" s="93"/>
      <c r="D522" s="93"/>
      <c r="E522" s="93"/>
      <c r="F522" s="93"/>
      <c r="G522" s="93"/>
      <c r="H522" s="93"/>
      <c r="I522" s="128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</row>
    <row r="523" spans="1:29" ht="12.75" customHeight="1">
      <c r="A523" s="93"/>
      <c r="B523" s="93"/>
      <c r="C523" s="93"/>
      <c r="D523" s="93"/>
      <c r="E523" s="93"/>
      <c r="F523" s="93"/>
      <c r="G523" s="93"/>
      <c r="H523" s="93"/>
      <c r="I523" s="128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</row>
    <row r="524" spans="1:29" ht="12.75" customHeight="1">
      <c r="A524" s="93"/>
      <c r="B524" s="93"/>
      <c r="C524" s="93"/>
      <c r="D524" s="93"/>
      <c r="E524" s="93"/>
      <c r="F524" s="93"/>
      <c r="G524" s="93"/>
      <c r="H524" s="93"/>
      <c r="I524" s="128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</row>
    <row r="525" spans="1:29" ht="12.75" customHeight="1">
      <c r="A525" s="93"/>
      <c r="B525" s="93"/>
      <c r="C525" s="93"/>
      <c r="D525" s="93"/>
      <c r="E525" s="93"/>
      <c r="F525" s="93"/>
      <c r="G525" s="93"/>
      <c r="H525" s="93"/>
      <c r="I525" s="128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</row>
    <row r="526" spans="1:29" ht="12.75" customHeight="1">
      <c r="A526" s="93"/>
      <c r="B526" s="93"/>
      <c r="C526" s="93"/>
      <c r="D526" s="93"/>
      <c r="E526" s="93"/>
      <c r="F526" s="93"/>
      <c r="G526" s="93"/>
      <c r="H526" s="93"/>
      <c r="I526" s="128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</row>
    <row r="527" spans="1:29" ht="12.75" customHeight="1">
      <c r="A527" s="93"/>
      <c r="B527" s="93"/>
      <c r="C527" s="93"/>
      <c r="D527" s="93"/>
      <c r="E527" s="93"/>
      <c r="F527" s="93"/>
      <c r="G527" s="93"/>
      <c r="H527" s="93"/>
      <c r="I527" s="128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</row>
    <row r="528" spans="1:29" ht="12.75" customHeight="1">
      <c r="A528" s="93"/>
      <c r="B528" s="93"/>
      <c r="C528" s="93"/>
      <c r="D528" s="93"/>
      <c r="E528" s="93"/>
      <c r="F528" s="93"/>
      <c r="G528" s="93"/>
      <c r="H528" s="93"/>
      <c r="I528" s="128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</row>
    <row r="529" spans="1:29" ht="12.75" customHeight="1">
      <c r="A529" s="93"/>
      <c r="B529" s="93"/>
      <c r="C529" s="93"/>
      <c r="D529" s="93"/>
      <c r="E529" s="93"/>
      <c r="F529" s="93"/>
      <c r="G529" s="93"/>
      <c r="H529" s="93"/>
      <c r="I529" s="128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</row>
    <row r="530" spans="1:29" ht="12.75" customHeight="1">
      <c r="A530" s="93"/>
      <c r="B530" s="93"/>
      <c r="C530" s="93"/>
      <c r="D530" s="93"/>
      <c r="E530" s="93"/>
      <c r="F530" s="93"/>
      <c r="G530" s="93"/>
      <c r="H530" s="93"/>
      <c r="I530" s="128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</row>
    <row r="531" spans="1:29" ht="12.75" customHeight="1">
      <c r="A531" s="93"/>
      <c r="B531" s="93"/>
      <c r="C531" s="93"/>
      <c r="D531" s="93"/>
      <c r="E531" s="93"/>
      <c r="F531" s="93"/>
      <c r="G531" s="93"/>
      <c r="H531" s="93"/>
      <c r="I531" s="128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</row>
    <row r="532" spans="1:29" ht="12.75" customHeight="1">
      <c r="A532" s="93"/>
      <c r="B532" s="93"/>
      <c r="C532" s="93"/>
      <c r="D532" s="93"/>
      <c r="E532" s="93"/>
      <c r="F532" s="93"/>
      <c r="G532" s="93"/>
      <c r="H532" s="93"/>
      <c r="I532" s="128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</row>
    <row r="533" spans="1:29" ht="12.75" customHeight="1">
      <c r="A533" s="93"/>
      <c r="B533" s="93"/>
      <c r="C533" s="93"/>
      <c r="D533" s="93"/>
      <c r="E533" s="93"/>
      <c r="F533" s="93"/>
      <c r="G533" s="93"/>
      <c r="H533" s="93"/>
      <c r="I533" s="128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</row>
    <row r="534" spans="1:29" ht="12.75" customHeight="1">
      <c r="A534" s="93"/>
      <c r="B534" s="93"/>
      <c r="C534" s="93"/>
      <c r="D534" s="93"/>
      <c r="E534" s="93"/>
      <c r="F534" s="93"/>
      <c r="G534" s="93"/>
      <c r="H534" s="93"/>
      <c r="I534" s="128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</row>
    <row r="535" spans="1:29" ht="12.75" customHeight="1">
      <c r="A535" s="93"/>
      <c r="B535" s="93"/>
      <c r="C535" s="93"/>
      <c r="D535" s="93"/>
      <c r="E535" s="93"/>
      <c r="F535" s="93"/>
      <c r="G535" s="93"/>
      <c r="H535" s="93"/>
      <c r="I535" s="128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</row>
    <row r="536" spans="1:29" ht="12.75" customHeight="1">
      <c r="A536" s="93"/>
      <c r="B536" s="93"/>
      <c r="C536" s="93"/>
      <c r="D536" s="93"/>
      <c r="E536" s="93"/>
      <c r="F536" s="93"/>
      <c r="G536" s="93"/>
      <c r="H536" s="93"/>
      <c r="I536" s="128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</row>
    <row r="537" spans="1:29" ht="12.75" customHeight="1">
      <c r="A537" s="93"/>
      <c r="B537" s="93"/>
      <c r="C537" s="93"/>
      <c r="D537" s="93"/>
      <c r="E537" s="93"/>
      <c r="F537" s="93"/>
      <c r="G537" s="93"/>
      <c r="H537" s="93"/>
      <c r="I537" s="128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</row>
    <row r="538" spans="1:29" ht="12.75" customHeight="1">
      <c r="A538" s="93"/>
      <c r="B538" s="93"/>
      <c r="C538" s="93"/>
      <c r="D538" s="93"/>
      <c r="E538" s="93"/>
      <c r="F538" s="93"/>
      <c r="G538" s="93"/>
      <c r="H538" s="93"/>
      <c r="I538" s="128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</row>
    <row r="539" spans="1:29" ht="12.75" customHeight="1">
      <c r="A539" s="93"/>
      <c r="B539" s="93"/>
      <c r="C539" s="93"/>
      <c r="D539" s="93"/>
      <c r="E539" s="93"/>
      <c r="F539" s="93"/>
      <c r="G539" s="93"/>
      <c r="H539" s="93"/>
      <c r="I539" s="128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</row>
    <row r="540" spans="1:29" ht="12.75" customHeight="1">
      <c r="A540" s="93"/>
      <c r="B540" s="93"/>
      <c r="C540" s="93"/>
      <c r="D540" s="93"/>
      <c r="E540" s="93"/>
      <c r="F540" s="93"/>
      <c r="G540" s="93"/>
      <c r="H540" s="93"/>
      <c r="I540" s="128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</row>
    <row r="541" spans="1:29" ht="12.75" customHeight="1">
      <c r="A541" s="93"/>
      <c r="B541" s="93"/>
      <c r="C541" s="93"/>
      <c r="D541" s="93"/>
      <c r="E541" s="93"/>
      <c r="F541" s="93"/>
      <c r="G541" s="93"/>
      <c r="H541" s="93"/>
      <c r="I541" s="128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</row>
    <row r="542" spans="1:29" ht="12.75" customHeight="1">
      <c r="A542" s="93"/>
      <c r="B542" s="93"/>
      <c r="C542" s="93"/>
      <c r="D542" s="93"/>
      <c r="E542" s="93"/>
      <c r="F542" s="93"/>
      <c r="G542" s="93"/>
      <c r="H542" s="93"/>
      <c r="I542" s="128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</row>
    <row r="543" spans="1:29" ht="12.75" customHeight="1">
      <c r="A543" s="93"/>
      <c r="B543" s="93"/>
      <c r="C543" s="93"/>
      <c r="D543" s="93"/>
      <c r="E543" s="93"/>
      <c r="F543" s="93"/>
      <c r="G543" s="93"/>
      <c r="H543" s="93"/>
      <c r="I543" s="128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</row>
    <row r="544" spans="1:29" ht="12.75" customHeight="1">
      <c r="A544" s="93"/>
      <c r="B544" s="93"/>
      <c r="C544" s="93"/>
      <c r="D544" s="93"/>
      <c r="E544" s="93"/>
      <c r="F544" s="93"/>
      <c r="G544" s="93"/>
      <c r="H544" s="93"/>
      <c r="I544" s="128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</row>
    <row r="545" spans="1:29" ht="12.75" customHeight="1">
      <c r="A545" s="93"/>
      <c r="B545" s="93"/>
      <c r="C545" s="93"/>
      <c r="D545" s="93"/>
      <c r="E545" s="93"/>
      <c r="F545" s="93"/>
      <c r="G545" s="93"/>
      <c r="H545" s="93"/>
      <c r="I545" s="128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</row>
    <row r="546" spans="1:29" ht="12.75" customHeight="1">
      <c r="A546" s="93"/>
      <c r="B546" s="93"/>
      <c r="C546" s="93"/>
      <c r="D546" s="93"/>
      <c r="E546" s="93"/>
      <c r="F546" s="93"/>
      <c r="G546" s="93"/>
      <c r="H546" s="93"/>
      <c r="I546" s="128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</row>
    <row r="547" spans="1:29" ht="12.75" customHeight="1">
      <c r="A547" s="93"/>
      <c r="B547" s="93"/>
      <c r="C547" s="93"/>
      <c r="D547" s="93"/>
      <c r="E547" s="93"/>
      <c r="F547" s="93"/>
      <c r="G547" s="93"/>
      <c r="H547" s="93"/>
      <c r="I547" s="128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</row>
    <row r="548" spans="1:29" ht="12.75" customHeight="1">
      <c r="A548" s="93"/>
      <c r="B548" s="93"/>
      <c r="C548" s="93"/>
      <c r="D548" s="93"/>
      <c r="E548" s="93"/>
      <c r="F548" s="93"/>
      <c r="G548" s="93"/>
      <c r="H548" s="93"/>
      <c r="I548" s="128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</row>
    <row r="549" spans="1:29" ht="12.75" customHeight="1">
      <c r="A549" s="93"/>
      <c r="B549" s="93"/>
      <c r="C549" s="93"/>
      <c r="D549" s="93"/>
      <c r="E549" s="93"/>
      <c r="F549" s="93"/>
      <c r="G549" s="93"/>
      <c r="H549" s="93"/>
      <c r="I549" s="128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</row>
    <row r="550" spans="1:29" ht="12.75" customHeight="1">
      <c r="A550" s="93"/>
      <c r="B550" s="93"/>
      <c r="C550" s="93"/>
      <c r="D550" s="93"/>
      <c r="E550" s="93"/>
      <c r="F550" s="93"/>
      <c r="G550" s="93"/>
      <c r="H550" s="93"/>
      <c r="I550" s="128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</row>
    <row r="551" spans="1:29" ht="12.75" customHeight="1">
      <c r="A551" s="93"/>
      <c r="B551" s="93"/>
      <c r="C551" s="93"/>
      <c r="D551" s="93"/>
      <c r="E551" s="93"/>
      <c r="F551" s="93"/>
      <c r="G551" s="93"/>
      <c r="H551" s="93"/>
      <c r="I551" s="128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</row>
    <row r="552" spans="1:29" ht="12.75" customHeight="1">
      <c r="A552" s="93"/>
      <c r="B552" s="93"/>
      <c r="C552" s="93"/>
      <c r="D552" s="93"/>
      <c r="E552" s="93"/>
      <c r="F552" s="93"/>
      <c r="G552" s="93"/>
      <c r="H552" s="93"/>
      <c r="I552" s="128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</row>
    <row r="553" spans="1:29" ht="12.75" customHeight="1">
      <c r="A553" s="93"/>
      <c r="B553" s="93"/>
      <c r="C553" s="93"/>
      <c r="D553" s="93"/>
      <c r="E553" s="93"/>
      <c r="F553" s="93"/>
      <c r="G553" s="93"/>
      <c r="H553" s="93"/>
      <c r="I553" s="128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</row>
    <row r="554" spans="1:29" ht="12.75" customHeight="1">
      <c r="A554" s="93"/>
      <c r="B554" s="93"/>
      <c r="C554" s="93"/>
      <c r="D554" s="93"/>
      <c r="E554" s="93"/>
      <c r="F554" s="93"/>
      <c r="G554" s="93"/>
      <c r="H554" s="93"/>
      <c r="I554" s="128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</row>
    <row r="555" spans="1:29" ht="12.75" customHeight="1">
      <c r="A555" s="93"/>
      <c r="B555" s="93"/>
      <c r="C555" s="93"/>
      <c r="D555" s="93"/>
      <c r="E555" s="93"/>
      <c r="F555" s="93"/>
      <c r="G555" s="93"/>
      <c r="H555" s="93"/>
      <c r="I555" s="128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</row>
    <row r="556" spans="1:29" ht="12.75" customHeight="1">
      <c r="A556" s="93"/>
      <c r="B556" s="93"/>
      <c r="C556" s="93"/>
      <c r="D556" s="93"/>
      <c r="E556" s="93"/>
      <c r="F556" s="93"/>
      <c r="G556" s="93"/>
      <c r="H556" s="93"/>
      <c r="I556" s="128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</row>
    <row r="557" spans="1:29" ht="12.75" customHeight="1">
      <c r="A557" s="93"/>
      <c r="B557" s="93"/>
      <c r="C557" s="93"/>
      <c r="D557" s="93"/>
      <c r="E557" s="93"/>
      <c r="F557" s="93"/>
      <c r="G557" s="93"/>
      <c r="H557" s="93"/>
      <c r="I557" s="128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</row>
    <row r="558" spans="1:29" ht="12.75" customHeight="1">
      <c r="A558" s="93"/>
      <c r="B558" s="93"/>
      <c r="C558" s="93"/>
      <c r="D558" s="93"/>
      <c r="E558" s="93"/>
      <c r="F558" s="93"/>
      <c r="G558" s="93"/>
      <c r="H558" s="93"/>
      <c r="I558" s="128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</row>
    <row r="559" spans="1:29" ht="12.75" customHeight="1">
      <c r="A559" s="93"/>
      <c r="B559" s="93"/>
      <c r="C559" s="93"/>
      <c r="D559" s="93"/>
      <c r="E559" s="93"/>
      <c r="F559" s="93"/>
      <c r="G559" s="93"/>
      <c r="H559" s="93"/>
      <c r="I559" s="128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</row>
    <row r="560" spans="1:29" ht="12.75" customHeight="1">
      <c r="A560" s="93"/>
      <c r="B560" s="93"/>
      <c r="C560" s="93"/>
      <c r="D560" s="93"/>
      <c r="E560" s="93"/>
      <c r="F560" s="93"/>
      <c r="G560" s="93"/>
      <c r="H560" s="93"/>
      <c r="I560" s="128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</row>
    <row r="561" spans="1:29" ht="12.75" customHeight="1">
      <c r="A561" s="93"/>
      <c r="B561" s="93"/>
      <c r="C561" s="93"/>
      <c r="D561" s="93"/>
      <c r="E561" s="93"/>
      <c r="F561" s="93"/>
      <c r="G561" s="93"/>
      <c r="H561" s="93"/>
      <c r="I561" s="128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</row>
    <row r="562" spans="1:29" ht="12.75" customHeight="1">
      <c r="A562" s="93"/>
      <c r="B562" s="93"/>
      <c r="C562" s="93"/>
      <c r="D562" s="93"/>
      <c r="E562" s="93"/>
      <c r="F562" s="93"/>
      <c r="G562" s="93"/>
      <c r="H562" s="93"/>
      <c r="I562" s="128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</row>
    <row r="563" spans="1:29" ht="12.75" customHeight="1">
      <c r="A563" s="93"/>
      <c r="B563" s="93"/>
      <c r="C563" s="93"/>
      <c r="D563" s="93"/>
      <c r="E563" s="93"/>
      <c r="F563" s="93"/>
      <c r="G563" s="93"/>
      <c r="H563" s="93"/>
      <c r="I563" s="128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</row>
    <row r="564" spans="1:29" ht="12.75" customHeight="1">
      <c r="A564" s="93"/>
      <c r="B564" s="93"/>
      <c r="C564" s="93"/>
      <c r="D564" s="93"/>
      <c r="E564" s="93"/>
      <c r="F564" s="93"/>
      <c r="G564" s="93"/>
      <c r="H564" s="93"/>
      <c r="I564" s="128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</row>
    <row r="565" spans="1:29" ht="12.75" customHeight="1">
      <c r="A565" s="93"/>
      <c r="B565" s="93"/>
      <c r="C565" s="93"/>
      <c r="D565" s="93"/>
      <c r="E565" s="93"/>
      <c r="F565" s="93"/>
      <c r="G565" s="93"/>
      <c r="H565" s="93"/>
      <c r="I565" s="128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</row>
    <row r="566" spans="1:29" ht="12.75" customHeight="1">
      <c r="A566" s="93"/>
      <c r="B566" s="93"/>
      <c r="C566" s="93"/>
      <c r="D566" s="93"/>
      <c r="E566" s="93"/>
      <c r="F566" s="93"/>
      <c r="G566" s="93"/>
      <c r="H566" s="93"/>
      <c r="I566" s="128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</row>
    <row r="567" spans="1:29" ht="12.75" customHeight="1">
      <c r="A567" s="93"/>
      <c r="B567" s="93"/>
      <c r="C567" s="93"/>
      <c r="D567" s="93"/>
      <c r="E567" s="93"/>
      <c r="F567" s="93"/>
      <c r="G567" s="93"/>
      <c r="H567" s="93"/>
      <c r="I567" s="128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</row>
    <row r="568" spans="1:29" ht="12.75" customHeight="1">
      <c r="A568" s="93"/>
      <c r="B568" s="93"/>
      <c r="C568" s="93"/>
      <c r="D568" s="93"/>
      <c r="E568" s="93"/>
      <c r="F568" s="93"/>
      <c r="G568" s="93"/>
      <c r="H568" s="93"/>
      <c r="I568" s="128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</row>
    <row r="569" spans="1:29" ht="12.75" customHeight="1">
      <c r="A569" s="93"/>
      <c r="B569" s="93"/>
      <c r="C569" s="93"/>
      <c r="D569" s="93"/>
      <c r="E569" s="93"/>
      <c r="F569" s="93"/>
      <c r="G569" s="93"/>
      <c r="H569" s="93"/>
      <c r="I569" s="128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</row>
    <row r="570" spans="1:29" ht="12.75" customHeight="1">
      <c r="A570" s="93"/>
      <c r="B570" s="93"/>
      <c r="C570" s="93"/>
      <c r="D570" s="93"/>
      <c r="E570" s="93"/>
      <c r="F570" s="93"/>
      <c r="G570" s="93"/>
      <c r="H570" s="93"/>
      <c r="I570" s="128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</row>
    <row r="571" spans="1:29" ht="12.75" customHeight="1">
      <c r="A571" s="93"/>
      <c r="B571" s="93"/>
      <c r="C571" s="93"/>
      <c r="D571" s="93"/>
      <c r="E571" s="93"/>
      <c r="F571" s="93"/>
      <c r="G571" s="93"/>
      <c r="H571" s="93"/>
      <c r="I571" s="128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</row>
    <row r="572" spans="1:29" ht="12.75" customHeight="1">
      <c r="A572" s="93"/>
      <c r="B572" s="93"/>
      <c r="C572" s="93"/>
      <c r="D572" s="93"/>
      <c r="E572" s="93"/>
      <c r="F572" s="93"/>
      <c r="G572" s="93"/>
      <c r="H572" s="93"/>
      <c r="I572" s="128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</row>
    <row r="573" spans="1:29" ht="12.75" customHeight="1">
      <c r="A573" s="93"/>
      <c r="B573" s="93"/>
      <c r="C573" s="93"/>
      <c r="D573" s="93"/>
      <c r="E573" s="93"/>
      <c r="F573" s="93"/>
      <c r="G573" s="93"/>
      <c r="H573" s="93"/>
      <c r="I573" s="128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</row>
    <row r="574" spans="1:29" ht="12.75" customHeight="1">
      <c r="A574" s="93"/>
      <c r="B574" s="93"/>
      <c r="C574" s="93"/>
      <c r="D574" s="93"/>
      <c r="E574" s="93"/>
      <c r="F574" s="93"/>
      <c r="G574" s="93"/>
      <c r="H574" s="93"/>
      <c r="I574" s="128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</row>
    <row r="575" spans="1:29" ht="12.75" customHeight="1">
      <c r="A575" s="93"/>
      <c r="B575" s="93"/>
      <c r="C575" s="93"/>
      <c r="D575" s="93"/>
      <c r="E575" s="93"/>
      <c r="F575" s="93"/>
      <c r="G575" s="93"/>
      <c r="H575" s="93"/>
      <c r="I575" s="128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</row>
    <row r="576" spans="1:29" ht="12.75" customHeight="1">
      <c r="A576" s="93"/>
      <c r="B576" s="93"/>
      <c r="C576" s="93"/>
      <c r="D576" s="93"/>
      <c r="E576" s="93"/>
      <c r="F576" s="93"/>
      <c r="G576" s="93"/>
      <c r="H576" s="93"/>
      <c r="I576" s="128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</row>
    <row r="577" spans="1:29" ht="12.75" customHeight="1">
      <c r="A577" s="93"/>
      <c r="B577" s="93"/>
      <c r="C577" s="93"/>
      <c r="D577" s="93"/>
      <c r="E577" s="93"/>
      <c r="F577" s="93"/>
      <c r="G577" s="93"/>
      <c r="H577" s="93"/>
      <c r="I577" s="128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</row>
    <row r="578" spans="1:29" ht="12.75" customHeight="1">
      <c r="A578" s="93"/>
      <c r="B578" s="93"/>
      <c r="C578" s="93"/>
      <c r="D578" s="93"/>
      <c r="E578" s="93"/>
      <c r="F578" s="93"/>
      <c r="G578" s="93"/>
      <c r="H578" s="93"/>
      <c r="I578" s="128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</row>
    <row r="579" spans="1:29" ht="12.75" customHeight="1">
      <c r="A579" s="93"/>
      <c r="B579" s="93"/>
      <c r="C579" s="93"/>
      <c r="D579" s="93"/>
      <c r="E579" s="93"/>
      <c r="F579" s="93"/>
      <c r="G579" s="93"/>
      <c r="H579" s="93"/>
      <c r="I579" s="128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</row>
    <row r="580" spans="1:29" ht="12.75" customHeight="1">
      <c r="A580" s="93"/>
      <c r="B580" s="93"/>
      <c r="C580" s="93"/>
      <c r="D580" s="93"/>
      <c r="E580" s="93"/>
      <c r="F580" s="93"/>
      <c r="G580" s="93"/>
      <c r="H580" s="93"/>
      <c r="I580" s="128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</row>
    <row r="581" spans="1:29" ht="12.75" customHeight="1">
      <c r="A581" s="93"/>
      <c r="B581" s="93"/>
      <c r="C581" s="93"/>
      <c r="D581" s="93"/>
      <c r="E581" s="93"/>
      <c r="F581" s="93"/>
      <c r="G581" s="93"/>
      <c r="H581" s="93"/>
      <c r="I581" s="128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</row>
    <row r="582" spans="1:29" ht="12.75" customHeight="1">
      <c r="A582" s="93"/>
      <c r="B582" s="93"/>
      <c r="C582" s="93"/>
      <c r="D582" s="93"/>
      <c r="E582" s="93"/>
      <c r="F582" s="93"/>
      <c r="G582" s="93"/>
      <c r="H582" s="93"/>
      <c r="I582" s="128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</row>
    <row r="583" spans="1:29" ht="12.75" customHeight="1">
      <c r="A583" s="93"/>
      <c r="B583" s="93"/>
      <c r="C583" s="93"/>
      <c r="D583" s="93"/>
      <c r="E583" s="93"/>
      <c r="F583" s="93"/>
      <c r="G583" s="93"/>
      <c r="H583" s="93"/>
      <c r="I583" s="128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</row>
    <row r="584" spans="1:29" ht="12.75" customHeight="1">
      <c r="A584" s="93"/>
      <c r="B584" s="93"/>
      <c r="C584" s="93"/>
      <c r="D584" s="93"/>
      <c r="E584" s="93"/>
      <c r="F584" s="93"/>
      <c r="G584" s="93"/>
      <c r="H584" s="93"/>
      <c r="I584" s="128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</row>
    <row r="585" spans="1:29" ht="12.75" customHeight="1">
      <c r="A585" s="93"/>
      <c r="B585" s="93"/>
      <c r="C585" s="93"/>
      <c r="D585" s="93"/>
      <c r="E585" s="93"/>
      <c r="F585" s="93"/>
      <c r="G585" s="93"/>
      <c r="H585" s="93"/>
      <c r="I585" s="128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</row>
    <row r="586" spans="1:29" ht="12.75" customHeight="1">
      <c r="A586" s="93"/>
      <c r="B586" s="93"/>
      <c r="C586" s="93"/>
      <c r="D586" s="93"/>
      <c r="E586" s="93"/>
      <c r="F586" s="93"/>
      <c r="G586" s="93"/>
      <c r="H586" s="93"/>
      <c r="I586" s="128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</row>
    <row r="587" spans="1:29" ht="12.75" customHeight="1">
      <c r="A587" s="93"/>
      <c r="B587" s="93"/>
      <c r="C587" s="93"/>
      <c r="D587" s="93"/>
      <c r="E587" s="93"/>
      <c r="F587" s="93"/>
      <c r="G587" s="93"/>
      <c r="H587" s="93"/>
      <c r="I587" s="128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</row>
    <row r="588" spans="1:29" ht="12.75" customHeight="1">
      <c r="A588" s="93"/>
      <c r="B588" s="93"/>
      <c r="C588" s="93"/>
      <c r="D588" s="93"/>
      <c r="E588" s="93"/>
      <c r="F588" s="93"/>
      <c r="G588" s="93"/>
      <c r="H588" s="93"/>
      <c r="I588" s="128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</row>
    <row r="589" spans="1:29" ht="12.75" customHeight="1">
      <c r="A589" s="93"/>
      <c r="B589" s="93"/>
      <c r="C589" s="93"/>
      <c r="D589" s="93"/>
      <c r="E589" s="93"/>
      <c r="F589" s="93"/>
      <c r="G589" s="93"/>
      <c r="H589" s="93"/>
      <c r="I589" s="128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</row>
    <row r="590" spans="1:29" ht="12.75" customHeight="1">
      <c r="A590" s="93"/>
      <c r="B590" s="93"/>
      <c r="C590" s="93"/>
      <c r="D590" s="93"/>
      <c r="E590" s="93"/>
      <c r="F590" s="93"/>
      <c r="G590" s="93"/>
      <c r="H590" s="93"/>
      <c r="I590" s="128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</row>
    <row r="591" spans="1:29" ht="12.75" customHeight="1">
      <c r="A591" s="93"/>
      <c r="B591" s="93"/>
      <c r="C591" s="93"/>
      <c r="D591" s="93"/>
      <c r="E591" s="93"/>
      <c r="F591" s="93"/>
      <c r="G591" s="93"/>
      <c r="H591" s="93"/>
      <c r="I591" s="128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</row>
    <row r="592" spans="1:29" ht="12.75" customHeight="1">
      <c r="A592" s="93"/>
      <c r="B592" s="93"/>
      <c r="C592" s="93"/>
      <c r="D592" s="93"/>
      <c r="E592" s="93"/>
      <c r="F592" s="93"/>
      <c r="G592" s="93"/>
      <c r="H592" s="93"/>
      <c r="I592" s="128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</row>
    <row r="593" spans="1:29" ht="12.75" customHeight="1">
      <c r="A593" s="93"/>
      <c r="B593" s="93"/>
      <c r="C593" s="93"/>
      <c r="D593" s="93"/>
      <c r="E593" s="93"/>
      <c r="F593" s="93"/>
      <c r="G593" s="93"/>
      <c r="H593" s="93"/>
      <c r="I593" s="128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</row>
    <row r="594" spans="1:29" ht="12.75" customHeight="1">
      <c r="A594" s="93"/>
      <c r="B594" s="93"/>
      <c r="C594" s="93"/>
      <c r="D594" s="93"/>
      <c r="E594" s="93"/>
      <c r="F594" s="93"/>
      <c r="G594" s="93"/>
      <c r="H594" s="93"/>
      <c r="I594" s="128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</row>
    <row r="595" spans="1:29" ht="12.75" customHeight="1">
      <c r="A595" s="93"/>
      <c r="B595" s="93"/>
      <c r="C595" s="93"/>
      <c r="D595" s="93"/>
      <c r="E595" s="93"/>
      <c r="F595" s="93"/>
      <c r="G595" s="93"/>
      <c r="H595" s="93"/>
      <c r="I595" s="128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</row>
    <row r="596" spans="1:29" ht="12.75" customHeight="1">
      <c r="A596" s="93"/>
      <c r="B596" s="93"/>
      <c r="C596" s="93"/>
      <c r="D596" s="93"/>
      <c r="E596" s="93"/>
      <c r="F596" s="93"/>
      <c r="G596" s="93"/>
      <c r="H596" s="93"/>
      <c r="I596" s="128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</row>
    <row r="597" spans="1:29" ht="12.75" customHeight="1">
      <c r="A597" s="93"/>
      <c r="B597" s="93"/>
      <c r="C597" s="93"/>
      <c r="D597" s="93"/>
      <c r="E597" s="93"/>
      <c r="F597" s="93"/>
      <c r="G597" s="93"/>
      <c r="H597" s="93"/>
      <c r="I597" s="128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</row>
    <row r="598" spans="1:29" ht="12.75" customHeight="1">
      <c r="A598" s="93"/>
      <c r="B598" s="93"/>
      <c r="C598" s="93"/>
      <c r="D598" s="93"/>
      <c r="E598" s="93"/>
      <c r="F598" s="93"/>
      <c r="G598" s="93"/>
      <c r="H598" s="93"/>
      <c r="I598" s="128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</row>
    <row r="599" spans="1:29" ht="12.75" customHeight="1">
      <c r="A599" s="93"/>
      <c r="B599" s="93"/>
      <c r="C599" s="93"/>
      <c r="D599" s="93"/>
      <c r="E599" s="93"/>
      <c r="F599" s="93"/>
      <c r="G599" s="93"/>
      <c r="H599" s="93"/>
      <c r="I599" s="128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</row>
    <row r="600" spans="1:29" ht="12.75" customHeight="1">
      <c r="A600" s="93"/>
      <c r="B600" s="93"/>
      <c r="C600" s="93"/>
      <c r="D600" s="93"/>
      <c r="E600" s="93"/>
      <c r="F600" s="93"/>
      <c r="G600" s="93"/>
      <c r="H600" s="93"/>
      <c r="I600" s="128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</row>
    <row r="601" spans="1:29" ht="12.75" customHeight="1">
      <c r="A601" s="93"/>
      <c r="B601" s="93"/>
      <c r="C601" s="93"/>
      <c r="D601" s="93"/>
      <c r="E601" s="93"/>
      <c r="F601" s="93"/>
      <c r="G601" s="93"/>
      <c r="H601" s="93"/>
      <c r="I601" s="128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</row>
    <row r="602" spans="1:29" ht="12.75" customHeight="1">
      <c r="A602" s="93"/>
      <c r="B602" s="93"/>
      <c r="C602" s="93"/>
      <c r="D602" s="93"/>
      <c r="E602" s="93"/>
      <c r="F602" s="93"/>
      <c r="G602" s="93"/>
      <c r="H602" s="93"/>
      <c r="I602" s="128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</row>
    <row r="603" spans="1:29" ht="12.75" customHeight="1">
      <c r="A603" s="93"/>
      <c r="B603" s="93"/>
      <c r="C603" s="93"/>
      <c r="D603" s="93"/>
      <c r="E603" s="93"/>
      <c r="F603" s="93"/>
      <c r="G603" s="93"/>
      <c r="H603" s="93"/>
      <c r="I603" s="128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</row>
    <row r="604" spans="1:29" ht="12.75" customHeight="1">
      <c r="A604" s="93"/>
      <c r="B604" s="93"/>
      <c r="C604" s="93"/>
      <c r="D604" s="93"/>
      <c r="E604" s="93"/>
      <c r="F604" s="93"/>
      <c r="G604" s="93"/>
      <c r="H604" s="93"/>
      <c r="I604" s="128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</row>
    <row r="605" spans="1:29" ht="12.75" customHeight="1">
      <c r="A605" s="93"/>
      <c r="B605" s="93"/>
      <c r="C605" s="93"/>
      <c r="D605" s="93"/>
      <c r="E605" s="93"/>
      <c r="F605" s="93"/>
      <c r="G605" s="93"/>
      <c r="H605" s="93"/>
      <c r="I605" s="128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</row>
    <row r="606" spans="1:29" ht="12.75" customHeight="1">
      <c r="A606" s="93"/>
      <c r="B606" s="93"/>
      <c r="C606" s="93"/>
      <c r="D606" s="93"/>
      <c r="E606" s="93"/>
      <c r="F606" s="93"/>
      <c r="G606" s="93"/>
      <c r="H606" s="93"/>
      <c r="I606" s="128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</row>
    <row r="607" spans="1:29" ht="12.75" customHeight="1">
      <c r="A607" s="93"/>
      <c r="B607" s="93"/>
      <c r="C607" s="93"/>
      <c r="D607" s="93"/>
      <c r="E607" s="93"/>
      <c r="F607" s="93"/>
      <c r="G607" s="93"/>
      <c r="H607" s="93"/>
      <c r="I607" s="128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</row>
    <row r="608" spans="1:29" ht="12.75" customHeight="1">
      <c r="A608" s="93"/>
      <c r="B608" s="93"/>
      <c r="C608" s="93"/>
      <c r="D608" s="93"/>
      <c r="E608" s="93"/>
      <c r="F608" s="93"/>
      <c r="G608" s="93"/>
      <c r="H608" s="93"/>
      <c r="I608" s="128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</row>
    <row r="609" spans="1:29" ht="12.75" customHeight="1">
      <c r="A609" s="93"/>
      <c r="B609" s="93"/>
      <c r="C609" s="93"/>
      <c r="D609" s="93"/>
      <c r="E609" s="93"/>
      <c r="F609" s="93"/>
      <c r="G609" s="93"/>
      <c r="H609" s="93"/>
      <c r="I609" s="128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</row>
    <row r="610" spans="1:29" ht="12.75" customHeight="1">
      <c r="A610" s="93"/>
      <c r="B610" s="93"/>
      <c r="C610" s="93"/>
      <c r="D610" s="93"/>
      <c r="E610" s="93"/>
      <c r="F610" s="93"/>
      <c r="G610" s="93"/>
      <c r="H610" s="93"/>
      <c r="I610" s="128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</row>
    <row r="611" spans="1:29" ht="12.75" customHeight="1">
      <c r="A611" s="93"/>
      <c r="B611" s="93"/>
      <c r="C611" s="93"/>
      <c r="D611" s="93"/>
      <c r="E611" s="93"/>
      <c r="F611" s="93"/>
      <c r="G611" s="93"/>
      <c r="H611" s="93"/>
      <c r="I611" s="128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</row>
    <row r="612" spans="1:29" ht="12.75" customHeight="1">
      <c r="A612" s="93"/>
      <c r="B612" s="93"/>
      <c r="C612" s="93"/>
      <c r="D612" s="93"/>
      <c r="E612" s="93"/>
      <c r="F612" s="93"/>
      <c r="G612" s="93"/>
      <c r="H612" s="93"/>
      <c r="I612" s="128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</row>
    <row r="613" spans="1:29" ht="12.75" customHeight="1">
      <c r="A613" s="93"/>
      <c r="B613" s="93"/>
      <c r="C613" s="93"/>
      <c r="D613" s="93"/>
      <c r="E613" s="93"/>
      <c r="F613" s="93"/>
      <c r="G613" s="93"/>
      <c r="H613" s="93"/>
      <c r="I613" s="128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</row>
    <row r="614" spans="1:29" ht="12.75" customHeight="1">
      <c r="A614" s="93"/>
      <c r="B614" s="93"/>
      <c r="C614" s="93"/>
      <c r="D614" s="93"/>
      <c r="E614" s="93"/>
      <c r="F614" s="93"/>
      <c r="G614" s="93"/>
      <c r="H614" s="93"/>
      <c r="I614" s="128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</row>
    <row r="615" spans="1:29" ht="12.75" customHeight="1">
      <c r="A615" s="93"/>
      <c r="B615" s="93"/>
      <c r="C615" s="93"/>
      <c r="D615" s="93"/>
      <c r="E615" s="93"/>
      <c r="F615" s="93"/>
      <c r="G615" s="93"/>
      <c r="H615" s="93"/>
      <c r="I615" s="128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</row>
    <row r="616" spans="1:29" ht="12.75" customHeight="1">
      <c r="A616" s="93"/>
      <c r="B616" s="93"/>
      <c r="C616" s="93"/>
      <c r="D616" s="93"/>
      <c r="E616" s="93"/>
      <c r="F616" s="93"/>
      <c r="G616" s="93"/>
      <c r="H616" s="93"/>
      <c r="I616" s="128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</row>
    <row r="617" spans="1:29" ht="12.75" customHeight="1">
      <c r="A617" s="93"/>
      <c r="B617" s="93"/>
      <c r="C617" s="93"/>
      <c r="D617" s="93"/>
      <c r="E617" s="93"/>
      <c r="F617" s="93"/>
      <c r="G617" s="93"/>
      <c r="H617" s="93"/>
      <c r="I617" s="128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</row>
    <row r="618" spans="1:29" ht="12.75" customHeight="1">
      <c r="A618" s="93"/>
      <c r="B618" s="93"/>
      <c r="C618" s="93"/>
      <c r="D618" s="93"/>
      <c r="E618" s="93"/>
      <c r="F618" s="93"/>
      <c r="G618" s="93"/>
      <c r="H618" s="93"/>
      <c r="I618" s="128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</row>
    <row r="619" spans="1:29" ht="12.75" customHeight="1">
      <c r="A619" s="93"/>
      <c r="B619" s="93"/>
      <c r="C619" s="93"/>
      <c r="D619" s="93"/>
      <c r="E619" s="93"/>
      <c r="F619" s="93"/>
      <c r="G619" s="93"/>
      <c r="H619" s="93"/>
      <c r="I619" s="128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</row>
    <row r="620" spans="1:29" ht="12.75" customHeight="1">
      <c r="A620" s="93"/>
      <c r="B620" s="93"/>
      <c r="C620" s="93"/>
      <c r="D620" s="93"/>
      <c r="E620" s="93"/>
      <c r="F620" s="93"/>
      <c r="G620" s="93"/>
      <c r="H620" s="93"/>
      <c r="I620" s="128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</row>
    <row r="621" spans="1:29" ht="12.75" customHeight="1">
      <c r="A621" s="93"/>
      <c r="B621" s="93"/>
      <c r="C621" s="93"/>
      <c r="D621" s="93"/>
      <c r="E621" s="93"/>
      <c r="F621" s="93"/>
      <c r="G621" s="93"/>
      <c r="H621" s="93"/>
      <c r="I621" s="128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</row>
    <row r="622" spans="1:29" ht="12.75" customHeight="1">
      <c r="A622" s="93"/>
      <c r="B622" s="93"/>
      <c r="C622" s="93"/>
      <c r="D622" s="93"/>
      <c r="E622" s="93"/>
      <c r="F622" s="93"/>
      <c r="G622" s="93"/>
      <c r="H622" s="93"/>
      <c r="I622" s="128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</row>
    <row r="623" spans="1:29" ht="12.75" customHeight="1">
      <c r="A623" s="93"/>
      <c r="B623" s="93"/>
      <c r="C623" s="93"/>
      <c r="D623" s="93"/>
      <c r="E623" s="93"/>
      <c r="F623" s="93"/>
      <c r="G623" s="93"/>
      <c r="H623" s="93"/>
      <c r="I623" s="128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</row>
    <row r="624" spans="1:29" ht="12.75" customHeight="1">
      <c r="A624" s="93"/>
      <c r="B624" s="93"/>
      <c r="C624" s="93"/>
      <c r="D624" s="93"/>
      <c r="E624" s="93"/>
      <c r="F624" s="93"/>
      <c r="G624" s="93"/>
      <c r="H624" s="93"/>
      <c r="I624" s="128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</row>
    <row r="625" spans="1:29" ht="12.75" customHeight="1">
      <c r="A625" s="93"/>
      <c r="B625" s="93"/>
      <c r="C625" s="93"/>
      <c r="D625" s="93"/>
      <c r="E625" s="93"/>
      <c r="F625" s="93"/>
      <c r="G625" s="93"/>
      <c r="H625" s="93"/>
      <c r="I625" s="128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</row>
    <row r="626" spans="1:29" ht="12.75" customHeight="1">
      <c r="A626" s="93"/>
      <c r="B626" s="93"/>
      <c r="C626" s="93"/>
      <c r="D626" s="93"/>
      <c r="E626" s="93"/>
      <c r="F626" s="93"/>
      <c r="G626" s="93"/>
      <c r="H626" s="93"/>
      <c r="I626" s="128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</row>
    <row r="627" spans="1:29" ht="12.75" customHeight="1">
      <c r="A627" s="93"/>
      <c r="B627" s="93"/>
      <c r="C627" s="93"/>
      <c r="D627" s="93"/>
      <c r="E627" s="93"/>
      <c r="F627" s="93"/>
      <c r="G627" s="93"/>
      <c r="H627" s="93"/>
      <c r="I627" s="128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</row>
    <row r="628" spans="1:29" ht="12.75" customHeight="1">
      <c r="A628" s="93"/>
      <c r="B628" s="93"/>
      <c r="C628" s="93"/>
      <c r="D628" s="93"/>
      <c r="E628" s="93"/>
      <c r="F628" s="93"/>
      <c r="G628" s="93"/>
      <c r="H628" s="93"/>
      <c r="I628" s="128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</row>
    <row r="629" spans="1:29" ht="12.75" customHeight="1">
      <c r="A629" s="93"/>
      <c r="B629" s="93"/>
      <c r="C629" s="93"/>
      <c r="D629" s="93"/>
      <c r="E629" s="93"/>
      <c r="F629" s="93"/>
      <c r="G629" s="93"/>
      <c r="H629" s="93"/>
      <c r="I629" s="128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</row>
    <row r="630" spans="1:29" ht="12.75" customHeight="1">
      <c r="A630" s="93"/>
      <c r="B630" s="93"/>
      <c r="C630" s="93"/>
      <c r="D630" s="93"/>
      <c r="E630" s="93"/>
      <c r="F630" s="93"/>
      <c r="G630" s="93"/>
      <c r="H630" s="93"/>
      <c r="I630" s="128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</row>
    <row r="631" spans="1:29" ht="12.75" customHeight="1">
      <c r="A631" s="93"/>
      <c r="B631" s="93"/>
      <c r="C631" s="93"/>
      <c r="D631" s="93"/>
      <c r="E631" s="93"/>
      <c r="F631" s="93"/>
      <c r="G631" s="93"/>
      <c r="H631" s="93"/>
      <c r="I631" s="128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</row>
    <row r="632" spans="1:29" ht="12.75" customHeight="1">
      <c r="A632" s="93"/>
      <c r="B632" s="93"/>
      <c r="C632" s="93"/>
      <c r="D632" s="93"/>
      <c r="E632" s="93"/>
      <c r="F632" s="93"/>
      <c r="G632" s="93"/>
      <c r="H632" s="93"/>
      <c r="I632" s="128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</row>
    <row r="633" spans="1:29" ht="12.75" customHeight="1">
      <c r="A633" s="93"/>
      <c r="B633" s="93"/>
      <c r="C633" s="93"/>
      <c r="D633" s="93"/>
      <c r="E633" s="93"/>
      <c r="F633" s="93"/>
      <c r="G633" s="93"/>
      <c r="H633" s="93"/>
      <c r="I633" s="128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</row>
    <row r="634" spans="1:29" ht="12.75" customHeight="1">
      <c r="A634" s="93"/>
      <c r="B634" s="93"/>
      <c r="C634" s="93"/>
      <c r="D634" s="93"/>
      <c r="E634" s="93"/>
      <c r="F634" s="93"/>
      <c r="G634" s="93"/>
      <c r="H634" s="93"/>
      <c r="I634" s="128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</row>
    <row r="635" spans="1:29" ht="12.75" customHeight="1">
      <c r="A635" s="93"/>
      <c r="B635" s="93"/>
      <c r="C635" s="93"/>
      <c r="D635" s="93"/>
      <c r="E635" s="93"/>
      <c r="F635" s="93"/>
      <c r="G635" s="93"/>
      <c r="H635" s="93"/>
      <c r="I635" s="128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</row>
    <row r="636" spans="1:29" ht="12.75" customHeight="1">
      <c r="A636" s="93"/>
      <c r="B636" s="93"/>
      <c r="C636" s="93"/>
      <c r="D636" s="93"/>
      <c r="E636" s="93"/>
      <c r="F636" s="93"/>
      <c r="G636" s="93"/>
      <c r="H636" s="93"/>
      <c r="I636" s="128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</row>
    <row r="637" spans="1:29" ht="12.75" customHeight="1">
      <c r="A637" s="93"/>
      <c r="B637" s="93"/>
      <c r="C637" s="93"/>
      <c r="D637" s="93"/>
      <c r="E637" s="93"/>
      <c r="F637" s="93"/>
      <c r="G637" s="93"/>
      <c r="H637" s="93"/>
      <c r="I637" s="128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</row>
    <row r="638" spans="1:29" ht="12.75" customHeight="1">
      <c r="A638" s="93"/>
      <c r="B638" s="93"/>
      <c r="C638" s="93"/>
      <c r="D638" s="93"/>
      <c r="E638" s="93"/>
      <c r="F638" s="93"/>
      <c r="G638" s="93"/>
      <c r="H638" s="93"/>
      <c r="I638" s="128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</row>
    <row r="639" spans="1:29" ht="12.75" customHeight="1">
      <c r="A639" s="93"/>
      <c r="B639" s="93"/>
      <c r="C639" s="93"/>
      <c r="D639" s="93"/>
      <c r="E639" s="93"/>
      <c r="F639" s="93"/>
      <c r="G639" s="93"/>
      <c r="H639" s="93"/>
      <c r="I639" s="128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</row>
    <row r="640" spans="1:29" ht="12.75" customHeight="1">
      <c r="A640" s="93"/>
      <c r="B640" s="93"/>
      <c r="C640" s="93"/>
      <c r="D640" s="93"/>
      <c r="E640" s="93"/>
      <c r="F640" s="93"/>
      <c r="G640" s="93"/>
      <c r="H640" s="93"/>
      <c r="I640" s="128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</row>
    <row r="641" spans="1:29" ht="12.75" customHeight="1">
      <c r="A641" s="93"/>
      <c r="B641" s="93"/>
      <c r="C641" s="93"/>
      <c r="D641" s="93"/>
      <c r="E641" s="93"/>
      <c r="F641" s="93"/>
      <c r="G641" s="93"/>
      <c r="H641" s="93"/>
      <c r="I641" s="128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</row>
    <row r="642" spans="1:29" ht="12.75" customHeight="1">
      <c r="A642" s="93"/>
      <c r="B642" s="93"/>
      <c r="C642" s="93"/>
      <c r="D642" s="93"/>
      <c r="E642" s="93"/>
      <c r="F642" s="93"/>
      <c r="G642" s="93"/>
      <c r="H642" s="93"/>
      <c r="I642" s="128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</row>
    <row r="643" spans="1:29" ht="12.75" customHeight="1">
      <c r="A643" s="93"/>
      <c r="B643" s="93"/>
      <c r="C643" s="93"/>
      <c r="D643" s="93"/>
      <c r="E643" s="93"/>
      <c r="F643" s="93"/>
      <c r="G643" s="93"/>
      <c r="H643" s="93"/>
      <c r="I643" s="128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</row>
    <row r="644" spans="1:29" ht="12.75" customHeight="1">
      <c r="A644" s="93"/>
      <c r="B644" s="93"/>
      <c r="C644" s="93"/>
      <c r="D644" s="93"/>
      <c r="E644" s="93"/>
      <c r="F644" s="93"/>
      <c r="G644" s="93"/>
      <c r="H644" s="93"/>
      <c r="I644" s="128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</row>
    <row r="645" spans="1:29" ht="12.75" customHeight="1">
      <c r="A645" s="93"/>
      <c r="B645" s="93"/>
      <c r="C645" s="93"/>
      <c r="D645" s="93"/>
      <c r="E645" s="93"/>
      <c r="F645" s="93"/>
      <c r="G645" s="93"/>
      <c r="H645" s="93"/>
      <c r="I645" s="128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</row>
    <row r="646" spans="1:29" ht="12.75" customHeight="1">
      <c r="A646" s="93"/>
      <c r="B646" s="93"/>
      <c r="C646" s="93"/>
      <c r="D646" s="93"/>
      <c r="E646" s="93"/>
      <c r="F646" s="93"/>
      <c r="G646" s="93"/>
      <c r="H646" s="93"/>
      <c r="I646" s="128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</row>
    <row r="647" spans="1:29" ht="12.75" customHeight="1">
      <c r="A647" s="93"/>
      <c r="B647" s="93"/>
      <c r="C647" s="93"/>
      <c r="D647" s="93"/>
      <c r="E647" s="93"/>
      <c r="F647" s="93"/>
      <c r="G647" s="93"/>
      <c r="H647" s="93"/>
      <c r="I647" s="128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</row>
    <row r="648" spans="1:29" ht="12.75" customHeight="1">
      <c r="A648" s="93"/>
      <c r="B648" s="93"/>
      <c r="C648" s="93"/>
      <c r="D648" s="93"/>
      <c r="E648" s="93"/>
      <c r="F648" s="93"/>
      <c r="G648" s="93"/>
      <c r="H648" s="93"/>
      <c r="I648" s="128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</row>
    <row r="649" spans="1:29" ht="12.75" customHeight="1">
      <c r="A649" s="93"/>
      <c r="B649" s="93"/>
      <c r="C649" s="93"/>
      <c r="D649" s="93"/>
      <c r="E649" s="93"/>
      <c r="F649" s="93"/>
      <c r="G649" s="93"/>
      <c r="H649" s="93"/>
      <c r="I649" s="128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</row>
    <row r="650" spans="1:29" ht="12.75" customHeight="1">
      <c r="A650" s="93"/>
      <c r="B650" s="93"/>
      <c r="C650" s="93"/>
      <c r="D650" s="93"/>
      <c r="E650" s="93"/>
      <c r="F650" s="93"/>
      <c r="G650" s="93"/>
      <c r="H650" s="93"/>
      <c r="I650" s="128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</row>
    <row r="651" spans="1:29" ht="12.75" customHeight="1">
      <c r="A651" s="93"/>
      <c r="B651" s="93"/>
      <c r="C651" s="93"/>
      <c r="D651" s="93"/>
      <c r="E651" s="93"/>
      <c r="F651" s="93"/>
      <c r="G651" s="93"/>
      <c r="H651" s="93"/>
      <c r="I651" s="128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</row>
    <row r="652" spans="1:29" ht="12.75" customHeight="1">
      <c r="A652" s="93"/>
      <c r="B652" s="93"/>
      <c r="C652" s="93"/>
      <c r="D652" s="93"/>
      <c r="E652" s="93"/>
      <c r="F652" s="93"/>
      <c r="G652" s="93"/>
      <c r="H652" s="93"/>
      <c r="I652" s="128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</row>
    <row r="653" spans="1:29" ht="12.75" customHeight="1">
      <c r="A653" s="93"/>
      <c r="B653" s="93"/>
      <c r="C653" s="93"/>
      <c r="D653" s="93"/>
      <c r="E653" s="93"/>
      <c r="F653" s="93"/>
      <c r="G653" s="93"/>
      <c r="H653" s="93"/>
      <c r="I653" s="128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</row>
    <row r="654" spans="1:29" ht="12.75" customHeight="1">
      <c r="A654" s="93"/>
      <c r="B654" s="93"/>
      <c r="C654" s="93"/>
      <c r="D654" s="93"/>
      <c r="E654" s="93"/>
      <c r="F654" s="93"/>
      <c r="G654" s="93"/>
      <c r="H654" s="93"/>
      <c r="I654" s="128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</row>
    <row r="655" spans="1:29" ht="12.75" customHeight="1">
      <c r="A655" s="93"/>
      <c r="B655" s="93"/>
      <c r="C655" s="93"/>
      <c r="D655" s="93"/>
      <c r="E655" s="93"/>
      <c r="F655" s="93"/>
      <c r="G655" s="93"/>
      <c r="H655" s="93"/>
      <c r="I655" s="128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</row>
    <row r="656" spans="1:29" ht="12.75" customHeight="1">
      <c r="A656" s="93"/>
      <c r="B656" s="93"/>
      <c r="C656" s="93"/>
      <c r="D656" s="93"/>
      <c r="E656" s="93"/>
      <c r="F656" s="93"/>
      <c r="G656" s="93"/>
      <c r="H656" s="93"/>
      <c r="I656" s="128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</row>
    <row r="657" spans="1:29" ht="12.75" customHeight="1">
      <c r="A657" s="93"/>
      <c r="B657" s="93"/>
      <c r="C657" s="93"/>
      <c r="D657" s="93"/>
      <c r="E657" s="93"/>
      <c r="F657" s="93"/>
      <c r="G657" s="93"/>
      <c r="H657" s="93"/>
      <c r="I657" s="128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</row>
    <row r="658" spans="1:29" ht="12.75" customHeight="1">
      <c r="A658" s="93"/>
      <c r="B658" s="93"/>
      <c r="C658" s="93"/>
      <c r="D658" s="93"/>
      <c r="E658" s="93"/>
      <c r="F658" s="93"/>
      <c r="G658" s="93"/>
      <c r="H658" s="93"/>
      <c r="I658" s="128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</row>
    <row r="659" spans="1:29" ht="12.75" customHeight="1">
      <c r="A659" s="93"/>
      <c r="B659" s="93"/>
      <c r="C659" s="93"/>
      <c r="D659" s="93"/>
      <c r="E659" s="93"/>
      <c r="F659" s="93"/>
      <c r="G659" s="93"/>
      <c r="H659" s="93"/>
      <c r="I659" s="128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</row>
    <row r="660" spans="1:29" ht="12.75" customHeight="1">
      <c r="A660" s="93"/>
      <c r="B660" s="93"/>
      <c r="C660" s="93"/>
      <c r="D660" s="93"/>
      <c r="E660" s="93"/>
      <c r="F660" s="93"/>
      <c r="G660" s="93"/>
      <c r="H660" s="93"/>
      <c r="I660" s="128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</row>
    <row r="661" spans="1:29" ht="12.75" customHeight="1">
      <c r="A661" s="93"/>
      <c r="B661" s="93"/>
      <c r="C661" s="93"/>
      <c r="D661" s="93"/>
      <c r="E661" s="93"/>
      <c r="F661" s="93"/>
      <c r="G661" s="93"/>
      <c r="H661" s="93"/>
      <c r="I661" s="128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</row>
    <row r="662" spans="1:29" ht="12.75" customHeight="1">
      <c r="A662" s="93"/>
      <c r="B662" s="93"/>
      <c r="C662" s="93"/>
      <c r="D662" s="93"/>
      <c r="E662" s="93"/>
      <c r="F662" s="93"/>
      <c r="G662" s="93"/>
      <c r="H662" s="93"/>
      <c r="I662" s="128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</row>
    <row r="663" spans="1:29" ht="12.75" customHeight="1">
      <c r="A663" s="93"/>
      <c r="B663" s="93"/>
      <c r="C663" s="93"/>
      <c r="D663" s="93"/>
      <c r="E663" s="93"/>
      <c r="F663" s="93"/>
      <c r="G663" s="93"/>
      <c r="H663" s="93"/>
      <c r="I663" s="128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</row>
    <row r="664" spans="1:29" ht="12.75" customHeight="1">
      <c r="A664" s="93"/>
      <c r="B664" s="93"/>
      <c r="C664" s="93"/>
      <c r="D664" s="93"/>
      <c r="E664" s="93"/>
      <c r="F664" s="93"/>
      <c r="G664" s="93"/>
      <c r="H664" s="93"/>
      <c r="I664" s="128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</row>
    <row r="665" spans="1:29" ht="12.75" customHeight="1">
      <c r="A665" s="93"/>
      <c r="B665" s="93"/>
      <c r="C665" s="93"/>
      <c r="D665" s="93"/>
      <c r="E665" s="93"/>
      <c r="F665" s="93"/>
      <c r="G665" s="93"/>
      <c r="H665" s="93"/>
      <c r="I665" s="128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</row>
    <row r="666" spans="1:29" ht="12.75" customHeight="1">
      <c r="A666" s="93"/>
      <c r="B666" s="93"/>
      <c r="C666" s="93"/>
      <c r="D666" s="93"/>
      <c r="E666" s="93"/>
      <c r="F666" s="93"/>
      <c r="G666" s="93"/>
      <c r="H666" s="93"/>
      <c r="I666" s="128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</row>
    <row r="667" spans="1:29" ht="12.75" customHeight="1">
      <c r="A667" s="93"/>
      <c r="B667" s="93"/>
      <c r="C667" s="93"/>
      <c r="D667" s="93"/>
      <c r="E667" s="93"/>
      <c r="F667" s="93"/>
      <c r="G667" s="93"/>
      <c r="H667" s="93"/>
      <c r="I667" s="128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</row>
    <row r="668" spans="1:29" ht="12.75" customHeight="1">
      <c r="A668" s="93"/>
      <c r="B668" s="93"/>
      <c r="C668" s="93"/>
      <c r="D668" s="93"/>
      <c r="E668" s="93"/>
      <c r="F668" s="93"/>
      <c r="G668" s="93"/>
      <c r="H668" s="93"/>
      <c r="I668" s="128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</row>
    <row r="669" spans="1:29" ht="12.75" customHeight="1">
      <c r="A669" s="93"/>
      <c r="B669" s="93"/>
      <c r="C669" s="93"/>
      <c r="D669" s="93"/>
      <c r="E669" s="93"/>
      <c r="F669" s="93"/>
      <c r="G669" s="93"/>
      <c r="H669" s="93"/>
      <c r="I669" s="128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</row>
    <row r="670" spans="1:29" ht="12.75" customHeight="1">
      <c r="A670" s="93"/>
      <c r="B670" s="93"/>
      <c r="C670" s="93"/>
      <c r="D670" s="93"/>
      <c r="E670" s="93"/>
      <c r="F670" s="93"/>
      <c r="G670" s="93"/>
      <c r="H670" s="93"/>
      <c r="I670" s="128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</row>
    <row r="671" spans="1:29" ht="12.75" customHeight="1">
      <c r="A671" s="93"/>
      <c r="B671" s="93"/>
      <c r="C671" s="93"/>
      <c r="D671" s="93"/>
      <c r="E671" s="93"/>
      <c r="F671" s="93"/>
      <c r="G671" s="93"/>
      <c r="H671" s="93"/>
      <c r="I671" s="128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</row>
    <row r="672" spans="1:29" ht="12.75" customHeight="1">
      <c r="A672" s="93"/>
      <c r="B672" s="93"/>
      <c r="C672" s="93"/>
      <c r="D672" s="93"/>
      <c r="E672" s="93"/>
      <c r="F672" s="93"/>
      <c r="G672" s="93"/>
      <c r="H672" s="93"/>
      <c r="I672" s="128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</row>
    <row r="673" spans="1:29" ht="12.75" customHeight="1">
      <c r="A673" s="93"/>
      <c r="B673" s="93"/>
      <c r="C673" s="93"/>
      <c r="D673" s="93"/>
      <c r="E673" s="93"/>
      <c r="F673" s="93"/>
      <c r="G673" s="93"/>
      <c r="H673" s="93"/>
      <c r="I673" s="128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</row>
    <row r="674" spans="1:29" ht="12.75" customHeight="1">
      <c r="A674" s="93"/>
      <c r="B674" s="93"/>
      <c r="C674" s="93"/>
      <c r="D674" s="93"/>
      <c r="E674" s="93"/>
      <c r="F674" s="93"/>
      <c r="G674" s="93"/>
      <c r="H674" s="93"/>
      <c r="I674" s="128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</row>
    <row r="675" spans="1:29" ht="12.75" customHeight="1">
      <c r="A675" s="93"/>
      <c r="B675" s="93"/>
      <c r="C675" s="93"/>
      <c r="D675" s="93"/>
      <c r="E675" s="93"/>
      <c r="F675" s="93"/>
      <c r="G675" s="93"/>
      <c r="H675" s="93"/>
      <c r="I675" s="128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</row>
    <row r="676" spans="1:29" ht="12.75" customHeight="1">
      <c r="A676" s="93"/>
      <c r="B676" s="93"/>
      <c r="C676" s="93"/>
      <c r="D676" s="93"/>
      <c r="E676" s="93"/>
      <c r="F676" s="93"/>
      <c r="G676" s="93"/>
      <c r="H676" s="93"/>
      <c r="I676" s="128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</row>
    <row r="677" spans="1:29" ht="12.75" customHeight="1">
      <c r="A677" s="93"/>
      <c r="B677" s="93"/>
      <c r="C677" s="93"/>
      <c r="D677" s="93"/>
      <c r="E677" s="93"/>
      <c r="F677" s="93"/>
      <c r="G677" s="93"/>
      <c r="H677" s="93"/>
      <c r="I677" s="128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</row>
    <row r="678" spans="1:29" ht="12.75" customHeight="1">
      <c r="A678" s="93"/>
      <c r="B678" s="93"/>
      <c r="C678" s="93"/>
      <c r="D678" s="93"/>
      <c r="E678" s="93"/>
      <c r="F678" s="93"/>
      <c r="G678" s="93"/>
      <c r="H678" s="93"/>
      <c r="I678" s="128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</row>
    <row r="679" spans="1:29" ht="12.75" customHeight="1">
      <c r="A679" s="93"/>
      <c r="B679" s="93"/>
      <c r="C679" s="93"/>
      <c r="D679" s="93"/>
      <c r="E679" s="93"/>
      <c r="F679" s="93"/>
      <c r="G679" s="93"/>
      <c r="H679" s="93"/>
      <c r="I679" s="128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</row>
    <row r="680" spans="1:29" ht="12.75" customHeight="1">
      <c r="A680" s="93"/>
      <c r="B680" s="93"/>
      <c r="C680" s="93"/>
      <c r="D680" s="93"/>
      <c r="E680" s="93"/>
      <c r="F680" s="93"/>
      <c r="G680" s="93"/>
      <c r="H680" s="93"/>
      <c r="I680" s="128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</row>
    <row r="681" spans="1:29" ht="12.75" customHeight="1">
      <c r="A681" s="93"/>
      <c r="B681" s="93"/>
      <c r="C681" s="93"/>
      <c r="D681" s="93"/>
      <c r="E681" s="93"/>
      <c r="F681" s="93"/>
      <c r="G681" s="93"/>
      <c r="H681" s="93"/>
      <c r="I681" s="128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</row>
    <row r="682" spans="1:29" ht="12.75" customHeight="1">
      <c r="A682" s="93"/>
      <c r="B682" s="93"/>
      <c r="C682" s="93"/>
      <c r="D682" s="93"/>
      <c r="E682" s="93"/>
      <c r="F682" s="93"/>
      <c r="G682" s="93"/>
      <c r="H682" s="93"/>
      <c r="I682" s="128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</row>
    <row r="683" spans="1:29" ht="12.75" customHeight="1">
      <c r="A683" s="93"/>
      <c r="B683" s="93"/>
      <c r="C683" s="93"/>
      <c r="D683" s="93"/>
      <c r="E683" s="93"/>
      <c r="F683" s="93"/>
      <c r="G683" s="93"/>
      <c r="H683" s="93"/>
      <c r="I683" s="128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</row>
    <row r="684" spans="1:29" ht="12.75" customHeight="1">
      <c r="A684" s="93"/>
      <c r="B684" s="93"/>
      <c r="C684" s="93"/>
      <c r="D684" s="93"/>
      <c r="E684" s="93"/>
      <c r="F684" s="93"/>
      <c r="G684" s="93"/>
      <c r="H684" s="93"/>
      <c r="I684" s="128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</row>
    <row r="685" spans="1:29" ht="12.75" customHeight="1">
      <c r="A685" s="93"/>
      <c r="B685" s="93"/>
      <c r="C685" s="93"/>
      <c r="D685" s="93"/>
      <c r="E685" s="93"/>
      <c r="F685" s="93"/>
      <c r="G685" s="93"/>
      <c r="H685" s="93"/>
      <c r="I685" s="128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</row>
    <row r="686" spans="1:29" ht="12.75" customHeight="1">
      <c r="A686" s="93"/>
      <c r="B686" s="93"/>
      <c r="C686" s="93"/>
      <c r="D686" s="93"/>
      <c r="E686" s="93"/>
      <c r="F686" s="93"/>
      <c r="G686" s="93"/>
      <c r="H686" s="93"/>
      <c r="I686" s="128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</row>
    <row r="687" spans="1:29" ht="12.75" customHeight="1">
      <c r="A687" s="93"/>
      <c r="B687" s="93"/>
      <c r="C687" s="93"/>
      <c r="D687" s="93"/>
      <c r="E687" s="93"/>
      <c r="F687" s="93"/>
      <c r="G687" s="93"/>
      <c r="H687" s="93"/>
      <c r="I687" s="128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</row>
    <row r="688" spans="1:29" ht="12.75" customHeight="1">
      <c r="A688" s="93"/>
      <c r="B688" s="93"/>
      <c r="C688" s="93"/>
      <c r="D688" s="93"/>
      <c r="E688" s="93"/>
      <c r="F688" s="93"/>
      <c r="G688" s="93"/>
      <c r="H688" s="93"/>
      <c r="I688" s="128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</row>
    <row r="689" spans="1:29" ht="12.75" customHeight="1">
      <c r="A689" s="93"/>
      <c r="B689" s="93"/>
      <c r="C689" s="93"/>
      <c r="D689" s="93"/>
      <c r="E689" s="93"/>
      <c r="F689" s="93"/>
      <c r="G689" s="93"/>
      <c r="H689" s="93"/>
      <c r="I689" s="128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</row>
    <row r="690" spans="1:29" ht="12.75" customHeight="1">
      <c r="A690" s="93"/>
      <c r="B690" s="93"/>
      <c r="C690" s="93"/>
      <c r="D690" s="93"/>
      <c r="E690" s="93"/>
      <c r="F690" s="93"/>
      <c r="G690" s="93"/>
      <c r="H690" s="93"/>
      <c r="I690" s="128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</row>
    <row r="691" spans="1:29" ht="12.75" customHeight="1">
      <c r="A691" s="93"/>
      <c r="B691" s="93"/>
      <c r="C691" s="93"/>
      <c r="D691" s="93"/>
      <c r="E691" s="93"/>
      <c r="F691" s="93"/>
      <c r="G691" s="93"/>
      <c r="H691" s="93"/>
      <c r="I691" s="128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</row>
    <row r="692" spans="1:29" ht="12.75" customHeight="1">
      <c r="A692" s="93"/>
      <c r="B692" s="93"/>
      <c r="C692" s="93"/>
      <c r="D692" s="93"/>
      <c r="E692" s="93"/>
      <c r="F692" s="93"/>
      <c r="G692" s="93"/>
      <c r="H692" s="93"/>
      <c r="I692" s="128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</row>
    <row r="693" spans="1:29" ht="12.75" customHeight="1">
      <c r="A693" s="93"/>
      <c r="B693" s="93"/>
      <c r="C693" s="93"/>
      <c r="D693" s="93"/>
      <c r="E693" s="93"/>
      <c r="F693" s="93"/>
      <c r="G693" s="93"/>
      <c r="H693" s="93"/>
      <c r="I693" s="128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</row>
    <row r="694" spans="1:29" ht="12.75" customHeight="1">
      <c r="A694" s="93"/>
      <c r="B694" s="93"/>
      <c r="C694" s="93"/>
      <c r="D694" s="93"/>
      <c r="E694" s="93"/>
      <c r="F694" s="93"/>
      <c r="G694" s="93"/>
      <c r="H694" s="93"/>
      <c r="I694" s="128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</row>
    <row r="695" spans="1:29" ht="12.75" customHeight="1">
      <c r="A695" s="93"/>
      <c r="B695" s="93"/>
      <c r="C695" s="93"/>
      <c r="D695" s="93"/>
      <c r="E695" s="93"/>
      <c r="F695" s="93"/>
      <c r="G695" s="93"/>
      <c r="H695" s="93"/>
      <c r="I695" s="128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</row>
    <row r="696" spans="1:29" ht="12.75" customHeight="1">
      <c r="A696" s="93"/>
      <c r="B696" s="93"/>
      <c r="C696" s="93"/>
      <c r="D696" s="93"/>
      <c r="E696" s="93"/>
      <c r="F696" s="93"/>
      <c r="G696" s="93"/>
      <c r="H696" s="93"/>
      <c r="I696" s="128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</row>
    <row r="697" spans="1:29" ht="12.75" customHeight="1">
      <c r="A697" s="93"/>
      <c r="B697" s="93"/>
      <c r="C697" s="93"/>
      <c r="D697" s="93"/>
      <c r="E697" s="93"/>
      <c r="F697" s="93"/>
      <c r="G697" s="93"/>
      <c r="H697" s="93"/>
      <c r="I697" s="128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</row>
    <row r="698" spans="1:29" ht="12.75" customHeight="1">
      <c r="A698" s="93"/>
      <c r="B698" s="93"/>
      <c r="C698" s="93"/>
      <c r="D698" s="93"/>
      <c r="E698" s="93"/>
      <c r="F698" s="93"/>
      <c r="G698" s="93"/>
      <c r="H698" s="93"/>
      <c r="I698" s="128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</row>
    <row r="699" spans="1:29" ht="12.75" customHeight="1">
      <c r="A699" s="93"/>
      <c r="B699" s="93"/>
      <c r="C699" s="93"/>
      <c r="D699" s="93"/>
      <c r="E699" s="93"/>
      <c r="F699" s="93"/>
      <c r="G699" s="93"/>
      <c r="H699" s="93"/>
      <c r="I699" s="128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</row>
    <row r="700" spans="1:29" ht="12.75" customHeight="1">
      <c r="A700" s="93"/>
      <c r="B700" s="93"/>
      <c r="C700" s="93"/>
      <c r="D700" s="93"/>
      <c r="E700" s="93"/>
      <c r="F700" s="93"/>
      <c r="G700" s="93"/>
      <c r="H700" s="93"/>
      <c r="I700" s="128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</row>
    <row r="701" spans="1:29" ht="12.75" customHeight="1">
      <c r="A701" s="93"/>
      <c r="B701" s="93"/>
      <c r="C701" s="93"/>
      <c r="D701" s="93"/>
      <c r="E701" s="93"/>
      <c r="F701" s="93"/>
      <c r="G701" s="93"/>
      <c r="H701" s="93"/>
      <c r="I701" s="128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</row>
    <row r="702" spans="1:29" ht="12.75" customHeight="1">
      <c r="A702" s="93"/>
      <c r="B702" s="93"/>
      <c r="C702" s="93"/>
      <c r="D702" s="93"/>
      <c r="E702" s="93"/>
      <c r="F702" s="93"/>
      <c r="G702" s="93"/>
      <c r="H702" s="93"/>
      <c r="I702" s="128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</row>
    <row r="703" spans="1:29" ht="12.75" customHeight="1">
      <c r="A703" s="93"/>
      <c r="B703" s="93"/>
      <c r="C703" s="93"/>
      <c r="D703" s="93"/>
      <c r="E703" s="93"/>
      <c r="F703" s="93"/>
      <c r="G703" s="93"/>
      <c r="H703" s="93"/>
      <c r="I703" s="128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</row>
    <row r="704" spans="1:29" ht="12.75" customHeight="1">
      <c r="A704" s="93"/>
      <c r="B704" s="93"/>
      <c r="C704" s="93"/>
      <c r="D704" s="93"/>
      <c r="E704" s="93"/>
      <c r="F704" s="93"/>
      <c r="G704" s="93"/>
      <c r="H704" s="93"/>
      <c r="I704" s="128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</row>
    <row r="705" spans="1:29" ht="12.75" customHeight="1">
      <c r="A705" s="93"/>
      <c r="B705" s="93"/>
      <c r="C705" s="93"/>
      <c r="D705" s="93"/>
      <c r="E705" s="93"/>
      <c r="F705" s="93"/>
      <c r="G705" s="93"/>
      <c r="H705" s="93"/>
      <c r="I705" s="128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</row>
    <row r="706" spans="1:29" ht="12.75" customHeight="1">
      <c r="A706" s="93"/>
      <c r="B706" s="93"/>
      <c r="C706" s="93"/>
      <c r="D706" s="93"/>
      <c r="E706" s="93"/>
      <c r="F706" s="93"/>
      <c r="G706" s="93"/>
      <c r="H706" s="93"/>
      <c r="I706" s="128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</row>
    <row r="707" spans="1:29" ht="12.75" customHeight="1">
      <c r="A707" s="93"/>
      <c r="B707" s="93"/>
      <c r="C707" s="93"/>
      <c r="D707" s="93"/>
      <c r="E707" s="93"/>
      <c r="F707" s="93"/>
      <c r="G707" s="93"/>
      <c r="H707" s="93"/>
      <c r="I707" s="128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</row>
    <row r="708" spans="1:29" ht="12.75" customHeight="1">
      <c r="A708" s="93"/>
      <c r="B708" s="93"/>
      <c r="C708" s="93"/>
      <c r="D708" s="93"/>
      <c r="E708" s="93"/>
      <c r="F708" s="93"/>
      <c r="G708" s="93"/>
      <c r="H708" s="93"/>
      <c r="I708" s="128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</row>
    <row r="709" spans="1:29" ht="12.75" customHeight="1">
      <c r="A709" s="93"/>
      <c r="B709" s="93"/>
      <c r="C709" s="93"/>
      <c r="D709" s="93"/>
      <c r="E709" s="93"/>
      <c r="F709" s="93"/>
      <c r="G709" s="93"/>
      <c r="H709" s="93"/>
      <c r="I709" s="128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</row>
    <row r="710" spans="1:29" ht="12.75" customHeight="1">
      <c r="A710" s="93"/>
      <c r="B710" s="93"/>
      <c r="C710" s="93"/>
      <c r="D710" s="93"/>
      <c r="E710" s="93"/>
      <c r="F710" s="93"/>
      <c r="G710" s="93"/>
      <c r="H710" s="93"/>
      <c r="I710" s="128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</row>
    <row r="711" spans="1:29" ht="12.75" customHeight="1">
      <c r="A711" s="93"/>
      <c r="B711" s="93"/>
      <c r="C711" s="93"/>
      <c r="D711" s="93"/>
      <c r="E711" s="93"/>
      <c r="F711" s="93"/>
      <c r="G711" s="93"/>
      <c r="H711" s="93"/>
      <c r="I711" s="128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</row>
    <row r="712" spans="1:29" ht="12.75" customHeight="1">
      <c r="A712" s="93"/>
      <c r="B712" s="93"/>
      <c r="C712" s="93"/>
      <c r="D712" s="93"/>
      <c r="E712" s="93"/>
      <c r="F712" s="93"/>
      <c r="G712" s="93"/>
      <c r="H712" s="93"/>
      <c r="I712" s="128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</row>
    <row r="713" spans="1:29" ht="12.75" customHeight="1">
      <c r="A713" s="93"/>
      <c r="B713" s="93"/>
      <c r="C713" s="93"/>
      <c r="D713" s="93"/>
      <c r="E713" s="93"/>
      <c r="F713" s="93"/>
      <c r="G713" s="93"/>
      <c r="H713" s="93"/>
      <c r="I713" s="128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</row>
    <row r="714" spans="1:29" ht="12.75" customHeight="1">
      <c r="A714" s="93"/>
      <c r="B714" s="93"/>
      <c r="C714" s="93"/>
      <c r="D714" s="93"/>
      <c r="E714" s="93"/>
      <c r="F714" s="93"/>
      <c r="G714" s="93"/>
      <c r="H714" s="93"/>
      <c r="I714" s="128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</row>
    <row r="715" spans="1:29" ht="12.75" customHeight="1">
      <c r="A715" s="93"/>
      <c r="B715" s="93"/>
      <c r="C715" s="93"/>
      <c r="D715" s="93"/>
      <c r="E715" s="93"/>
      <c r="F715" s="93"/>
      <c r="G715" s="93"/>
      <c r="H715" s="93"/>
      <c r="I715" s="128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</row>
    <row r="716" spans="1:29" ht="12.75" customHeight="1">
      <c r="A716" s="93"/>
      <c r="B716" s="93"/>
      <c r="C716" s="93"/>
      <c r="D716" s="93"/>
      <c r="E716" s="93"/>
      <c r="F716" s="93"/>
      <c r="G716" s="93"/>
      <c r="H716" s="93"/>
      <c r="I716" s="128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</row>
    <row r="717" spans="1:29" ht="12.75" customHeight="1">
      <c r="A717" s="93"/>
      <c r="B717" s="93"/>
      <c r="C717" s="93"/>
      <c r="D717" s="93"/>
      <c r="E717" s="93"/>
      <c r="F717" s="93"/>
      <c r="G717" s="93"/>
      <c r="H717" s="93"/>
      <c r="I717" s="128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</row>
    <row r="718" spans="1:29" ht="12.75" customHeight="1">
      <c r="A718" s="93"/>
      <c r="B718" s="93"/>
      <c r="C718" s="93"/>
      <c r="D718" s="93"/>
      <c r="E718" s="93"/>
      <c r="F718" s="93"/>
      <c r="G718" s="93"/>
      <c r="H718" s="93"/>
      <c r="I718" s="128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</row>
    <row r="719" spans="1:29" ht="12.75" customHeight="1">
      <c r="A719" s="93"/>
      <c r="B719" s="93"/>
      <c r="C719" s="93"/>
      <c r="D719" s="93"/>
      <c r="E719" s="93"/>
      <c r="F719" s="93"/>
      <c r="G719" s="93"/>
      <c r="H719" s="93"/>
      <c r="I719" s="128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</row>
    <row r="720" spans="1:29" ht="12.75" customHeight="1">
      <c r="A720" s="93"/>
      <c r="B720" s="93"/>
      <c r="C720" s="93"/>
      <c r="D720" s="93"/>
      <c r="E720" s="93"/>
      <c r="F720" s="93"/>
      <c r="G720" s="93"/>
      <c r="H720" s="93"/>
      <c r="I720" s="128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</row>
    <row r="721" spans="1:29" ht="12.75" customHeight="1">
      <c r="A721" s="93"/>
      <c r="B721" s="93"/>
      <c r="C721" s="93"/>
      <c r="D721" s="93"/>
      <c r="E721" s="93"/>
      <c r="F721" s="93"/>
      <c r="G721" s="93"/>
      <c r="H721" s="93"/>
      <c r="I721" s="128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</row>
    <row r="722" spans="1:29" ht="12.75" customHeight="1">
      <c r="A722" s="93"/>
      <c r="B722" s="93"/>
      <c r="C722" s="93"/>
      <c r="D722" s="93"/>
      <c r="E722" s="93"/>
      <c r="F722" s="93"/>
      <c r="G722" s="93"/>
      <c r="H722" s="93"/>
      <c r="I722" s="128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</row>
    <row r="723" spans="1:29" ht="12.75" customHeight="1">
      <c r="A723" s="93"/>
      <c r="B723" s="93"/>
      <c r="C723" s="93"/>
      <c r="D723" s="93"/>
      <c r="E723" s="93"/>
      <c r="F723" s="93"/>
      <c r="G723" s="93"/>
      <c r="H723" s="93"/>
      <c r="I723" s="128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</row>
    <row r="724" spans="1:29" ht="12.75" customHeight="1">
      <c r="A724" s="93"/>
      <c r="B724" s="93"/>
      <c r="C724" s="93"/>
      <c r="D724" s="93"/>
      <c r="E724" s="93"/>
      <c r="F724" s="93"/>
      <c r="G724" s="93"/>
      <c r="H724" s="93"/>
      <c r="I724" s="128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</row>
    <row r="725" spans="1:29" ht="12.75" customHeight="1">
      <c r="A725" s="93"/>
      <c r="B725" s="93"/>
      <c r="C725" s="93"/>
      <c r="D725" s="93"/>
      <c r="E725" s="93"/>
      <c r="F725" s="93"/>
      <c r="G725" s="93"/>
      <c r="H725" s="93"/>
      <c r="I725" s="128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</row>
    <row r="726" spans="1:29" ht="12.75" customHeight="1">
      <c r="A726" s="93"/>
      <c r="B726" s="93"/>
      <c r="C726" s="93"/>
      <c r="D726" s="93"/>
      <c r="E726" s="93"/>
      <c r="F726" s="93"/>
      <c r="G726" s="93"/>
      <c r="H726" s="93"/>
      <c r="I726" s="128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</row>
    <row r="727" spans="1:29" ht="12.75" customHeight="1">
      <c r="A727" s="93"/>
      <c r="B727" s="93"/>
      <c r="C727" s="93"/>
      <c r="D727" s="93"/>
      <c r="E727" s="93"/>
      <c r="F727" s="93"/>
      <c r="G727" s="93"/>
      <c r="H727" s="93"/>
      <c r="I727" s="128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</row>
    <row r="728" spans="1:29" ht="12.75" customHeight="1">
      <c r="A728" s="93"/>
      <c r="B728" s="93"/>
      <c r="C728" s="93"/>
      <c r="D728" s="93"/>
      <c r="E728" s="93"/>
      <c r="F728" s="93"/>
      <c r="G728" s="93"/>
      <c r="H728" s="93"/>
      <c r="I728" s="128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</row>
    <row r="729" spans="1:29" ht="12.75" customHeight="1">
      <c r="A729" s="93"/>
      <c r="B729" s="93"/>
      <c r="C729" s="93"/>
      <c r="D729" s="93"/>
      <c r="E729" s="93"/>
      <c r="F729" s="93"/>
      <c r="G729" s="93"/>
      <c r="H729" s="93"/>
      <c r="I729" s="128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</row>
    <row r="730" spans="1:29" ht="12.75" customHeight="1">
      <c r="A730" s="93"/>
      <c r="B730" s="93"/>
      <c r="C730" s="93"/>
      <c r="D730" s="93"/>
      <c r="E730" s="93"/>
      <c r="F730" s="93"/>
      <c r="G730" s="93"/>
      <c r="H730" s="93"/>
      <c r="I730" s="128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</row>
    <row r="731" spans="1:29" ht="12.75" customHeight="1">
      <c r="A731" s="93"/>
      <c r="B731" s="93"/>
      <c r="C731" s="93"/>
      <c r="D731" s="93"/>
      <c r="E731" s="93"/>
      <c r="F731" s="93"/>
      <c r="G731" s="93"/>
      <c r="H731" s="93"/>
      <c r="I731" s="128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</row>
    <row r="732" spans="1:29" ht="12.75" customHeight="1">
      <c r="A732" s="93"/>
      <c r="B732" s="93"/>
      <c r="C732" s="93"/>
      <c r="D732" s="93"/>
      <c r="E732" s="93"/>
      <c r="F732" s="93"/>
      <c r="G732" s="93"/>
      <c r="H732" s="93"/>
      <c r="I732" s="128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</row>
    <row r="733" spans="1:29" ht="12.75" customHeight="1">
      <c r="A733" s="93"/>
      <c r="B733" s="93"/>
      <c r="C733" s="93"/>
      <c r="D733" s="93"/>
      <c r="E733" s="93"/>
      <c r="F733" s="93"/>
      <c r="G733" s="93"/>
      <c r="H733" s="93"/>
      <c r="I733" s="128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</row>
    <row r="734" spans="1:29" ht="12.75" customHeight="1">
      <c r="A734" s="93"/>
      <c r="B734" s="93"/>
      <c r="C734" s="93"/>
      <c r="D734" s="93"/>
      <c r="E734" s="93"/>
      <c r="F734" s="93"/>
      <c r="G734" s="93"/>
      <c r="H734" s="93"/>
      <c r="I734" s="128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</row>
    <row r="735" spans="1:29" ht="12.75" customHeight="1">
      <c r="A735" s="93"/>
      <c r="B735" s="93"/>
      <c r="C735" s="93"/>
      <c r="D735" s="93"/>
      <c r="E735" s="93"/>
      <c r="F735" s="93"/>
      <c r="G735" s="93"/>
      <c r="H735" s="93"/>
      <c r="I735" s="128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</row>
    <row r="736" spans="1:29" ht="12.75" customHeight="1">
      <c r="A736" s="93"/>
      <c r="B736" s="93"/>
      <c r="C736" s="93"/>
      <c r="D736" s="93"/>
      <c r="E736" s="93"/>
      <c r="F736" s="93"/>
      <c r="G736" s="93"/>
      <c r="H736" s="93"/>
      <c r="I736" s="128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</row>
    <row r="737" spans="1:29" ht="12.75" customHeight="1">
      <c r="A737" s="93"/>
      <c r="B737" s="93"/>
      <c r="C737" s="93"/>
      <c r="D737" s="93"/>
      <c r="E737" s="93"/>
      <c r="F737" s="93"/>
      <c r="G737" s="93"/>
      <c r="H737" s="93"/>
      <c r="I737" s="128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</row>
    <row r="738" spans="1:29" ht="12.75" customHeight="1">
      <c r="A738" s="93"/>
      <c r="B738" s="93"/>
      <c r="C738" s="93"/>
      <c r="D738" s="93"/>
      <c r="E738" s="93"/>
      <c r="F738" s="93"/>
      <c r="G738" s="93"/>
      <c r="H738" s="93"/>
      <c r="I738" s="128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</row>
    <row r="739" spans="1:29" ht="12.75" customHeight="1">
      <c r="A739" s="93"/>
      <c r="B739" s="93"/>
      <c r="C739" s="93"/>
      <c r="D739" s="93"/>
      <c r="E739" s="93"/>
      <c r="F739" s="93"/>
      <c r="G739" s="93"/>
      <c r="H739" s="93"/>
      <c r="I739" s="128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</row>
    <row r="740" spans="1:29" ht="12.75" customHeight="1">
      <c r="A740" s="93"/>
      <c r="B740" s="93"/>
      <c r="C740" s="93"/>
      <c r="D740" s="93"/>
      <c r="E740" s="93"/>
      <c r="F740" s="93"/>
      <c r="G740" s="93"/>
      <c r="H740" s="93"/>
      <c r="I740" s="128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</row>
    <row r="741" spans="1:29" ht="12.75" customHeight="1">
      <c r="A741" s="93"/>
      <c r="B741" s="93"/>
      <c r="C741" s="93"/>
      <c r="D741" s="93"/>
      <c r="E741" s="93"/>
      <c r="F741" s="93"/>
      <c r="G741" s="93"/>
      <c r="H741" s="93"/>
      <c r="I741" s="128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</row>
    <row r="742" spans="1:29" ht="12.75" customHeight="1">
      <c r="A742" s="93"/>
      <c r="B742" s="93"/>
      <c r="C742" s="93"/>
      <c r="D742" s="93"/>
      <c r="E742" s="93"/>
      <c r="F742" s="93"/>
      <c r="G742" s="93"/>
      <c r="H742" s="93"/>
      <c r="I742" s="128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</row>
    <row r="743" spans="1:29" ht="12.75" customHeight="1">
      <c r="A743" s="93"/>
      <c r="B743" s="93"/>
      <c r="C743" s="93"/>
      <c r="D743" s="93"/>
      <c r="E743" s="93"/>
      <c r="F743" s="93"/>
      <c r="G743" s="93"/>
      <c r="H743" s="93"/>
      <c r="I743" s="128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</row>
    <row r="744" spans="1:29" ht="12.75" customHeight="1">
      <c r="A744" s="93"/>
      <c r="B744" s="93"/>
      <c r="C744" s="93"/>
      <c r="D744" s="93"/>
      <c r="E744" s="93"/>
      <c r="F744" s="93"/>
      <c r="G744" s="93"/>
      <c r="H744" s="93"/>
      <c r="I744" s="128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</row>
    <row r="745" spans="1:29" ht="12.75" customHeight="1">
      <c r="A745" s="93"/>
      <c r="B745" s="93"/>
      <c r="C745" s="93"/>
      <c r="D745" s="93"/>
      <c r="E745" s="93"/>
      <c r="F745" s="93"/>
      <c r="G745" s="93"/>
      <c r="H745" s="93"/>
      <c r="I745" s="128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</row>
    <row r="746" spans="1:29" ht="12.75" customHeight="1">
      <c r="A746" s="93"/>
      <c r="B746" s="93"/>
      <c r="C746" s="93"/>
      <c r="D746" s="93"/>
      <c r="E746" s="93"/>
      <c r="F746" s="93"/>
      <c r="G746" s="93"/>
      <c r="H746" s="93"/>
      <c r="I746" s="128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</row>
    <row r="747" spans="1:29" ht="12.75" customHeight="1">
      <c r="A747" s="93"/>
      <c r="B747" s="93"/>
      <c r="C747" s="93"/>
      <c r="D747" s="93"/>
      <c r="E747" s="93"/>
      <c r="F747" s="93"/>
      <c r="G747" s="93"/>
      <c r="H747" s="93"/>
      <c r="I747" s="128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</row>
    <row r="748" spans="1:29" ht="12.75" customHeight="1">
      <c r="A748" s="93"/>
      <c r="B748" s="93"/>
      <c r="C748" s="93"/>
      <c r="D748" s="93"/>
      <c r="E748" s="93"/>
      <c r="F748" s="93"/>
      <c r="G748" s="93"/>
      <c r="H748" s="93"/>
      <c r="I748" s="128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</row>
    <row r="749" spans="1:29" ht="12.75" customHeight="1">
      <c r="A749" s="93"/>
      <c r="B749" s="93"/>
      <c r="C749" s="93"/>
      <c r="D749" s="93"/>
      <c r="E749" s="93"/>
      <c r="F749" s="93"/>
      <c r="G749" s="93"/>
      <c r="H749" s="93"/>
      <c r="I749" s="128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</row>
    <row r="750" spans="1:29" ht="12.75" customHeight="1">
      <c r="A750" s="93"/>
      <c r="B750" s="93"/>
      <c r="C750" s="93"/>
      <c r="D750" s="93"/>
      <c r="E750" s="93"/>
      <c r="F750" s="93"/>
      <c r="G750" s="93"/>
      <c r="H750" s="93"/>
      <c r="I750" s="128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</row>
    <row r="751" spans="1:29" ht="12.75" customHeight="1">
      <c r="A751" s="93"/>
      <c r="B751" s="93"/>
      <c r="C751" s="93"/>
      <c r="D751" s="93"/>
      <c r="E751" s="93"/>
      <c r="F751" s="93"/>
      <c r="G751" s="93"/>
      <c r="H751" s="93"/>
      <c r="I751" s="128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</row>
    <row r="752" spans="1:29" ht="12.75" customHeight="1">
      <c r="A752" s="93"/>
      <c r="B752" s="93"/>
      <c r="C752" s="93"/>
      <c r="D752" s="93"/>
      <c r="E752" s="93"/>
      <c r="F752" s="93"/>
      <c r="G752" s="93"/>
      <c r="H752" s="93"/>
      <c r="I752" s="128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</row>
    <row r="753" spans="1:29" ht="12.75" customHeight="1">
      <c r="A753" s="93"/>
      <c r="B753" s="93"/>
      <c r="C753" s="93"/>
      <c r="D753" s="93"/>
      <c r="E753" s="93"/>
      <c r="F753" s="93"/>
      <c r="G753" s="93"/>
      <c r="H753" s="93"/>
      <c r="I753" s="128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</row>
    <row r="754" spans="1:29" ht="12.75" customHeight="1">
      <c r="A754" s="93"/>
      <c r="B754" s="93"/>
      <c r="C754" s="93"/>
      <c r="D754" s="93"/>
      <c r="E754" s="93"/>
      <c r="F754" s="93"/>
      <c r="G754" s="93"/>
      <c r="H754" s="93"/>
      <c r="I754" s="128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</row>
    <row r="755" spans="1:29" ht="12.75" customHeight="1">
      <c r="A755" s="93"/>
      <c r="B755" s="93"/>
      <c r="C755" s="93"/>
      <c r="D755" s="93"/>
      <c r="E755" s="93"/>
      <c r="F755" s="93"/>
      <c r="G755" s="93"/>
      <c r="H755" s="93"/>
      <c r="I755" s="128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</row>
    <row r="756" spans="1:29" ht="12.75" customHeight="1">
      <c r="A756" s="93"/>
      <c r="B756" s="93"/>
      <c r="C756" s="93"/>
      <c r="D756" s="93"/>
      <c r="E756" s="93"/>
      <c r="F756" s="93"/>
      <c r="G756" s="93"/>
      <c r="H756" s="93"/>
      <c r="I756" s="128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</row>
    <row r="757" spans="1:29" ht="12.75" customHeight="1">
      <c r="A757" s="93"/>
      <c r="B757" s="93"/>
      <c r="C757" s="93"/>
      <c r="D757" s="93"/>
      <c r="E757" s="93"/>
      <c r="F757" s="93"/>
      <c r="G757" s="93"/>
      <c r="H757" s="93"/>
      <c r="I757" s="128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</row>
    <row r="758" spans="1:29" ht="12.75" customHeight="1">
      <c r="A758" s="93"/>
      <c r="B758" s="93"/>
      <c r="C758" s="93"/>
      <c r="D758" s="93"/>
      <c r="E758" s="93"/>
      <c r="F758" s="93"/>
      <c r="G758" s="93"/>
      <c r="H758" s="93"/>
      <c r="I758" s="128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</row>
    <row r="759" spans="1:29" ht="12.75" customHeight="1">
      <c r="A759" s="93"/>
      <c r="B759" s="93"/>
      <c r="C759" s="93"/>
      <c r="D759" s="93"/>
      <c r="E759" s="93"/>
      <c r="F759" s="93"/>
      <c r="G759" s="93"/>
      <c r="H759" s="93"/>
      <c r="I759" s="128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</row>
    <row r="760" spans="1:29" ht="12.75" customHeight="1">
      <c r="A760" s="93"/>
      <c r="B760" s="93"/>
      <c r="C760" s="93"/>
      <c r="D760" s="93"/>
      <c r="E760" s="93"/>
      <c r="F760" s="93"/>
      <c r="G760" s="93"/>
      <c r="H760" s="93"/>
      <c r="I760" s="128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</row>
    <row r="761" spans="1:29" ht="12.75" customHeight="1">
      <c r="A761" s="93"/>
      <c r="B761" s="93"/>
      <c r="C761" s="93"/>
      <c r="D761" s="93"/>
      <c r="E761" s="93"/>
      <c r="F761" s="93"/>
      <c r="G761" s="93"/>
      <c r="H761" s="93"/>
      <c r="I761" s="128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</row>
    <row r="762" spans="1:29" ht="12.75" customHeight="1">
      <c r="A762" s="93"/>
      <c r="B762" s="93"/>
      <c r="C762" s="93"/>
      <c r="D762" s="93"/>
      <c r="E762" s="93"/>
      <c r="F762" s="93"/>
      <c r="G762" s="93"/>
      <c r="H762" s="93"/>
      <c r="I762" s="128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</row>
    <row r="763" spans="1:29" ht="12.75" customHeight="1">
      <c r="A763" s="93"/>
      <c r="B763" s="93"/>
      <c r="C763" s="93"/>
      <c r="D763" s="93"/>
      <c r="E763" s="93"/>
      <c r="F763" s="93"/>
      <c r="G763" s="93"/>
      <c r="H763" s="93"/>
      <c r="I763" s="128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</row>
    <row r="764" spans="1:29" ht="12.75" customHeight="1">
      <c r="A764" s="93"/>
      <c r="B764" s="93"/>
      <c r="C764" s="93"/>
      <c r="D764" s="93"/>
      <c r="E764" s="93"/>
      <c r="F764" s="93"/>
      <c r="G764" s="93"/>
      <c r="H764" s="93"/>
      <c r="I764" s="128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</row>
    <row r="765" spans="1:29" ht="12.75" customHeight="1">
      <c r="A765" s="93"/>
      <c r="B765" s="93"/>
      <c r="C765" s="93"/>
      <c r="D765" s="93"/>
      <c r="E765" s="93"/>
      <c r="F765" s="93"/>
      <c r="G765" s="93"/>
      <c r="H765" s="93"/>
      <c r="I765" s="128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</row>
    <row r="766" spans="1:29" ht="12.75" customHeight="1">
      <c r="A766" s="93"/>
      <c r="B766" s="93"/>
      <c r="C766" s="93"/>
      <c r="D766" s="93"/>
      <c r="E766" s="93"/>
      <c r="F766" s="93"/>
      <c r="G766" s="93"/>
      <c r="H766" s="93"/>
      <c r="I766" s="128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</row>
    <row r="767" spans="1:29" ht="12.75" customHeight="1">
      <c r="A767" s="93"/>
      <c r="B767" s="93"/>
      <c r="C767" s="93"/>
      <c r="D767" s="93"/>
      <c r="E767" s="93"/>
      <c r="F767" s="93"/>
      <c r="G767" s="93"/>
      <c r="H767" s="93"/>
      <c r="I767" s="128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</row>
    <row r="768" spans="1:29" ht="12.75" customHeight="1">
      <c r="A768" s="93"/>
      <c r="B768" s="93"/>
      <c r="C768" s="93"/>
      <c r="D768" s="93"/>
      <c r="E768" s="93"/>
      <c r="F768" s="93"/>
      <c r="G768" s="93"/>
      <c r="H768" s="93"/>
      <c r="I768" s="128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</row>
    <row r="769" spans="1:29" ht="12.75" customHeight="1">
      <c r="A769" s="93"/>
      <c r="B769" s="93"/>
      <c r="C769" s="93"/>
      <c r="D769" s="93"/>
      <c r="E769" s="93"/>
      <c r="F769" s="93"/>
      <c r="G769" s="93"/>
      <c r="H769" s="93"/>
      <c r="I769" s="128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</row>
    <row r="770" spans="1:29" ht="12.75" customHeight="1">
      <c r="A770" s="93"/>
      <c r="B770" s="93"/>
      <c r="C770" s="93"/>
      <c r="D770" s="93"/>
      <c r="E770" s="93"/>
      <c r="F770" s="93"/>
      <c r="G770" s="93"/>
      <c r="H770" s="93"/>
      <c r="I770" s="128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</row>
    <row r="771" spans="1:29" ht="12.75" customHeight="1">
      <c r="A771" s="93"/>
      <c r="B771" s="93"/>
      <c r="C771" s="93"/>
      <c r="D771" s="93"/>
      <c r="E771" s="93"/>
      <c r="F771" s="93"/>
      <c r="G771" s="93"/>
      <c r="H771" s="93"/>
      <c r="I771" s="128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</row>
    <row r="772" spans="1:29" ht="12.75" customHeight="1">
      <c r="A772" s="93"/>
      <c r="B772" s="93"/>
      <c r="C772" s="93"/>
      <c r="D772" s="93"/>
      <c r="E772" s="93"/>
      <c r="F772" s="93"/>
      <c r="G772" s="93"/>
      <c r="H772" s="93"/>
      <c r="I772" s="128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</row>
    <row r="773" spans="1:29" ht="12.75" customHeight="1">
      <c r="A773" s="93"/>
      <c r="B773" s="93"/>
      <c r="C773" s="93"/>
      <c r="D773" s="93"/>
      <c r="E773" s="93"/>
      <c r="F773" s="93"/>
      <c r="G773" s="93"/>
      <c r="H773" s="93"/>
      <c r="I773" s="128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</row>
    <row r="774" spans="1:29" ht="12.75" customHeight="1">
      <c r="A774" s="93"/>
      <c r="B774" s="93"/>
      <c r="C774" s="93"/>
      <c r="D774" s="93"/>
      <c r="E774" s="93"/>
      <c r="F774" s="93"/>
      <c r="G774" s="93"/>
      <c r="H774" s="93"/>
      <c r="I774" s="128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</row>
    <row r="775" spans="1:29" ht="12.75" customHeight="1">
      <c r="A775" s="93"/>
      <c r="B775" s="93"/>
      <c r="C775" s="93"/>
      <c r="D775" s="93"/>
      <c r="E775" s="93"/>
      <c r="F775" s="93"/>
      <c r="G775" s="93"/>
      <c r="H775" s="93"/>
      <c r="I775" s="128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</row>
    <row r="776" spans="1:29" ht="12.75" customHeight="1">
      <c r="A776" s="93"/>
      <c r="B776" s="93"/>
      <c r="C776" s="93"/>
      <c r="D776" s="93"/>
      <c r="E776" s="93"/>
      <c r="F776" s="93"/>
      <c r="G776" s="93"/>
      <c r="H776" s="93"/>
      <c r="I776" s="128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</row>
    <row r="777" spans="1:29" ht="12.75" customHeight="1">
      <c r="A777" s="93"/>
      <c r="B777" s="93"/>
      <c r="C777" s="93"/>
      <c r="D777" s="93"/>
      <c r="E777" s="93"/>
      <c r="F777" s="93"/>
      <c r="G777" s="93"/>
      <c r="H777" s="93"/>
      <c r="I777" s="128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</row>
    <row r="778" spans="1:29" ht="12.75" customHeight="1">
      <c r="A778" s="93"/>
      <c r="B778" s="93"/>
      <c r="C778" s="93"/>
      <c r="D778" s="93"/>
      <c r="E778" s="93"/>
      <c r="F778" s="93"/>
      <c r="G778" s="93"/>
      <c r="H778" s="93"/>
      <c r="I778" s="128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</row>
    <row r="779" spans="1:29" ht="12.75" customHeight="1">
      <c r="A779" s="93"/>
      <c r="B779" s="93"/>
      <c r="C779" s="93"/>
      <c r="D779" s="93"/>
      <c r="E779" s="93"/>
      <c r="F779" s="93"/>
      <c r="G779" s="93"/>
      <c r="H779" s="93"/>
      <c r="I779" s="128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</row>
    <row r="780" spans="1:29" ht="12.75" customHeight="1">
      <c r="A780" s="93"/>
      <c r="B780" s="93"/>
      <c r="C780" s="93"/>
      <c r="D780" s="93"/>
      <c r="E780" s="93"/>
      <c r="F780" s="93"/>
      <c r="G780" s="93"/>
      <c r="H780" s="93"/>
      <c r="I780" s="128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</row>
    <row r="781" spans="1:29" ht="12.75" customHeight="1">
      <c r="A781" s="93"/>
      <c r="B781" s="93"/>
      <c r="C781" s="93"/>
      <c r="D781" s="93"/>
      <c r="E781" s="93"/>
      <c r="F781" s="93"/>
      <c r="G781" s="93"/>
      <c r="H781" s="93"/>
      <c r="I781" s="128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</row>
    <row r="782" spans="1:29" ht="12.75" customHeight="1">
      <c r="A782" s="93"/>
      <c r="B782" s="93"/>
      <c r="C782" s="93"/>
      <c r="D782" s="93"/>
      <c r="E782" s="93"/>
      <c r="F782" s="93"/>
      <c r="G782" s="93"/>
      <c r="H782" s="93"/>
      <c r="I782" s="128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</row>
    <row r="783" spans="1:29" ht="12.75" customHeight="1">
      <c r="A783" s="93"/>
      <c r="B783" s="93"/>
      <c r="C783" s="93"/>
      <c r="D783" s="93"/>
      <c r="E783" s="93"/>
      <c r="F783" s="93"/>
      <c r="G783" s="93"/>
      <c r="H783" s="93"/>
      <c r="I783" s="128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</row>
    <row r="784" spans="1:29" ht="12.75" customHeight="1">
      <c r="A784" s="93"/>
      <c r="B784" s="93"/>
      <c r="C784" s="93"/>
      <c r="D784" s="93"/>
      <c r="E784" s="93"/>
      <c r="F784" s="93"/>
      <c r="G784" s="93"/>
      <c r="H784" s="93"/>
      <c r="I784" s="128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</row>
    <row r="785" spans="1:29" ht="12.75" customHeight="1">
      <c r="A785" s="93"/>
      <c r="B785" s="93"/>
      <c r="C785" s="93"/>
      <c r="D785" s="93"/>
      <c r="E785" s="93"/>
      <c r="F785" s="93"/>
      <c r="G785" s="93"/>
      <c r="H785" s="93"/>
      <c r="I785" s="128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</row>
    <row r="786" spans="1:29" ht="12.75" customHeight="1">
      <c r="A786" s="93"/>
      <c r="B786" s="93"/>
      <c r="C786" s="93"/>
      <c r="D786" s="93"/>
      <c r="E786" s="93"/>
      <c r="F786" s="93"/>
      <c r="G786" s="93"/>
      <c r="H786" s="93"/>
      <c r="I786" s="128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</row>
    <row r="787" spans="1:29" ht="12.75" customHeight="1">
      <c r="A787" s="93"/>
      <c r="B787" s="93"/>
      <c r="C787" s="93"/>
      <c r="D787" s="93"/>
      <c r="E787" s="93"/>
      <c r="F787" s="93"/>
      <c r="G787" s="93"/>
      <c r="H787" s="93"/>
      <c r="I787" s="128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</row>
    <row r="788" spans="1:29" ht="12.75" customHeight="1">
      <c r="A788" s="93"/>
      <c r="B788" s="93"/>
      <c r="C788" s="93"/>
      <c r="D788" s="93"/>
      <c r="E788" s="93"/>
      <c r="F788" s="93"/>
      <c r="G788" s="93"/>
      <c r="H788" s="93"/>
      <c r="I788" s="128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</row>
    <row r="789" spans="1:29" ht="12.75" customHeight="1">
      <c r="A789" s="93"/>
      <c r="B789" s="93"/>
      <c r="C789" s="93"/>
      <c r="D789" s="93"/>
      <c r="E789" s="93"/>
      <c r="F789" s="93"/>
      <c r="G789" s="93"/>
      <c r="H789" s="93"/>
      <c r="I789" s="128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</row>
    <row r="790" spans="1:29" ht="12.75" customHeight="1">
      <c r="A790" s="93"/>
      <c r="B790" s="93"/>
      <c r="C790" s="93"/>
      <c r="D790" s="93"/>
      <c r="E790" s="93"/>
      <c r="F790" s="93"/>
      <c r="G790" s="93"/>
      <c r="H790" s="93"/>
      <c r="I790" s="128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</row>
    <row r="791" spans="1:29" ht="12.75" customHeight="1">
      <c r="A791" s="93"/>
      <c r="B791" s="93"/>
      <c r="C791" s="93"/>
      <c r="D791" s="93"/>
      <c r="E791" s="93"/>
      <c r="F791" s="93"/>
      <c r="G791" s="93"/>
      <c r="H791" s="93"/>
      <c r="I791" s="128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</row>
    <row r="792" spans="1:29" ht="12.75" customHeight="1">
      <c r="A792" s="93"/>
      <c r="B792" s="93"/>
      <c r="C792" s="93"/>
      <c r="D792" s="93"/>
      <c r="E792" s="93"/>
      <c r="F792" s="93"/>
      <c r="G792" s="93"/>
      <c r="H792" s="93"/>
      <c r="I792" s="128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</row>
    <row r="793" spans="1:29" ht="12.75" customHeight="1">
      <c r="A793" s="93"/>
      <c r="B793" s="93"/>
      <c r="C793" s="93"/>
      <c r="D793" s="93"/>
      <c r="E793" s="93"/>
      <c r="F793" s="93"/>
      <c r="G793" s="93"/>
      <c r="H793" s="93"/>
      <c r="I793" s="128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</row>
    <row r="794" spans="1:29" ht="12.75" customHeight="1">
      <c r="A794" s="93"/>
      <c r="B794" s="93"/>
      <c r="C794" s="93"/>
      <c r="D794" s="93"/>
      <c r="E794" s="93"/>
      <c r="F794" s="93"/>
      <c r="G794" s="93"/>
      <c r="H794" s="93"/>
      <c r="I794" s="128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</row>
    <row r="795" spans="1:29" ht="12.75" customHeight="1">
      <c r="A795" s="93"/>
      <c r="B795" s="93"/>
      <c r="C795" s="93"/>
      <c r="D795" s="93"/>
      <c r="E795" s="93"/>
      <c r="F795" s="93"/>
      <c r="G795" s="93"/>
      <c r="H795" s="93"/>
      <c r="I795" s="128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</row>
    <row r="796" spans="1:29" ht="12.75" customHeight="1">
      <c r="A796" s="93"/>
      <c r="B796" s="93"/>
      <c r="C796" s="93"/>
      <c r="D796" s="93"/>
      <c r="E796" s="93"/>
      <c r="F796" s="93"/>
      <c r="G796" s="93"/>
      <c r="H796" s="93"/>
      <c r="I796" s="128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</row>
    <row r="797" spans="1:29" ht="12.75" customHeight="1">
      <c r="A797" s="93"/>
      <c r="B797" s="93"/>
      <c r="C797" s="93"/>
      <c r="D797" s="93"/>
      <c r="E797" s="93"/>
      <c r="F797" s="93"/>
      <c r="G797" s="93"/>
      <c r="H797" s="93"/>
      <c r="I797" s="128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</row>
    <row r="798" spans="1:29" ht="12.75" customHeight="1">
      <c r="A798" s="93"/>
      <c r="B798" s="93"/>
      <c r="C798" s="93"/>
      <c r="D798" s="93"/>
      <c r="E798" s="93"/>
      <c r="F798" s="93"/>
      <c r="G798" s="93"/>
      <c r="H798" s="93"/>
      <c r="I798" s="128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</row>
    <row r="799" spans="1:29" ht="12.75" customHeight="1">
      <c r="A799" s="93"/>
      <c r="B799" s="93"/>
      <c r="C799" s="93"/>
      <c r="D799" s="93"/>
      <c r="E799" s="93"/>
      <c r="F799" s="93"/>
      <c r="G799" s="93"/>
      <c r="H799" s="93"/>
      <c r="I799" s="128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</row>
    <row r="800" spans="1:29" ht="12.75" customHeight="1">
      <c r="A800" s="93"/>
      <c r="B800" s="93"/>
      <c r="C800" s="93"/>
      <c r="D800" s="93"/>
      <c r="E800" s="93"/>
      <c r="F800" s="93"/>
      <c r="G800" s="93"/>
      <c r="H800" s="93"/>
      <c r="I800" s="128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</row>
    <row r="801" spans="1:29" ht="12.75" customHeight="1">
      <c r="A801" s="93"/>
      <c r="B801" s="93"/>
      <c r="C801" s="93"/>
      <c r="D801" s="93"/>
      <c r="E801" s="93"/>
      <c r="F801" s="93"/>
      <c r="G801" s="93"/>
      <c r="H801" s="93"/>
      <c r="I801" s="128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</row>
    <row r="802" spans="1:29" ht="12.75" customHeight="1">
      <c r="A802" s="93"/>
      <c r="B802" s="93"/>
      <c r="C802" s="93"/>
      <c r="D802" s="93"/>
      <c r="E802" s="93"/>
      <c r="F802" s="93"/>
      <c r="G802" s="93"/>
      <c r="H802" s="93"/>
      <c r="I802" s="128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</row>
    <row r="803" spans="1:29" ht="12.75" customHeight="1">
      <c r="A803" s="93"/>
      <c r="B803" s="93"/>
      <c r="C803" s="93"/>
      <c r="D803" s="93"/>
      <c r="E803" s="93"/>
      <c r="F803" s="93"/>
      <c r="G803" s="93"/>
      <c r="H803" s="93"/>
      <c r="I803" s="128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</row>
    <row r="804" spans="1:29" ht="12.75" customHeight="1">
      <c r="A804" s="93"/>
      <c r="B804" s="93"/>
      <c r="C804" s="93"/>
      <c r="D804" s="93"/>
      <c r="E804" s="93"/>
      <c r="F804" s="93"/>
      <c r="G804" s="93"/>
      <c r="H804" s="93"/>
      <c r="I804" s="128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</row>
    <row r="805" spans="1:29" ht="12.75" customHeight="1">
      <c r="A805" s="93"/>
      <c r="B805" s="93"/>
      <c r="C805" s="93"/>
      <c r="D805" s="93"/>
      <c r="E805" s="93"/>
      <c r="F805" s="93"/>
      <c r="G805" s="93"/>
      <c r="H805" s="93"/>
      <c r="I805" s="128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</row>
    <row r="806" spans="1:29" ht="12.75" customHeight="1">
      <c r="A806" s="93"/>
      <c r="B806" s="93"/>
      <c r="C806" s="93"/>
      <c r="D806" s="93"/>
      <c r="E806" s="93"/>
      <c r="F806" s="93"/>
      <c r="G806" s="93"/>
      <c r="H806" s="93"/>
      <c r="I806" s="128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</row>
    <row r="807" spans="1:29" ht="12.75" customHeight="1">
      <c r="A807" s="93"/>
      <c r="B807" s="93"/>
      <c r="C807" s="93"/>
      <c r="D807" s="93"/>
      <c r="E807" s="93"/>
      <c r="F807" s="93"/>
      <c r="G807" s="93"/>
      <c r="H807" s="93"/>
      <c r="I807" s="128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</row>
    <row r="808" spans="1:29" ht="12.75" customHeight="1">
      <c r="A808" s="93"/>
      <c r="B808" s="93"/>
      <c r="C808" s="93"/>
      <c r="D808" s="93"/>
      <c r="E808" s="93"/>
      <c r="F808" s="93"/>
      <c r="G808" s="93"/>
      <c r="H808" s="93"/>
      <c r="I808" s="128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</row>
    <row r="809" spans="1:29" ht="12.75" customHeight="1">
      <c r="A809" s="93"/>
      <c r="B809" s="93"/>
      <c r="C809" s="93"/>
      <c r="D809" s="93"/>
      <c r="E809" s="93"/>
      <c r="F809" s="93"/>
      <c r="G809" s="93"/>
      <c r="H809" s="93"/>
      <c r="I809" s="128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</row>
    <row r="810" spans="1:29" ht="12.75" customHeight="1">
      <c r="A810" s="93"/>
      <c r="B810" s="93"/>
      <c r="C810" s="93"/>
      <c r="D810" s="93"/>
      <c r="E810" s="93"/>
      <c r="F810" s="93"/>
      <c r="G810" s="93"/>
      <c r="H810" s="93"/>
      <c r="I810" s="128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</row>
    <row r="811" spans="1:29" ht="12.75" customHeight="1">
      <c r="A811" s="93"/>
      <c r="B811" s="93"/>
      <c r="C811" s="93"/>
      <c r="D811" s="93"/>
      <c r="E811" s="93"/>
      <c r="F811" s="93"/>
      <c r="G811" s="93"/>
      <c r="H811" s="93"/>
      <c r="I811" s="128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</row>
    <row r="812" spans="1:29" ht="12.75" customHeight="1">
      <c r="A812" s="93"/>
      <c r="B812" s="93"/>
      <c r="C812" s="93"/>
      <c r="D812" s="93"/>
      <c r="E812" s="93"/>
      <c r="F812" s="93"/>
      <c r="G812" s="93"/>
      <c r="H812" s="93"/>
      <c r="I812" s="128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</row>
    <row r="813" spans="1:29" ht="12.75" customHeight="1">
      <c r="A813" s="93"/>
      <c r="B813" s="93"/>
      <c r="C813" s="93"/>
      <c r="D813" s="93"/>
      <c r="E813" s="93"/>
      <c r="F813" s="93"/>
      <c r="G813" s="93"/>
      <c r="H813" s="93"/>
      <c r="I813" s="128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</row>
    <row r="814" spans="1:29" ht="12.75" customHeight="1">
      <c r="A814" s="93"/>
      <c r="B814" s="93"/>
      <c r="C814" s="93"/>
      <c r="D814" s="93"/>
      <c r="E814" s="93"/>
      <c r="F814" s="93"/>
      <c r="G814" s="93"/>
      <c r="H814" s="93"/>
      <c r="I814" s="128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</row>
    <row r="815" spans="1:29" ht="12.75" customHeight="1">
      <c r="A815" s="93"/>
      <c r="B815" s="93"/>
      <c r="C815" s="93"/>
      <c r="D815" s="93"/>
      <c r="E815" s="93"/>
      <c r="F815" s="93"/>
      <c r="G815" s="93"/>
      <c r="H815" s="93"/>
      <c r="I815" s="128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</row>
    <row r="816" spans="1:29" ht="12.75" customHeight="1">
      <c r="A816" s="93"/>
      <c r="B816" s="93"/>
      <c r="C816" s="93"/>
      <c r="D816" s="93"/>
      <c r="E816" s="93"/>
      <c r="F816" s="93"/>
      <c r="G816" s="93"/>
      <c r="H816" s="93"/>
      <c r="I816" s="128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</row>
    <row r="817" spans="1:29" ht="12.75" customHeight="1">
      <c r="A817" s="93"/>
      <c r="B817" s="93"/>
      <c r="C817" s="93"/>
      <c r="D817" s="93"/>
      <c r="E817" s="93"/>
      <c r="F817" s="93"/>
      <c r="G817" s="93"/>
      <c r="H817" s="93"/>
      <c r="I817" s="128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</row>
    <row r="818" spans="1:29" ht="12.75" customHeight="1">
      <c r="A818" s="93"/>
      <c r="B818" s="93"/>
      <c r="C818" s="93"/>
      <c r="D818" s="93"/>
      <c r="E818" s="93"/>
      <c r="F818" s="93"/>
      <c r="G818" s="93"/>
      <c r="H818" s="93"/>
      <c r="I818" s="128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</row>
    <row r="819" spans="1:29" ht="12.75" customHeight="1">
      <c r="A819" s="93"/>
      <c r="B819" s="93"/>
      <c r="C819" s="93"/>
      <c r="D819" s="93"/>
      <c r="E819" s="93"/>
      <c r="F819" s="93"/>
      <c r="G819" s="93"/>
      <c r="H819" s="93"/>
      <c r="I819" s="128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</row>
    <row r="820" spans="1:29" ht="12.75" customHeight="1">
      <c r="A820" s="93"/>
      <c r="B820" s="93"/>
      <c r="C820" s="93"/>
      <c r="D820" s="93"/>
      <c r="E820" s="93"/>
      <c r="F820" s="93"/>
      <c r="G820" s="93"/>
      <c r="H820" s="93"/>
      <c r="I820" s="128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</row>
    <row r="821" spans="1:29" ht="12.75" customHeight="1">
      <c r="A821" s="93"/>
      <c r="B821" s="93"/>
      <c r="C821" s="93"/>
      <c r="D821" s="93"/>
      <c r="E821" s="93"/>
      <c r="F821" s="93"/>
      <c r="G821" s="93"/>
      <c r="H821" s="93"/>
      <c r="I821" s="128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</row>
    <row r="822" spans="1:29" ht="12.75" customHeight="1">
      <c r="A822" s="93"/>
      <c r="B822" s="93"/>
      <c r="C822" s="93"/>
      <c r="D822" s="93"/>
      <c r="E822" s="93"/>
      <c r="F822" s="93"/>
      <c r="G822" s="93"/>
      <c r="H822" s="93"/>
      <c r="I822" s="128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</row>
    <row r="823" spans="1:29" ht="12.75" customHeight="1">
      <c r="A823" s="93"/>
      <c r="B823" s="93"/>
      <c r="C823" s="93"/>
      <c r="D823" s="93"/>
      <c r="E823" s="93"/>
      <c r="F823" s="93"/>
      <c r="G823" s="93"/>
      <c r="H823" s="93"/>
      <c r="I823" s="128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</row>
    <row r="824" spans="1:29" ht="12.75" customHeight="1">
      <c r="A824" s="93"/>
      <c r="B824" s="93"/>
      <c r="C824" s="93"/>
      <c r="D824" s="93"/>
      <c r="E824" s="93"/>
      <c r="F824" s="93"/>
      <c r="G824" s="93"/>
      <c r="H824" s="93"/>
      <c r="I824" s="128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</row>
    <row r="825" spans="1:29" ht="12.75" customHeight="1">
      <c r="A825" s="93"/>
      <c r="B825" s="93"/>
      <c r="C825" s="93"/>
      <c r="D825" s="93"/>
      <c r="E825" s="93"/>
      <c r="F825" s="93"/>
      <c r="G825" s="93"/>
      <c r="H825" s="93"/>
      <c r="I825" s="128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</row>
    <row r="826" spans="1:29" ht="12.75" customHeight="1">
      <c r="A826" s="93"/>
      <c r="B826" s="93"/>
      <c r="C826" s="93"/>
      <c r="D826" s="93"/>
      <c r="E826" s="93"/>
      <c r="F826" s="93"/>
      <c r="G826" s="93"/>
      <c r="H826" s="93"/>
      <c r="I826" s="128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</row>
    <row r="827" spans="1:29" ht="12.75" customHeight="1">
      <c r="A827" s="93"/>
      <c r="B827" s="93"/>
      <c r="C827" s="93"/>
      <c r="D827" s="93"/>
      <c r="E827" s="93"/>
      <c r="F827" s="93"/>
      <c r="G827" s="93"/>
      <c r="H827" s="93"/>
      <c r="I827" s="128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</row>
    <row r="828" spans="1:29" ht="12.75" customHeight="1">
      <c r="A828" s="93"/>
      <c r="B828" s="93"/>
      <c r="C828" s="93"/>
      <c r="D828" s="93"/>
      <c r="E828" s="93"/>
      <c r="F828" s="93"/>
      <c r="G828" s="93"/>
      <c r="H828" s="93"/>
      <c r="I828" s="128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</row>
    <row r="829" spans="1:29" ht="12.75" customHeight="1">
      <c r="A829" s="93"/>
      <c r="B829" s="93"/>
      <c r="C829" s="93"/>
      <c r="D829" s="93"/>
      <c r="E829" s="93"/>
      <c r="F829" s="93"/>
      <c r="G829" s="93"/>
      <c r="H829" s="93"/>
      <c r="I829" s="128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</row>
    <row r="830" spans="1:29" ht="12.75" customHeight="1">
      <c r="A830" s="93"/>
      <c r="B830" s="93"/>
      <c r="C830" s="93"/>
      <c r="D830" s="93"/>
      <c r="E830" s="93"/>
      <c r="F830" s="93"/>
      <c r="G830" s="93"/>
      <c r="H830" s="93"/>
      <c r="I830" s="128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</row>
    <row r="831" spans="1:29" ht="12.75" customHeight="1">
      <c r="A831" s="93"/>
      <c r="B831" s="93"/>
      <c r="C831" s="93"/>
      <c r="D831" s="93"/>
      <c r="E831" s="93"/>
      <c r="F831" s="93"/>
      <c r="G831" s="93"/>
      <c r="H831" s="93"/>
      <c r="I831" s="128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</row>
    <row r="832" spans="1:29" ht="12.75" customHeight="1">
      <c r="A832" s="93"/>
      <c r="B832" s="93"/>
      <c r="C832" s="93"/>
      <c r="D832" s="93"/>
      <c r="E832" s="93"/>
      <c r="F832" s="93"/>
      <c r="G832" s="93"/>
      <c r="H832" s="93"/>
      <c r="I832" s="128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</row>
    <row r="833" spans="1:29" ht="12.75" customHeight="1">
      <c r="A833" s="93"/>
      <c r="B833" s="93"/>
      <c r="C833" s="93"/>
      <c r="D833" s="93"/>
      <c r="E833" s="93"/>
      <c r="F833" s="93"/>
      <c r="G833" s="93"/>
      <c r="H833" s="93"/>
      <c r="I833" s="128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</row>
    <row r="834" spans="1:29" ht="12.75" customHeight="1">
      <c r="A834" s="93"/>
      <c r="B834" s="93"/>
      <c r="C834" s="93"/>
      <c r="D834" s="93"/>
      <c r="E834" s="93"/>
      <c r="F834" s="93"/>
      <c r="G834" s="93"/>
      <c r="H834" s="93"/>
      <c r="I834" s="128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</row>
    <row r="835" spans="1:29" ht="12.75" customHeight="1">
      <c r="A835" s="93"/>
      <c r="B835" s="93"/>
      <c r="C835" s="93"/>
      <c r="D835" s="93"/>
      <c r="E835" s="93"/>
      <c r="F835" s="93"/>
      <c r="G835" s="93"/>
      <c r="H835" s="93"/>
      <c r="I835" s="128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</row>
    <row r="836" spans="1:29" ht="12.75" customHeight="1">
      <c r="A836" s="93"/>
      <c r="B836" s="93"/>
      <c r="C836" s="93"/>
      <c r="D836" s="93"/>
      <c r="E836" s="93"/>
      <c r="F836" s="93"/>
      <c r="G836" s="93"/>
      <c r="H836" s="93"/>
      <c r="I836" s="128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</row>
    <row r="837" spans="1:29" ht="12.75" customHeight="1">
      <c r="A837" s="93"/>
      <c r="B837" s="93"/>
      <c r="C837" s="93"/>
      <c r="D837" s="93"/>
      <c r="E837" s="93"/>
      <c r="F837" s="93"/>
      <c r="G837" s="93"/>
      <c r="H837" s="93"/>
      <c r="I837" s="128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</row>
    <row r="838" spans="1:29" ht="12.75" customHeight="1">
      <c r="A838" s="93"/>
      <c r="B838" s="93"/>
      <c r="C838" s="93"/>
      <c r="D838" s="93"/>
      <c r="E838" s="93"/>
      <c r="F838" s="93"/>
      <c r="G838" s="93"/>
      <c r="H838" s="93"/>
      <c r="I838" s="128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</row>
    <row r="839" spans="1:29" ht="12.75" customHeight="1">
      <c r="A839" s="93"/>
      <c r="B839" s="93"/>
      <c r="C839" s="93"/>
      <c r="D839" s="93"/>
      <c r="E839" s="93"/>
      <c r="F839" s="93"/>
      <c r="G839" s="93"/>
      <c r="H839" s="93"/>
      <c r="I839" s="128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</row>
    <row r="840" spans="1:29" ht="12.75" customHeight="1">
      <c r="A840" s="93"/>
      <c r="B840" s="93"/>
      <c r="C840" s="93"/>
      <c r="D840" s="93"/>
      <c r="E840" s="93"/>
      <c r="F840" s="93"/>
      <c r="G840" s="93"/>
      <c r="H840" s="93"/>
      <c r="I840" s="128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</row>
    <row r="841" spans="1:29" ht="12.75" customHeight="1">
      <c r="A841" s="93"/>
      <c r="B841" s="93"/>
      <c r="C841" s="93"/>
      <c r="D841" s="93"/>
      <c r="E841" s="93"/>
      <c r="F841" s="93"/>
      <c r="G841" s="93"/>
      <c r="H841" s="93"/>
      <c r="I841" s="128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</row>
    <row r="842" spans="1:29" ht="12.75" customHeight="1">
      <c r="A842" s="93"/>
      <c r="B842" s="93"/>
      <c r="C842" s="93"/>
      <c r="D842" s="93"/>
      <c r="E842" s="93"/>
      <c r="F842" s="93"/>
      <c r="G842" s="93"/>
      <c r="H842" s="93"/>
      <c r="I842" s="128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</row>
    <row r="843" spans="1:29" ht="12.75" customHeight="1">
      <c r="A843" s="93"/>
      <c r="B843" s="93"/>
      <c r="C843" s="93"/>
      <c r="D843" s="93"/>
      <c r="E843" s="93"/>
      <c r="F843" s="93"/>
      <c r="G843" s="93"/>
      <c r="H843" s="93"/>
      <c r="I843" s="128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</row>
    <row r="844" spans="1:29" ht="12.75" customHeight="1">
      <c r="A844" s="93"/>
      <c r="B844" s="93"/>
      <c r="C844" s="93"/>
      <c r="D844" s="93"/>
      <c r="E844" s="93"/>
      <c r="F844" s="93"/>
      <c r="G844" s="93"/>
      <c r="H844" s="93"/>
      <c r="I844" s="128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</row>
    <row r="845" spans="1:29" ht="12.75" customHeight="1">
      <c r="A845" s="93"/>
      <c r="B845" s="93"/>
      <c r="C845" s="93"/>
      <c r="D845" s="93"/>
      <c r="E845" s="93"/>
      <c r="F845" s="93"/>
      <c r="G845" s="93"/>
      <c r="H845" s="93"/>
      <c r="I845" s="128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</row>
    <row r="846" spans="1:29" ht="12.75" customHeight="1">
      <c r="A846" s="93"/>
      <c r="B846" s="93"/>
      <c r="C846" s="93"/>
      <c r="D846" s="93"/>
      <c r="E846" s="93"/>
      <c r="F846" s="93"/>
      <c r="G846" s="93"/>
      <c r="H846" s="93"/>
      <c r="I846" s="128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</row>
    <row r="847" spans="1:29" ht="12.75" customHeight="1">
      <c r="A847" s="93"/>
      <c r="B847" s="93"/>
      <c r="C847" s="93"/>
      <c r="D847" s="93"/>
      <c r="E847" s="93"/>
      <c r="F847" s="93"/>
      <c r="G847" s="93"/>
      <c r="H847" s="93"/>
      <c r="I847" s="128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</row>
    <row r="848" spans="1:29" ht="12.75" customHeight="1">
      <c r="A848" s="93"/>
      <c r="B848" s="93"/>
      <c r="C848" s="93"/>
      <c r="D848" s="93"/>
      <c r="E848" s="93"/>
      <c r="F848" s="93"/>
      <c r="G848" s="93"/>
      <c r="H848" s="93"/>
      <c r="I848" s="128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</row>
    <row r="849" spans="1:29" ht="12.75" customHeight="1">
      <c r="A849" s="93"/>
      <c r="B849" s="93"/>
      <c r="C849" s="93"/>
      <c r="D849" s="93"/>
      <c r="E849" s="93"/>
      <c r="F849" s="93"/>
      <c r="G849" s="93"/>
      <c r="H849" s="93"/>
      <c r="I849" s="128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</row>
    <row r="850" spans="1:29" ht="12.75" customHeight="1">
      <c r="A850" s="93"/>
      <c r="B850" s="93"/>
      <c r="C850" s="93"/>
      <c r="D850" s="93"/>
      <c r="E850" s="93"/>
      <c r="F850" s="93"/>
      <c r="G850" s="93"/>
      <c r="H850" s="93"/>
      <c r="I850" s="128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</row>
    <row r="851" spans="1:29" ht="12.75" customHeight="1">
      <c r="A851" s="93"/>
      <c r="B851" s="93"/>
      <c r="C851" s="93"/>
      <c r="D851" s="93"/>
      <c r="E851" s="93"/>
      <c r="F851" s="93"/>
      <c r="G851" s="93"/>
      <c r="H851" s="93"/>
      <c r="I851" s="128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</row>
    <row r="852" spans="1:29" ht="12.75" customHeight="1">
      <c r="A852" s="93"/>
      <c r="B852" s="93"/>
      <c r="C852" s="93"/>
      <c r="D852" s="93"/>
      <c r="E852" s="93"/>
      <c r="F852" s="93"/>
      <c r="G852" s="93"/>
      <c r="H852" s="93"/>
      <c r="I852" s="128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</row>
    <row r="853" spans="1:29" ht="12.75" customHeight="1">
      <c r="A853" s="93"/>
      <c r="B853" s="93"/>
      <c r="C853" s="93"/>
      <c r="D853" s="93"/>
      <c r="E853" s="93"/>
      <c r="F853" s="93"/>
      <c r="G853" s="93"/>
      <c r="H853" s="93"/>
      <c r="I853" s="128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</row>
    <row r="854" spans="1:29" ht="12.75" customHeight="1">
      <c r="A854" s="93"/>
      <c r="B854" s="93"/>
      <c r="C854" s="93"/>
      <c r="D854" s="93"/>
      <c r="E854" s="93"/>
      <c r="F854" s="93"/>
      <c r="G854" s="93"/>
      <c r="H854" s="93"/>
      <c r="I854" s="128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</row>
    <row r="855" spans="1:29" ht="12.75" customHeight="1">
      <c r="A855" s="93"/>
      <c r="B855" s="93"/>
      <c r="C855" s="93"/>
      <c r="D855" s="93"/>
      <c r="E855" s="93"/>
      <c r="F855" s="93"/>
      <c r="G855" s="93"/>
      <c r="H855" s="93"/>
      <c r="I855" s="128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</row>
    <row r="856" spans="1:29" ht="12.75" customHeight="1">
      <c r="A856" s="93"/>
      <c r="B856" s="93"/>
      <c r="C856" s="93"/>
      <c r="D856" s="93"/>
      <c r="E856" s="93"/>
      <c r="F856" s="93"/>
      <c r="G856" s="93"/>
      <c r="H856" s="93"/>
      <c r="I856" s="128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</row>
    <row r="857" spans="1:29" ht="12.75" customHeight="1">
      <c r="A857" s="93"/>
      <c r="B857" s="93"/>
      <c r="C857" s="93"/>
      <c r="D857" s="93"/>
      <c r="E857" s="93"/>
      <c r="F857" s="93"/>
      <c r="G857" s="93"/>
      <c r="H857" s="93"/>
      <c r="I857" s="128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</row>
    <row r="858" spans="1:29" ht="12.75" customHeight="1">
      <c r="A858" s="93"/>
      <c r="B858" s="93"/>
      <c r="C858" s="93"/>
      <c r="D858" s="93"/>
      <c r="E858" s="93"/>
      <c r="F858" s="93"/>
      <c r="G858" s="93"/>
      <c r="H858" s="93"/>
      <c r="I858" s="128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</row>
    <row r="859" spans="1:29" ht="12.75" customHeight="1">
      <c r="A859" s="93"/>
      <c r="B859" s="93"/>
      <c r="C859" s="93"/>
      <c r="D859" s="93"/>
      <c r="E859" s="93"/>
      <c r="F859" s="93"/>
      <c r="G859" s="93"/>
      <c r="H859" s="93"/>
      <c r="I859" s="128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</row>
    <row r="860" spans="1:29" ht="12.75" customHeight="1">
      <c r="A860" s="93"/>
      <c r="B860" s="93"/>
      <c r="C860" s="93"/>
      <c r="D860" s="93"/>
      <c r="E860" s="93"/>
      <c r="F860" s="93"/>
      <c r="G860" s="93"/>
      <c r="H860" s="93"/>
      <c r="I860" s="128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</row>
    <row r="861" spans="1:29" ht="12.75" customHeight="1">
      <c r="A861" s="93"/>
      <c r="B861" s="93"/>
      <c r="C861" s="93"/>
      <c r="D861" s="93"/>
      <c r="E861" s="93"/>
      <c r="F861" s="93"/>
      <c r="G861" s="93"/>
      <c r="H861" s="93"/>
      <c r="I861" s="128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</row>
    <row r="862" spans="1:29" ht="12.75" customHeight="1">
      <c r="A862" s="93"/>
      <c r="B862" s="93"/>
      <c r="C862" s="93"/>
      <c r="D862" s="93"/>
      <c r="E862" s="93"/>
      <c r="F862" s="93"/>
      <c r="G862" s="93"/>
      <c r="H862" s="93"/>
      <c r="I862" s="128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</row>
    <row r="863" spans="1:29" ht="12.75" customHeight="1">
      <c r="A863" s="93"/>
      <c r="B863" s="93"/>
      <c r="C863" s="93"/>
      <c r="D863" s="93"/>
      <c r="E863" s="93"/>
      <c r="F863" s="93"/>
      <c r="G863" s="93"/>
      <c r="H863" s="93"/>
      <c r="I863" s="128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</row>
    <row r="864" spans="1:29" ht="12.75" customHeight="1">
      <c r="A864" s="93"/>
      <c r="B864" s="93"/>
      <c r="C864" s="93"/>
      <c r="D864" s="93"/>
      <c r="E864" s="93"/>
      <c r="F864" s="93"/>
      <c r="G864" s="93"/>
      <c r="H864" s="93"/>
      <c r="I864" s="128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</row>
    <row r="865" spans="1:29" ht="12.75" customHeight="1">
      <c r="A865" s="93"/>
      <c r="B865" s="93"/>
      <c r="C865" s="93"/>
      <c r="D865" s="93"/>
      <c r="E865" s="93"/>
      <c r="F865" s="93"/>
      <c r="G865" s="93"/>
      <c r="H865" s="93"/>
      <c r="I865" s="128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</row>
    <row r="866" spans="1:29" ht="12.75" customHeight="1">
      <c r="A866" s="93"/>
      <c r="B866" s="93"/>
      <c r="C866" s="93"/>
      <c r="D866" s="93"/>
      <c r="E866" s="93"/>
      <c r="F866" s="93"/>
      <c r="G866" s="93"/>
      <c r="H866" s="93"/>
      <c r="I866" s="128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</row>
    <row r="867" spans="1:29" ht="12.75" customHeight="1">
      <c r="A867" s="93"/>
      <c r="B867" s="93"/>
      <c r="C867" s="93"/>
      <c r="D867" s="93"/>
      <c r="E867" s="93"/>
      <c r="F867" s="93"/>
      <c r="G867" s="93"/>
      <c r="H867" s="93"/>
      <c r="I867" s="128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</row>
    <row r="868" spans="1:29" ht="12.75" customHeight="1">
      <c r="A868" s="93"/>
      <c r="B868" s="93"/>
      <c r="C868" s="93"/>
      <c r="D868" s="93"/>
      <c r="E868" s="93"/>
      <c r="F868" s="93"/>
      <c r="G868" s="93"/>
      <c r="H868" s="93"/>
      <c r="I868" s="128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</row>
    <row r="869" spans="1:29" ht="12.75" customHeight="1">
      <c r="A869" s="93"/>
      <c r="B869" s="93"/>
      <c r="C869" s="93"/>
      <c r="D869" s="93"/>
      <c r="E869" s="93"/>
      <c r="F869" s="93"/>
      <c r="G869" s="93"/>
      <c r="H869" s="93"/>
      <c r="I869" s="128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</row>
    <row r="870" spans="1:29" ht="12.75" customHeight="1">
      <c r="A870" s="93"/>
      <c r="B870" s="93"/>
      <c r="C870" s="93"/>
      <c r="D870" s="93"/>
      <c r="E870" s="93"/>
      <c r="F870" s="93"/>
      <c r="G870" s="93"/>
      <c r="H870" s="93"/>
      <c r="I870" s="128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</row>
    <row r="871" spans="1:29" ht="12.75" customHeight="1">
      <c r="A871" s="93"/>
      <c r="B871" s="93"/>
      <c r="C871" s="93"/>
      <c r="D871" s="93"/>
      <c r="E871" s="93"/>
      <c r="F871" s="93"/>
      <c r="G871" s="93"/>
      <c r="H871" s="93"/>
      <c r="I871" s="128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</row>
    <row r="872" spans="1:29" ht="12.75" customHeight="1">
      <c r="A872" s="93"/>
      <c r="B872" s="93"/>
      <c r="C872" s="93"/>
      <c r="D872" s="93"/>
      <c r="E872" s="93"/>
      <c r="F872" s="93"/>
      <c r="G872" s="93"/>
      <c r="H872" s="93"/>
      <c r="I872" s="128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</row>
    <row r="873" spans="1:29" ht="12.75" customHeight="1">
      <c r="A873" s="93"/>
      <c r="B873" s="93"/>
      <c r="C873" s="93"/>
      <c r="D873" s="93"/>
      <c r="E873" s="93"/>
      <c r="F873" s="93"/>
      <c r="G873" s="93"/>
      <c r="H873" s="93"/>
      <c r="I873" s="128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</row>
    <row r="874" spans="1:29" ht="12.75" customHeight="1">
      <c r="A874" s="93"/>
      <c r="B874" s="93"/>
      <c r="C874" s="93"/>
      <c r="D874" s="93"/>
      <c r="E874" s="93"/>
      <c r="F874" s="93"/>
      <c r="G874" s="93"/>
      <c r="H874" s="93"/>
      <c r="I874" s="128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</row>
    <row r="875" spans="1:29" ht="12.75" customHeight="1">
      <c r="A875" s="93"/>
      <c r="B875" s="93"/>
      <c r="C875" s="93"/>
      <c r="D875" s="93"/>
      <c r="E875" s="93"/>
      <c r="F875" s="93"/>
      <c r="G875" s="93"/>
      <c r="H875" s="93"/>
      <c r="I875" s="128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</row>
    <row r="876" spans="1:29" ht="12.75" customHeight="1">
      <c r="A876" s="93"/>
      <c r="B876" s="93"/>
      <c r="C876" s="93"/>
      <c r="D876" s="93"/>
      <c r="E876" s="93"/>
      <c r="F876" s="93"/>
      <c r="G876" s="93"/>
      <c r="H876" s="93"/>
      <c r="I876" s="128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</row>
    <row r="877" spans="1:29" ht="12.75" customHeight="1">
      <c r="A877" s="93"/>
      <c r="B877" s="93"/>
      <c r="C877" s="93"/>
      <c r="D877" s="93"/>
      <c r="E877" s="93"/>
      <c r="F877" s="93"/>
      <c r="G877" s="93"/>
      <c r="H877" s="93"/>
      <c r="I877" s="128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</row>
    <row r="878" spans="1:29" ht="12.75" customHeight="1">
      <c r="A878" s="93"/>
      <c r="B878" s="93"/>
      <c r="C878" s="93"/>
      <c r="D878" s="93"/>
      <c r="E878" s="93"/>
      <c r="F878" s="93"/>
      <c r="G878" s="93"/>
      <c r="H878" s="93"/>
      <c r="I878" s="128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</row>
    <row r="879" spans="1:29" ht="12.75" customHeight="1">
      <c r="A879" s="93"/>
      <c r="B879" s="93"/>
      <c r="C879" s="93"/>
      <c r="D879" s="93"/>
      <c r="E879" s="93"/>
      <c r="F879" s="93"/>
      <c r="G879" s="93"/>
      <c r="H879" s="93"/>
      <c r="I879" s="128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</row>
    <row r="880" spans="1:29" ht="12.75" customHeight="1">
      <c r="A880" s="93"/>
      <c r="B880" s="93"/>
      <c r="C880" s="93"/>
      <c r="D880" s="93"/>
      <c r="E880" s="93"/>
      <c r="F880" s="93"/>
      <c r="G880" s="93"/>
      <c r="H880" s="93"/>
      <c r="I880" s="128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</row>
    <row r="881" spans="1:29" ht="12.75" customHeight="1">
      <c r="A881" s="93"/>
      <c r="B881" s="93"/>
      <c r="C881" s="93"/>
      <c r="D881" s="93"/>
      <c r="E881" s="93"/>
      <c r="F881" s="93"/>
      <c r="G881" s="93"/>
      <c r="H881" s="93"/>
      <c r="I881" s="128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</row>
    <row r="882" spans="1:29" ht="12.75" customHeight="1">
      <c r="A882" s="93"/>
      <c r="B882" s="93"/>
      <c r="C882" s="93"/>
      <c r="D882" s="93"/>
      <c r="E882" s="93"/>
      <c r="F882" s="93"/>
      <c r="G882" s="93"/>
      <c r="H882" s="93"/>
      <c r="I882" s="128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</row>
    <row r="883" spans="1:29" ht="12.75" customHeight="1">
      <c r="A883" s="93"/>
      <c r="B883" s="93"/>
      <c r="C883" s="93"/>
      <c r="D883" s="93"/>
      <c r="E883" s="93"/>
      <c r="F883" s="93"/>
      <c r="G883" s="93"/>
      <c r="H883" s="93"/>
      <c r="I883" s="128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</row>
    <row r="884" spans="1:29" ht="12.75" customHeight="1">
      <c r="A884" s="93"/>
      <c r="B884" s="93"/>
      <c r="C884" s="93"/>
      <c r="D884" s="93"/>
      <c r="E884" s="93"/>
      <c r="F884" s="93"/>
      <c r="G884" s="93"/>
      <c r="H884" s="93"/>
      <c r="I884" s="128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</row>
    <row r="885" spans="1:29" ht="12.75" customHeight="1">
      <c r="A885" s="93"/>
      <c r="B885" s="93"/>
      <c r="C885" s="93"/>
      <c r="D885" s="93"/>
      <c r="E885" s="93"/>
      <c r="F885" s="93"/>
      <c r="G885" s="93"/>
      <c r="H885" s="93"/>
      <c r="I885" s="128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</row>
    <row r="886" spans="1:29" ht="12.75" customHeight="1">
      <c r="A886" s="93"/>
      <c r="B886" s="93"/>
      <c r="C886" s="93"/>
      <c r="D886" s="93"/>
      <c r="E886" s="93"/>
      <c r="F886" s="93"/>
      <c r="G886" s="93"/>
      <c r="H886" s="93"/>
      <c r="I886" s="128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</row>
    <row r="887" spans="1:29" ht="12.75" customHeight="1">
      <c r="A887" s="93"/>
      <c r="B887" s="93"/>
      <c r="C887" s="93"/>
      <c r="D887" s="93"/>
      <c r="E887" s="93"/>
      <c r="F887" s="93"/>
      <c r="G887" s="93"/>
      <c r="H887" s="93"/>
      <c r="I887" s="128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</row>
    <row r="888" spans="1:29" ht="12.75" customHeight="1">
      <c r="A888" s="93"/>
      <c r="B888" s="93"/>
      <c r="C888" s="93"/>
      <c r="D888" s="93"/>
      <c r="E888" s="93"/>
      <c r="F888" s="93"/>
      <c r="G888" s="93"/>
      <c r="H888" s="93"/>
      <c r="I888" s="128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</row>
    <row r="889" spans="1:29" ht="12.75" customHeight="1">
      <c r="A889" s="93"/>
      <c r="B889" s="93"/>
      <c r="C889" s="93"/>
      <c r="D889" s="93"/>
      <c r="E889" s="93"/>
      <c r="F889" s="93"/>
      <c r="G889" s="93"/>
      <c r="H889" s="93"/>
      <c r="I889" s="128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</row>
    <row r="890" spans="1:29" ht="12.75" customHeight="1">
      <c r="A890" s="93"/>
      <c r="B890" s="93"/>
      <c r="C890" s="93"/>
      <c r="D890" s="93"/>
      <c r="E890" s="93"/>
      <c r="F890" s="93"/>
      <c r="G890" s="93"/>
      <c r="H890" s="93"/>
      <c r="I890" s="128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</row>
    <row r="891" spans="1:29" ht="12.75" customHeight="1">
      <c r="A891" s="93"/>
      <c r="B891" s="93"/>
      <c r="C891" s="93"/>
      <c r="D891" s="93"/>
      <c r="E891" s="93"/>
      <c r="F891" s="93"/>
      <c r="G891" s="93"/>
      <c r="H891" s="93"/>
      <c r="I891" s="128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</row>
    <row r="892" spans="1:29" ht="12.75" customHeight="1">
      <c r="A892" s="93"/>
      <c r="B892" s="93"/>
      <c r="C892" s="93"/>
      <c r="D892" s="93"/>
      <c r="E892" s="93"/>
      <c r="F892" s="93"/>
      <c r="G892" s="93"/>
      <c r="H892" s="93"/>
      <c r="I892" s="128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</row>
    <row r="893" spans="1:29" ht="12.75" customHeight="1">
      <c r="A893" s="93"/>
      <c r="B893" s="93"/>
      <c r="C893" s="93"/>
      <c r="D893" s="93"/>
      <c r="E893" s="93"/>
      <c r="F893" s="93"/>
      <c r="G893" s="93"/>
      <c r="H893" s="93"/>
      <c r="I893" s="128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</row>
    <row r="894" spans="1:29" ht="12.75" customHeight="1">
      <c r="A894" s="93"/>
      <c r="B894" s="93"/>
      <c r="C894" s="93"/>
      <c r="D894" s="93"/>
      <c r="E894" s="93"/>
      <c r="F894" s="93"/>
      <c r="G894" s="93"/>
      <c r="H894" s="93"/>
      <c r="I894" s="128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</row>
    <row r="895" spans="1:29" ht="12.75" customHeight="1">
      <c r="A895" s="93"/>
      <c r="B895" s="93"/>
      <c r="C895" s="93"/>
      <c r="D895" s="93"/>
      <c r="E895" s="93"/>
      <c r="F895" s="93"/>
      <c r="G895" s="93"/>
      <c r="H895" s="93"/>
      <c r="I895" s="128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</row>
    <row r="896" spans="1:29" ht="12.75" customHeight="1">
      <c r="A896" s="93"/>
      <c r="B896" s="93"/>
      <c r="C896" s="93"/>
      <c r="D896" s="93"/>
      <c r="E896" s="93"/>
      <c r="F896" s="93"/>
      <c r="G896" s="93"/>
      <c r="H896" s="93"/>
      <c r="I896" s="128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</row>
    <row r="897" spans="1:29" ht="12.75" customHeight="1">
      <c r="A897" s="93"/>
      <c r="B897" s="93"/>
      <c r="C897" s="93"/>
      <c r="D897" s="93"/>
      <c r="E897" s="93"/>
      <c r="F897" s="93"/>
      <c r="G897" s="93"/>
      <c r="H897" s="93"/>
      <c r="I897" s="128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</row>
    <row r="898" spans="1:29" ht="12.75" customHeight="1">
      <c r="A898" s="93"/>
      <c r="B898" s="93"/>
      <c r="C898" s="93"/>
      <c r="D898" s="93"/>
      <c r="E898" s="93"/>
      <c r="F898" s="93"/>
      <c r="G898" s="93"/>
      <c r="H898" s="93"/>
      <c r="I898" s="128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</row>
    <row r="899" spans="1:29" ht="12.75" customHeight="1">
      <c r="A899" s="93"/>
      <c r="B899" s="93"/>
      <c r="C899" s="93"/>
      <c r="D899" s="93"/>
      <c r="E899" s="93"/>
      <c r="F899" s="93"/>
      <c r="G899" s="93"/>
      <c r="H899" s="93"/>
      <c r="I899" s="128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</row>
    <row r="900" spans="1:29" ht="12.75" customHeight="1">
      <c r="A900" s="93"/>
      <c r="B900" s="93"/>
      <c r="C900" s="93"/>
      <c r="D900" s="93"/>
      <c r="E900" s="93"/>
      <c r="F900" s="93"/>
      <c r="G900" s="93"/>
      <c r="H900" s="93"/>
      <c r="I900" s="128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</row>
    <row r="901" spans="1:29" ht="12.75" customHeight="1">
      <c r="A901" s="93"/>
      <c r="B901" s="93"/>
      <c r="C901" s="93"/>
      <c r="D901" s="93"/>
      <c r="E901" s="93"/>
      <c r="F901" s="93"/>
      <c r="G901" s="93"/>
      <c r="H901" s="93"/>
      <c r="I901" s="128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</row>
    <row r="902" spans="1:29" ht="12.75" customHeight="1">
      <c r="A902" s="93"/>
      <c r="B902" s="93"/>
      <c r="C902" s="93"/>
      <c r="D902" s="93"/>
      <c r="E902" s="93"/>
      <c r="F902" s="93"/>
      <c r="G902" s="93"/>
      <c r="H902" s="93"/>
      <c r="I902" s="128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</row>
    <row r="903" spans="1:29" ht="12.75" customHeight="1">
      <c r="A903" s="93"/>
      <c r="B903" s="93"/>
      <c r="C903" s="93"/>
      <c r="D903" s="93"/>
      <c r="E903" s="93"/>
      <c r="F903" s="93"/>
      <c r="G903" s="93"/>
      <c r="H903" s="93"/>
      <c r="I903" s="128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</row>
    <row r="904" spans="1:29" ht="12.75" customHeight="1">
      <c r="A904" s="93"/>
      <c r="B904" s="93"/>
      <c r="C904" s="93"/>
      <c r="D904" s="93"/>
      <c r="E904" s="93"/>
      <c r="F904" s="93"/>
      <c r="G904" s="93"/>
      <c r="H904" s="93"/>
      <c r="I904" s="128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</row>
    <row r="905" spans="1:29" ht="12.75" customHeight="1">
      <c r="A905" s="93"/>
      <c r="B905" s="93"/>
      <c r="C905" s="93"/>
      <c r="D905" s="93"/>
      <c r="E905" s="93"/>
      <c r="F905" s="93"/>
      <c r="G905" s="93"/>
      <c r="H905" s="93"/>
      <c r="I905" s="128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</row>
    <row r="906" spans="1:29" ht="12.75" customHeight="1">
      <c r="A906" s="93"/>
      <c r="B906" s="93"/>
      <c r="C906" s="93"/>
      <c r="D906" s="93"/>
      <c r="E906" s="93"/>
      <c r="F906" s="93"/>
      <c r="G906" s="93"/>
      <c r="H906" s="93"/>
      <c r="I906" s="128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</row>
    <row r="907" spans="1:29" ht="12.75" customHeight="1">
      <c r="A907" s="93"/>
      <c r="B907" s="93"/>
      <c r="C907" s="93"/>
      <c r="D907" s="93"/>
      <c r="E907" s="93"/>
      <c r="F907" s="93"/>
      <c r="G907" s="93"/>
      <c r="H907" s="93"/>
      <c r="I907" s="128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</row>
    <row r="908" spans="1:29" ht="12.75" customHeight="1">
      <c r="A908" s="93"/>
      <c r="B908" s="93"/>
      <c r="C908" s="93"/>
      <c r="D908" s="93"/>
      <c r="E908" s="93"/>
      <c r="F908" s="93"/>
      <c r="G908" s="93"/>
      <c r="H908" s="93"/>
      <c r="I908" s="128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</row>
    <row r="909" spans="1:29" ht="12.75" customHeight="1">
      <c r="A909" s="93"/>
      <c r="B909" s="93"/>
      <c r="C909" s="93"/>
      <c r="D909" s="93"/>
      <c r="E909" s="93"/>
      <c r="F909" s="93"/>
      <c r="G909" s="93"/>
      <c r="H909" s="93"/>
      <c r="I909" s="128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</row>
    <row r="910" spans="1:29" ht="12.75" customHeight="1">
      <c r="A910" s="93"/>
      <c r="B910" s="93"/>
      <c r="C910" s="93"/>
      <c r="D910" s="93"/>
      <c r="E910" s="93"/>
      <c r="F910" s="93"/>
      <c r="G910" s="93"/>
      <c r="H910" s="93"/>
      <c r="I910" s="128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</row>
    <row r="911" spans="1:29" ht="12.75" customHeight="1">
      <c r="A911" s="93"/>
      <c r="B911" s="93"/>
      <c r="C911" s="93"/>
      <c r="D911" s="93"/>
      <c r="E911" s="93"/>
      <c r="F911" s="93"/>
      <c r="G911" s="93"/>
      <c r="H911" s="93"/>
      <c r="I911" s="128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</row>
    <row r="912" spans="1:29" ht="12.75" customHeight="1">
      <c r="A912" s="93"/>
      <c r="B912" s="93"/>
      <c r="C912" s="93"/>
      <c r="D912" s="93"/>
      <c r="E912" s="93"/>
      <c r="F912" s="93"/>
      <c r="G912" s="93"/>
      <c r="H912" s="93"/>
      <c r="I912" s="128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</row>
    <row r="913" spans="1:29" ht="12.75" customHeight="1">
      <c r="A913" s="93"/>
      <c r="B913" s="93"/>
      <c r="C913" s="93"/>
      <c r="D913" s="93"/>
      <c r="E913" s="93"/>
      <c r="F913" s="93"/>
      <c r="G913" s="93"/>
      <c r="H913" s="93"/>
      <c r="I913" s="128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</row>
    <row r="914" spans="1:29" ht="12.75" customHeight="1">
      <c r="A914" s="93"/>
      <c r="B914" s="93"/>
      <c r="C914" s="93"/>
      <c r="D914" s="93"/>
      <c r="E914" s="93"/>
      <c r="F914" s="93"/>
      <c r="G914" s="93"/>
      <c r="H914" s="93"/>
      <c r="I914" s="128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</row>
    <row r="915" spans="1:29" ht="12.75" customHeight="1">
      <c r="A915" s="93"/>
      <c r="B915" s="93"/>
      <c r="C915" s="93"/>
      <c r="D915" s="93"/>
      <c r="E915" s="93"/>
      <c r="F915" s="93"/>
      <c r="G915" s="93"/>
      <c r="H915" s="93"/>
      <c r="I915" s="128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</row>
    <row r="916" spans="1:29" ht="12.75" customHeight="1">
      <c r="A916" s="93"/>
      <c r="B916" s="93"/>
      <c r="C916" s="93"/>
      <c r="D916" s="93"/>
      <c r="E916" s="93"/>
      <c r="F916" s="93"/>
      <c r="G916" s="93"/>
      <c r="H916" s="93"/>
      <c r="I916" s="128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</row>
    <row r="917" spans="1:29" ht="12.75" customHeight="1">
      <c r="A917" s="93"/>
      <c r="B917" s="93"/>
      <c r="C917" s="93"/>
      <c r="D917" s="93"/>
      <c r="E917" s="93"/>
      <c r="F917" s="93"/>
      <c r="G917" s="93"/>
      <c r="H917" s="93"/>
      <c r="I917" s="128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</row>
    <row r="918" spans="1:29" ht="12.75" customHeight="1">
      <c r="A918" s="93"/>
      <c r="B918" s="93"/>
      <c r="C918" s="93"/>
      <c r="D918" s="93"/>
      <c r="E918" s="93"/>
      <c r="F918" s="93"/>
      <c r="G918" s="93"/>
      <c r="H918" s="93"/>
      <c r="I918" s="128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</row>
    <row r="919" spans="1:29" ht="12.75" customHeight="1">
      <c r="A919" s="93"/>
      <c r="B919" s="93"/>
      <c r="C919" s="93"/>
      <c r="D919" s="93"/>
      <c r="E919" s="93"/>
      <c r="F919" s="93"/>
      <c r="G919" s="93"/>
      <c r="H919" s="93"/>
      <c r="I919" s="128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</row>
    <row r="920" spans="1:29" ht="12.75" customHeight="1">
      <c r="A920" s="93"/>
      <c r="B920" s="93"/>
      <c r="C920" s="93"/>
      <c r="D920" s="93"/>
      <c r="E920" s="93"/>
      <c r="F920" s="93"/>
      <c r="G920" s="93"/>
      <c r="H920" s="93"/>
      <c r="I920" s="128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</row>
    <row r="921" spans="1:29" ht="12.75" customHeight="1">
      <c r="A921" s="93"/>
      <c r="B921" s="93"/>
      <c r="C921" s="93"/>
      <c r="D921" s="93"/>
      <c r="E921" s="93"/>
      <c r="F921" s="93"/>
      <c r="G921" s="93"/>
      <c r="H921" s="93"/>
      <c r="I921" s="128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</row>
    <row r="922" spans="1:29" ht="12.75" customHeight="1">
      <c r="A922" s="93"/>
      <c r="B922" s="93"/>
      <c r="C922" s="93"/>
      <c r="D922" s="93"/>
      <c r="E922" s="93"/>
      <c r="F922" s="93"/>
      <c r="G922" s="93"/>
      <c r="H922" s="93"/>
      <c r="I922" s="128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</row>
    <row r="923" spans="1:29" ht="12.75" customHeight="1">
      <c r="A923" s="93"/>
      <c r="B923" s="93"/>
      <c r="C923" s="93"/>
      <c r="D923" s="93"/>
      <c r="E923" s="93"/>
      <c r="F923" s="93"/>
      <c r="G923" s="93"/>
      <c r="H923" s="93"/>
      <c r="I923" s="128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</row>
    <row r="924" spans="1:29" ht="12.75" customHeight="1">
      <c r="A924" s="93"/>
      <c r="B924" s="93"/>
      <c r="C924" s="93"/>
      <c r="D924" s="93"/>
      <c r="E924" s="93"/>
      <c r="F924" s="93"/>
      <c r="G924" s="93"/>
      <c r="H924" s="93"/>
      <c r="I924" s="128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</row>
    <row r="925" spans="1:29" ht="12.75" customHeight="1">
      <c r="A925" s="93"/>
      <c r="B925" s="93"/>
      <c r="C925" s="93"/>
      <c r="D925" s="93"/>
      <c r="E925" s="93"/>
      <c r="F925" s="93"/>
      <c r="G925" s="93"/>
      <c r="H925" s="93"/>
      <c r="I925" s="128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</row>
    <row r="926" spans="1:29" ht="12.75" customHeight="1">
      <c r="A926" s="93"/>
      <c r="B926" s="93"/>
      <c r="C926" s="93"/>
      <c r="D926" s="93"/>
      <c r="E926" s="93"/>
      <c r="F926" s="93"/>
      <c r="G926" s="93"/>
      <c r="H926" s="93"/>
      <c r="I926" s="128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</row>
    <row r="927" spans="1:29" ht="12.75" customHeight="1">
      <c r="A927" s="93"/>
      <c r="B927" s="93"/>
      <c r="C927" s="93"/>
      <c r="D927" s="93"/>
      <c r="E927" s="93"/>
      <c r="F927" s="93"/>
      <c r="G927" s="93"/>
      <c r="H927" s="93"/>
      <c r="I927" s="128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</row>
    <row r="928" spans="1:29" ht="12.75" customHeight="1">
      <c r="A928" s="93"/>
      <c r="B928" s="93"/>
      <c r="C928" s="93"/>
      <c r="D928" s="93"/>
      <c r="E928" s="93"/>
      <c r="F928" s="93"/>
      <c r="G928" s="93"/>
      <c r="H928" s="93"/>
      <c r="I928" s="128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</row>
    <row r="929" spans="1:29" ht="12.75" customHeight="1">
      <c r="A929" s="93"/>
      <c r="B929" s="93"/>
      <c r="C929" s="93"/>
      <c r="D929" s="93"/>
      <c r="E929" s="93"/>
      <c r="F929" s="93"/>
      <c r="G929" s="93"/>
      <c r="H929" s="93"/>
      <c r="I929" s="128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</row>
    <row r="930" spans="1:29" ht="12.75" customHeight="1">
      <c r="A930" s="93"/>
      <c r="B930" s="93"/>
      <c r="C930" s="93"/>
      <c r="D930" s="93"/>
      <c r="E930" s="93"/>
      <c r="F930" s="93"/>
      <c r="G930" s="93"/>
      <c r="H930" s="93"/>
      <c r="I930" s="128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</row>
    <row r="931" spans="1:29" ht="12.75" customHeight="1">
      <c r="A931" s="93"/>
      <c r="B931" s="93"/>
      <c r="C931" s="93"/>
      <c r="D931" s="93"/>
      <c r="E931" s="93"/>
      <c r="F931" s="93"/>
      <c r="G931" s="93"/>
      <c r="H931" s="93"/>
      <c r="I931" s="128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</row>
    <row r="932" spans="1:29" ht="12.75" customHeight="1">
      <c r="A932" s="93"/>
      <c r="B932" s="93"/>
      <c r="C932" s="93"/>
      <c r="D932" s="93"/>
      <c r="E932" s="93"/>
      <c r="F932" s="93"/>
      <c r="G932" s="93"/>
      <c r="H932" s="93"/>
      <c r="I932" s="128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</row>
    <row r="933" spans="1:29" ht="12.75" customHeight="1">
      <c r="A933" s="93"/>
      <c r="B933" s="93"/>
      <c r="C933" s="93"/>
      <c r="D933" s="93"/>
      <c r="E933" s="93"/>
      <c r="F933" s="93"/>
      <c r="G933" s="93"/>
      <c r="H933" s="93"/>
      <c r="I933" s="128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</row>
    <row r="934" spans="1:29" ht="12.75" customHeight="1">
      <c r="A934" s="93"/>
      <c r="B934" s="93"/>
      <c r="C934" s="93"/>
      <c r="D934" s="93"/>
      <c r="E934" s="93"/>
      <c r="F934" s="93"/>
      <c r="G934" s="93"/>
      <c r="H934" s="93"/>
      <c r="I934" s="128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</row>
    <row r="935" spans="1:29" ht="12.75" customHeight="1">
      <c r="A935" s="93"/>
      <c r="B935" s="93"/>
      <c r="C935" s="93"/>
      <c r="D935" s="93"/>
      <c r="E935" s="93"/>
      <c r="F935" s="93"/>
      <c r="G935" s="93"/>
      <c r="H935" s="93"/>
      <c r="I935" s="128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</row>
    <row r="936" spans="1:29" ht="12.75" customHeight="1">
      <c r="A936" s="93"/>
      <c r="B936" s="93"/>
      <c r="C936" s="93"/>
      <c r="D936" s="93"/>
      <c r="E936" s="93"/>
      <c r="F936" s="93"/>
      <c r="G936" s="93"/>
      <c r="H936" s="93"/>
      <c r="I936" s="128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</row>
    <row r="937" spans="1:29" ht="12.75" customHeight="1">
      <c r="A937" s="93"/>
      <c r="B937" s="93"/>
      <c r="C937" s="93"/>
      <c r="D937" s="93"/>
      <c r="E937" s="93"/>
      <c r="F937" s="93"/>
      <c r="G937" s="93"/>
      <c r="H937" s="93"/>
      <c r="I937" s="128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</row>
    <row r="938" spans="1:29" ht="12.75" customHeight="1">
      <c r="A938" s="93"/>
      <c r="B938" s="93"/>
      <c r="C938" s="93"/>
      <c r="D938" s="93"/>
      <c r="E938" s="93"/>
      <c r="F938" s="93"/>
      <c r="G938" s="93"/>
      <c r="H938" s="93"/>
      <c r="I938" s="128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</row>
    <row r="939" spans="1:29" ht="12.75" customHeight="1">
      <c r="A939" s="93"/>
      <c r="B939" s="93"/>
      <c r="C939" s="93"/>
      <c r="D939" s="93"/>
      <c r="E939" s="93"/>
      <c r="F939" s="93"/>
      <c r="G939" s="93"/>
      <c r="H939" s="93"/>
      <c r="I939" s="128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</row>
    <row r="940" spans="1:29" ht="12.75" customHeight="1">
      <c r="A940" s="93"/>
      <c r="B940" s="93"/>
      <c r="C940" s="93"/>
      <c r="D940" s="93"/>
      <c r="E940" s="93"/>
      <c r="F940" s="93"/>
      <c r="G940" s="93"/>
      <c r="H940" s="93"/>
      <c r="I940" s="128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</row>
    <row r="941" spans="1:29" ht="12.75" customHeight="1">
      <c r="A941" s="93"/>
      <c r="B941" s="93"/>
      <c r="C941" s="93"/>
      <c r="D941" s="93"/>
      <c r="E941" s="93"/>
      <c r="F941" s="93"/>
      <c r="G941" s="93"/>
      <c r="H941" s="93"/>
      <c r="I941" s="128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</row>
    <row r="942" spans="1:29" ht="12.75" customHeight="1">
      <c r="A942" s="93"/>
      <c r="B942" s="93"/>
      <c r="C942" s="93"/>
      <c r="D942" s="93"/>
      <c r="E942" s="93"/>
      <c r="F942" s="93"/>
      <c r="G942" s="93"/>
      <c r="H942" s="93"/>
      <c r="I942" s="128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</row>
    <row r="943" spans="1:29" ht="12.75" customHeight="1">
      <c r="A943" s="93"/>
      <c r="B943" s="93"/>
      <c r="C943" s="93"/>
      <c r="D943" s="93"/>
      <c r="E943" s="93"/>
      <c r="F943" s="93"/>
      <c r="G943" s="93"/>
      <c r="H943" s="93"/>
      <c r="I943" s="128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</row>
    <row r="944" spans="1:29" ht="12.75" customHeight="1">
      <c r="A944" s="93"/>
      <c r="B944" s="93"/>
      <c r="C944" s="93"/>
      <c r="D944" s="93"/>
      <c r="E944" s="93"/>
      <c r="F944" s="93"/>
      <c r="G944" s="93"/>
      <c r="H944" s="93"/>
      <c r="I944" s="128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</row>
    <row r="945" spans="1:29" ht="12.75" customHeight="1">
      <c r="A945" s="93"/>
      <c r="B945" s="93"/>
      <c r="C945" s="93"/>
      <c r="D945" s="93"/>
      <c r="E945" s="93"/>
      <c r="F945" s="93"/>
      <c r="G945" s="93"/>
      <c r="H945" s="93"/>
      <c r="I945" s="128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</row>
    <row r="946" spans="1:29" ht="12.75" customHeight="1">
      <c r="A946" s="93"/>
      <c r="B946" s="93"/>
      <c r="C946" s="93"/>
      <c r="D946" s="93"/>
      <c r="E946" s="93"/>
      <c r="F946" s="93"/>
      <c r="G946" s="93"/>
      <c r="H946" s="93"/>
      <c r="I946" s="128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</row>
    <row r="947" spans="1:29" ht="12.75" customHeight="1">
      <c r="A947" s="93"/>
      <c r="B947" s="93"/>
      <c r="C947" s="93"/>
      <c r="D947" s="93"/>
      <c r="E947" s="93"/>
      <c r="F947" s="93"/>
      <c r="G947" s="93"/>
      <c r="H947" s="93"/>
      <c r="I947" s="128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</row>
    <row r="948" spans="1:29" ht="12.75" customHeight="1">
      <c r="A948" s="93"/>
      <c r="B948" s="93"/>
      <c r="C948" s="93"/>
      <c r="D948" s="93"/>
      <c r="E948" s="93"/>
      <c r="F948" s="93"/>
      <c r="G948" s="93"/>
      <c r="H948" s="93"/>
      <c r="I948" s="128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</row>
    <row r="949" spans="1:29" ht="12.75" customHeight="1">
      <c r="A949" s="93"/>
      <c r="B949" s="93"/>
      <c r="C949" s="93"/>
      <c r="D949" s="93"/>
      <c r="E949" s="93"/>
      <c r="F949" s="93"/>
      <c r="G949" s="93"/>
      <c r="H949" s="93"/>
      <c r="I949" s="128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</row>
    <row r="950" spans="1:29" ht="12.75" customHeight="1">
      <c r="A950" s="93"/>
      <c r="B950" s="93"/>
      <c r="C950" s="93"/>
      <c r="D950" s="93"/>
      <c r="E950" s="93"/>
      <c r="F950" s="93"/>
      <c r="G950" s="93"/>
      <c r="H950" s="93"/>
      <c r="I950" s="128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</row>
    <row r="951" spans="1:29" ht="12.75" customHeight="1">
      <c r="A951" s="93"/>
      <c r="B951" s="93"/>
      <c r="C951" s="93"/>
      <c r="D951" s="93"/>
      <c r="E951" s="93"/>
      <c r="F951" s="93"/>
      <c r="G951" s="93"/>
      <c r="H951" s="93"/>
      <c r="I951" s="128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</row>
    <row r="952" spans="1:29" ht="12.75" customHeight="1">
      <c r="A952" s="93"/>
      <c r="B952" s="93"/>
      <c r="C952" s="93"/>
      <c r="D952" s="93"/>
      <c r="E952" s="93"/>
      <c r="F952" s="93"/>
      <c r="G952" s="93"/>
      <c r="H952" s="93"/>
      <c r="I952" s="128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</row>
    <row r="953" spans="1:29" ht="12.75" customHeight="1">
      <c r="A953" s="93"/>
      <c r="B953" s="93"/>
      <c r="C953" s="93"/>
      <c r="D953" s="93"/>
      <c r="E953" s="93"/>
      <c r="F953" s="93"/>
      <c r="G953" s="93"/>
      <c r="H953" s="93"/>
      <c r="I953" s="128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</row>
    <row r="954" spans="1:29" ht="12.75" customHeight="1">
      <c r="A954" s="93"/>
      <c r="B954" s="93"/>
      <c r="C954" s="93"/>
      <c r="D954" s="93"/>
      <c r="E954" s="93"/>
      <c r="F954" s="93"/>
      <c r="G954" s="93"/>
      <c r="H954" s="93"/>
      <c r="I954" s="128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</row>
    <row r="955" spans="1:29" ht="12.75" customHeight="1">
      <c r="A955" s="93"/>
      <c r="B955" s="93"/>
      <c r="C955" s="93"/>
      <c r="D955" s="93"/>
      <c r="E955" s="93"/>
      <c r="F955" s="93"/>
      <c r="G955" s="93"/>
      <c r="H955" s="93"/>
      <c r="I955" s="128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</row>
    <row r="956" spans="1:29" ht="12.75" customHeight="1">
      <c r="A956" s="93"/>
      <c r="B956" s="93"/>
      <c r="C956" s="93"/>
      <c r="D956" s="93"/>
      <c r="E956" s="93"/>
      <c r="F956" s="93"/>
      <c r="G956" s="93"/>
      <c r="H956" s="93"/>
      <c r="I956" s="128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</row>
    <row r="957" spans="1:29" ht="12.75" customHeight="1">
      <c r="A957" s="93"/>
      <c r="B957" s="93"/>
      <c r="C957" s="93"/>
      <c r="D957" s="93"/>
      <c r="E957" s="93"/>
      <c r="F957" s="93"/>
      <c r="G957" s="93"/>
      <c r="H957" s="93"/>
      <c r="I957" s="128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</row>
    <row r="958" spans="1:29" ht="12.75" customHeight="1">
      <c r="A958" s="93"/>
      <c r="B958" s="93"/>
      <c r="C958" s="93"/>
      <c r="D958" s="93"/>
      <c r="E958" s="93"/>
      <c r="F958" s="93"/>
      <c r="G958" s="93"/>
      <c r="H958" s="93"/>
      <c r="I958" s="128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</row>
    <row r="959" spans="1:29" ht="12.75" customHeight="1">
      <c r="A959" s="93"/>
      <c r="B959" s="93"/>
      <c r="C959" s="93"/>
      <c r="D959" s="93"/>
      <c r="E959" s="93"/>
      <c r="F959" s="93"/>
      <c r="G959" s="93"/>
      <c r="H959" s="93"/>
      <c r="I959" s="128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</row>
    <row r="960" spans="1:29" ht="12.75" customHeight="1">
      <c r="A960" s="93"/>
      <c r="B960" s="93"/>
      <c r="C960" s="93"/>
      <c r="D960" s="93"/>
      <c r="E960" s="93"/>
      <c r="F960" s="93"/>
      <c r="G960" s="93"/>
      <c r="H960" s="93"/>
      <c r="I960" s="128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</row>
    <row r="961" spans="1:29" ht="12.75" customHeight="1">
      <c r="A961" s="93"/>
      <c r="B961" s="93"/>
      <c r="C961" s="93"/>
      <c r="D961" s="93"/>
      <c r="E961" s="93"/>
      <c r="F961" s="93"/>
      <c r="G961" s="93"/>
      <c r="H961" s="93"/>
      <c r="I961" s="128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</row>
    <row r="962" spans="1:29" ht="12.75" customHeight="1">
      <c r="A962" s="93"/>
      <c r="B962" s="93"/>
      <c r="C962" s="93"/>
      <c r="D962" s="93"/>
      <c r="E962" s="93"/>
      <c r="F962" s="93"/>
      <c r="G962" s="93"/>
      <c r="H962" s="93"/>
      <c r="I962" s="128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</row>
    <row r="963" spans="1:29" ht="12.75" customHeight="1">
      <c r="A963" s="93"/>
      <c r="B963" s="93"/>
      <c r="C963" s="93"/>
      <c r="D963" s="93"/>
      <c r="E963" s="93"/>
      <c r="F963" s="93"/>
      <c r="G963" s="93"/>
      <c r="H963" s="93"/>
      <c r="I963" s="128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</row>
    <row r="964" spans="1:29" ht="12.75" customHeight="1">
      <c r="A964" s="93"/>
      <c r="B964" s="93"/>
      <c r="C964" s="93"/>
      <c r="D964" s="93"/>
      <c r="E964" s="93"/>
      <c r="F964" s="93"/>
      <c r="G964" s="93"/>
      <c r="H964" s="93"/>
      <c r="I964" s="128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</row>
    <row r="965" spans="1:29" ht="12.75" customHeight="1">
      <c r="A965" s="93"/>
      <c r="B965" s="93"/>
      <c r="C965" s="93"/>
      <c r="D965" s="93"/>
      <c r="E965" s="93"/>
      <c r="F965" s="93"/>
      <c r="G965" s="93"/>
      <c r="H965" s="93"/>
      <c r="I965" s="128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</row>
    <row r="966" spans="1:29" ht="12.75" customHeight="1">
      <c r="A966" s="93"/>
      <c r="B966" s="93"/>
      <c r="C966" s="93"/>
      <c r="D966" s="93"/>
      <c r="E966" s="93"/>
      <c r="F966" s="93"/>
      <c r="G966" s="93"/>
      <c r="H966" s="93"/>
      <c r="I966" s="128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</row>
    <row r="967" spans="1:29" ht="12.75" customHeight="1">
      <c r="A967" s="93"/>
      <c r="B967" s="93"/>
      <c r="C967" s="93"/>
      <c r="D967" s="93"/>
      <c r="E967" s="93"/>
      <c r="F967" s="93"/>
      <c r="G967" s="93"/>
      <c r="H967" s="93"/>
      <c r="I967" s="128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</row>
    <row r="968" spans="1:29" ht="12.75" customHeight="1">
      <c r="A968" s="93"/>
      <c r="B968" s="93"/>
      <c r="C968" s="93"/>
      <c r="D968" s="93"/>
      <c r="E968" s="93"/>
      <c r="F968" s="93"/>
      <c r="G968" s="93"/>
      <c r="H968" s="93"/>
      <c r="I968" s="128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</row>
    <row r="969" spans="1:29" ht="12.75" customHeight="1">
      <c r="A969" s="93"/>
      <c r="B969" s="93"/>
      <c r="C969" s="93"/>
      <c r="D969" s="93"/>
      <c r="E969" s="93"/>
      <c r="F969" s="93"/>
      <c r="G969" s="93"/>
      <c r="H969" s="93"/>
      <c r="I969" s="128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</row>
    <row r="970" spans="1:29" ht="12.75" customHeight="1">
      <c r="A970" s="93"/>
      <c r="B970" s="93"/>
      <c r="C970" s="93"/>
      <c r="D970" s="93"/>
      <c r="E970" s="93"/>
      <c r="F970" s="93"/>
      <c r="G970" s="93"/>
      <c r="H970" s="93"/>
      <c r="I970" s="128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</row>
    <row r="971" spans="1:29" ht="12.75" customHeight="1">
      <c r="A971" s="93"/>
      <c r="B971" s="93"/>
      <c r="C971" s="93"/>
      <c r="D971" s="93"/>
      <c r="E971" s="93"/>
      <c r="F971" s="93"/>
      <c r="G971" s="93"/>
      <c r="H971" s="93"/>
      <c r="I971" s="128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</row>
    <row r="972" spans="1:29" ht="12.75" customHeight="1">
      <c r="A972" s="93"/>
      <c r="B972" s="93"/>
      <c r="C972" s="93"/>
      <c r="D972" s="93"/>
      <c r="E972" s="93"/>
      <c r="F972" s="93"/>
      <c r="G972" s="93"/>
      <c r="H972" s="93"/>
      <c r="I972" s="128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</row>
    <row r="973" spans="1:29" ht="12.75" customHeight="1">
      <c r="A973" s="93"/>
      <c r="B973" s="93"/>
      <c r="C973" s="93"/>
      <c r="D973" s="93"/>
      <c r="E973" s="93"/>
      <c r="F973" s="93"/>
      <c r="G973" s="93"/>
      <c r="H973" s="93"/>
      <c r="I973" s="128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</row>
    <row r="974" spans="1:29" ht="12.75" customHeight="1">
      <c r="A974" s="93"/>
      <c r="B974" s="93"/>
      <c r="C974" s="93"/>
      <c r="D974" s="93"/>
      <c r="E974" s="93"/>
      <c r="F974" s="93"/>
      <c r="G974" s="93"/>
      <c r="H974" s="93"/>
      <c r="I974" s="128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</row>
    <row r="975" spans="1:29" ht="12.75" customHeight="1">
      <c r="A975" s="93"/>
      <c r="B975" s="93"/>
      <c r="C975" s="93"/>
      <c r="D975" s="93"/>
      <c r="E975" s="93"/>
      <c r="F975" s="93"/>
      <c r="G975" s="93"/>
      <c r="H975" s="93"/>
      <c r="I975" s="128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</row>
    <row r="976" spans="1:29" ht="12.75" customHeight="1">
      <c r="A976" s="93"/>
      <c r="B976" s="93"/>
      <c r="C976" s="93"/>
      <c r="D976" s="93"/>
      <c r="E976" s="93"/>
      <c r="F976" s="93"/>
      <c r="G976" s="93"/>
      <c r="H976" s="93"/>
      <c r="I976" s="128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</row>
    <row r="977" spans="1:29" ht="12.75" customHeight="1">
      <c r="A977" s="93"/>
      <c r="B977" s="93"/>
      <c r="C977" s="93"/>
      <c r="D977" s="93"/>
      <c r="E977" s="93"/>
      <c r="F977" s="93"/>
      <c r="G977" s="93"/>
      <c r="H977" s="93"/>
      <c r="I977" s="128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  <c r="AB977" s="93"/>
      <c r="AC977" s="93"/>
    </row>
    <row r="978" spans="1:29" ht="12.75" customHeight="1">
      <c r="A978" s="93"/>
      <c r="B978" s="93"/>
      <c r="C978" s="93"/>
      <c r="D978" s="93"/>
      <c r="E978" s="93"/>
      <c r="F978" s="93"/>
      <c r="G978" s="93"/>
      <c r="H978" s="93"/>
      <c r="I978" s="128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  <c r="AB978" s="93"/>
      <c r="AC978" s="93"/>
    </row>
    <row r="979" spans="1:29" ht="12.75" customHeight="1">
      <c r="A979" s="93"/>
      <c r="B979" s="93"/>
      <c r="C979" s="93"/>
      <c r="D979" s="93"/>
      <c r="E979" s="93"/>
      <c r="F979" s="93"/>
      <c r="G979" s="93"/>
      <c r="H979" s="93"/>
      <c r="I979" s="128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  <c r="AB979" s="93"/>
      <c r="AC979" s="93"/>
    </row>
    <row r="980" spans="1:29" ht="12.75" customHeight="1">
      <c r="A980" s="93"/>
      <c r="B980" s="93"/>
      <c r="C980" s="93"/>
      <c r="D980" s="93"/>
      <c r="E980" s="93"/>
      <c r="F980" s="93"/>
      <c r="G980" s="93"/>
      <c r="H980" s="93"/>
      <c r="I980" s="128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</row>
    <row r="981" spans="1:29" ht="12.75" customHeight="1">
      <c r="A981" s="93"/>
      <c r="B981" s="93"/>
      <c r="C981" s="93"/>
      <c r="D981" s="93"/>
      <c r="E981" s="93"/>
      <c r="F981" s="93"/>
      <c r="G981" s="93"/>
      <c r="H981" s="93"/>
      <c r="I981" s="128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  <c r="AB981" s="93"/>
      <c r="AC981" s="93"/>
    </row>
    <row r="982" spans="1:29" ht="12.75" customHeight="1">
      <c r="A982" s="93"/>
      <c r="B982" s="93"/>
      <c r="C982" s="93"/>
      <c r="D982" s="93"/>
      <c r="E982" s="93"/>
      <c r="F982" s="93"/>
      <c r="G982" s="93"/>
      <c r="H982" s="93"/>
      <c r="I982" s="128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  <c r="AB982" s="93"/>
      <c r="AC982" s="93"/>
    </row>
    <row r="983" spans="1:29" ht="12.75" customHeight="1">
      <c r="A983" s="93"/>
      <c r="B983" s="93"/>
      <c r="C983" s="93"/>
      <c r="D983" s="93"/>
      <c r="E983" s="93"/>
      <c r="F983" s="93"/>
      <c r="G983" s="93"/>
      <c r="H983" s="93"/>
      <c r="I983" s="128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  <c r="AB983" s="93"/>
      <c r="AC983" s="93"/>
    </row>
    <row r="984" spans="1:29" ht="12.75" customHeight="1">
      <c r="A984" s="93"/>
      <c r="B984" s="93"/>
      <c r="C984" s="93"/>
      <c r="D984" s="93"/>
      <c r="E984" s="93"/>
      <c r="F984" s="93"/>
      <c r="G984" s="93"/>
      <c r="H984" s="93"/>
      <c r="I984" s="128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  <c r="AB984" s="93"/>
      <c r="AC984" s="93"/>
    </row>
    <row r="985" spans="1:29" ht="12.75" customHeight="1">
      <c r="A985" s="93"/>
      <c r="B985" s="93"/>
      <c r="C985" s="93"/>
      <c r="D985" s="93"/>
      <c r="E985" s="93"/>
      <c r="F985" s="93"/>
      <c r="G985" s="93"/>
      <c r="H985" s="93"/>
      <c r="I985" s="128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  <c r="AB985" s="93"/>
      <c r="AC985" s="93"/>
    </row>
    <row r="986" spans="1:29" ht="12.75" customHeight="1">
      <c r="A986" s="93"/>
      <c r="B986" s="93"/>
      <c r="C986" s="93"/>
      <c r="D986" s="93"/>
      <c r="E986" s="93"/>
      <c r="F986" s="93"/>
      <c r="G986" s="93"/>
      <c r="H986" s="93"/>
      <c r="I986" s="128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  <c r="AB986" s="93"/>
      <c r="AC986" s="93"/>
    </row>
    <row r="987" spans="1:29" ht="12.75" customHeight="1">
      <c r="A987" s="93"/>
      <c r="B987" s="93"/>
      <c r="C987" s="93"/>
      <c r="D987" s="93"/>
      <c r="E987" s="93"/>
      <c r="F987" s="93"/>
      <c r="G987" s="93"/>
      <c r="H987" s="93"/>
      <c r="I987" s="128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  <c r="AB987" s="93"/>
      <c r="AC987" s="93"/>
    </row>
    <row r="988" spans="1:29" ht="12.75" customHeight="1">
      <c r="A988" s="93"/>
      <c r="B988" s="93"/>
      <c r="C988" s="93"/>
      <c r="D988" s="93"/>
      <c r="E988" s="93"/>
      <c r="F988" s="93"/>
      <c r="G988" s="93"/>
      <c r="H988" s="93"/>
      <c r="I988" s="128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  <c r="AB988" s="93"/>
      <c r="AC988" s="93"/>
    </row>
    <row r="989" spans="1:29" ht="12.75" customHeight="1">
      <c r="A989" s="93"/>
      <c r="B989" s="93"/>
      <c r="C989" s="93"/>
      <c r="D989" s="93"/>
      <c r="E989" s="93"/>
      <c r="F989" s="93"/>
      <c r="G989" s="93"/>
      <c r="H989" s="93"/>
      <c r="I989" s="128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  <c r="AB989" s="93"/>
      <c r="AC989" s="93"/>
    </row>
    <row r="990" spans="1:29" ht="12.75" customHeight="1">
      <c r="A990" s="93"/>
      <c r="B990" s="93"/>
      <c r="C990" s="93"/>
      <c r="D990" s="93"/>
      <c r="E990" s="93"/>
      <c r="F990" s="93"/>
      <c r="G990" s="93"/>
      <c r="H990" s="93"/>
      <c r="I990" s="128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  <c r="AB990" s="93"/>
      <c r="AC990" s="93"/>
    </row>
    <row r="991" spans="1:29" ht="12.75" customHeight="1">
      <c r="A991" s="93"/>
      <c r="B991" s="93"/>
      <c r="C991" s="93"/>
      <c r="D991" s="93"/>
      <c r="E991" s="93"/>
      <c r="F991" s="93"/>
      <c r="G991" s="93"/>
      <c r="H991" s="93"/>
      <c r="I991" s="128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  <c r="AB991" s="93"/>
      <c r="AC991" s="93"/>
    </row>
    <row r="992" spans="1:29" ht="12.75" customHeight="1">
      <c r="A992" s="93"/>
      <c r="B992" s="93"/>
      <c r="C992" s="93"/>
      <c r="D992" s="93"/>
      <c r="E992" s="93"/>
      <c r="F992" s="93"/>
      <c r="G992" s="93"/>
      <c r="H992" s="93"/>
      <c r="I992" s="128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  <c r="AB992" s="93"/>
      <c r="AC992" s="93"/>
    </row>
    <row r="993" spans="1:29" ht="12.75" customHeight="1">
      <c r="A993" s="93"/>
      <c r="B993" s="93"/>
      <c r="C993" s="93"/>
      <c r="D993" s="93"/>
      <c r="E993" s="93"/>
      <c r="F993" s="93"/>
      <c r="G993" s="93"/>
      <c r="H993" s="93"/>
      <c r="I993" s="128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  <c r="AB993" s="93"/>
      <c r="AC993" s="93"/>
    </row>
    <row r="994" spans="1:29" ht="12.75" customHeight="1">
      <c r="A994" s="93"/>
      <c r="B994" s="93"/>
      <c r="C994" s="93"/>
      <c r="D994" s="93"/>
      <c r="E994" s="93"/>
      <c r="F994" s="93"/>
      <c r="G994" s="93"/>
      <c r="H994" s="93"/>
      <c r="I994" s="128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  <c r="AB994" s="93"/>
      <c r="AC994" s="93"/>
    </row>
    <row r="995" spans="1:29" ht="12.75" customHeight="1">
      <c r="A995" s="93"/>
      <c r="B995" s="93"/>
      <c r="C995" s="93"/>
      <c r="D995" s="93"/>
      <c r="E995" s="93"/>
      <c r="F995" s="93"/>
      <c r="G995" s="93"/>
      <c r="H995" s="93"/>
      <c r="I995" s="128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</row>
    <row r="996" spans="1:29" ht="12.75" customHeight="1">
      <c r="A996" s="93"/>
      <c r="B996" s="93"/>
      <c r="C996" s="93"/>
      <c r="D996" s="93"/>
      <c r="E996" s="93"/>
      <c r="F996" s="93"/>
      <c r="G996" s="93"/>
      <c r="H996" s="93"/>
      <c r="I996" s="128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</row>
    <row r="997" spans="1:29" ht="12.75" customHeight="1">
      <c r="A997" s="93"/>
      <c r="B997" s="93"/>
      <c r="C997" s="93"/>
      <c r="D997" s="93"/>
      <c r="E997" s="93"/>
      <c r="F997" s="93"/>
      <c r="G997" s="93"/>
      <c r="H997" s="93"/>
      <c r="I997" s="128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</row>
    <row r="998" spans="1:29" ht="12.75" customHeight="1">
      <c r="A998" s="93"/>
      <c r="B998" s="93"/>
      <c r="C998" s="93"/>
      <c r="D998" s="93"/>
      <c r="E998" s="93"/>
      <c r="F998" s="93"/>
      <c r="G998" s="93"/>
      <c r="H998" s="93"/>
      <c r="I998" s="128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</row>
    <row r="999" spans="1:29" ht="12.75" customHeight="1">
      <c r="A999" s="93"/>
      <c r="B999" s="93"/>
      <c r="C999" s="93"/>
      <c r="D999" s="93"/>
      <c r="E999" s="93"/>
      <c r="F999" s="93"/>
      <c r="G999" s="93"/>
      <c r="H999" s="93"/>
      <c r="I999" s="128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</row>
    <row r="1000" spans="1:29" ht="12.75" customHeight="1">
      <c r="A1000" s="93"/>
      <c r="B1000" s="93"/>
      <c r="C1000" s="93"/>
      <c r="D1000" s="93"/>
      <c r="E1000" s="93"/>
      <c r="F1000" s="93"/>
      <c r="G1000" s="93"/>
      <c r="H1000" s="93"/>
      <c r="I1000" s="128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</row>
  </sheetData>
  <mergeCells count="2">
    <mergeCell ref="B1:V1"/>
    <mergeCell ref="B2:V2"/>
  </mergeCells>
  <dataValidations count="2">
    <dataValidation type="decimal" allowBlank="1" showInputMessage="1" showErrorMessage="1" prompt="Molimo unos brojčane vrijednosti!" sqref="E5:W5">
      <formula1>0</formula1>
      <formula2>500000000</formula2>
    </dataValidation>
    <dataValidation type="decimal" allowBlank="1" showInputMessage="1" showErrorMessage="1" prompt="Dozvoljen je unos samo negativnih vrijednosti (cijeli broj)" sqref="E7:W7 E15:W15 E23:W23">
      <formula1>-10000000000</formula1>
      <formula2>0</formula2>
    </dataValidation>
  </dataValidations>
  <pageMargins left="0" right="0" top="0" bottom="0" header="0" footer="0"/>
  <pageSetup paperSize="9" scale="4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opLeftCell="A4" zoomScaleNormal="100" zoomScaleSheetLayoutView="112" workbookViewId="0">
      <selection activeCell="B5" sqref="B5:V5"/>
    </sheetView>
  </sheetViews>
  <sheetFormatPr defaultColWidth="14.42578125" defaultRowHeight="15" customHeight="1"/>
  <cols>
    <col min="1" max="1" width="6.140625" customWidth="1"/>
    <col min="2" max="2" width="8" customWidth="1"/>
    <col min="3" max="3" width="41.42578125" customWidth="1"/>
    <col min="4" max="4" width="14.42578125" customWidth="1"/>
    <col min="5" max="5" width="12.7109375" customWidth="1"/>
    <col min="6" max="6" width="13.28515625" customWidth="1"/>
    <col min="7" max="7" width="13.85546875" customWidth="1"/>
    <col min="8" max="9" width="10.85546875" customWidth="1"/>
    <col min="10" max="10" width="12.7109375" customWidth="1"/>
    <col min="11" max="11" width="12.140625" customWidth="1"/>
    <col min="12" max="14" width="9.85546875" customWidth="1"/>
    <col min="15" max="15" width="13.85546875" customWidth="1"/>
    <col min="16" max="16" width="10.5703125" customWidth="1"/>
    <col min="17" max="17" width="11.140625" customWidth="1"/>
    <col min="18" max="18" width="13.85546875" customWidth="1"/>
    <col min="19" max="19" width="10.7109375" customWidth="1"/>
    <col min="20" max="20" width="13.140625" customWidth="1"/>
    <col min="21" max="22" width="11.28515625" customWidth="1"/>
    <col min="23" max="26" width="11.42578125" customWidth="1"/>
  </cols>
  <sheetData>
    <row r="1" spans="1:26" ht="15" customHeight="1">
      <c r="A1" s="93"/>
      <c r="B1" s="312" t="s">
        <v>3630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93"/>
      <c r="X1" s="93"/>
      <c r="Y1" s="93"/>
      <c r="Z1" s="93"/>
    </row>
    <row r="2" spans="1:26" ht="15" customHeight="1">
      <c r="A2" s="93"/>
      <c r="B2" s="312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93"/>
      <c r="X2" s="93"/>
      <c r="Y2" s="93"/>
      <c r="Z2" s="93"/>
    </row>
    <row r="3" spans="1:26" ht="15" customHeight="1">
      <c r="A3" s="93"/>
      <c r="B3" s="312" t="s">
        <v>3631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93"/>
      <c r="X3" s="93"/>
      <c r="Y3" s="93"/>
      <c r="Z3" s="93"/>
    </row>
    <row r="4" spans="1:26" ht="15" customHeight="1">
      <c r="A4" s="93"/>
      <c r="B4" s="312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93"/>
      <c r="X4" s="93"/>
      <c r="Y4" s="93"/>
      <c r="Z4" s="93"/>
    </row>
    <row r="5" spans="1:26" ht="15" customHeight="1">
      <c r="A5" s="93"/>
      <c r="B5" s="312" t="s">
        <v>3632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93"/>
      <c r="X5" s="93"/>
      <c r="Y5" s="93"/>
      <c r="Z5" s="93"/>
    </row>
    <row r="6" spans="1:26" ht="12.75" customHeight="1">
      <c r="A6" s="94"/>
      <c r="B6" s="95"/>
      <c r="C6" s="95"/>
      <c r="D6" s="95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6"/>
      <c r="T6" s="94"/>
      <c r="U6" s="94"/>
      <c r="V6" s="23" t="s">
        <v>56</v>
      </c>
      <c r="W6" s="94"/>
      <c r="X6" s="94"/>
      <c r="Y6" s="94"/>
      <c r="Z6" s="94"/>
    </row>
    <row r="7" spans="1:26" ht="102">
      <c r="A7" s="97" t="s">
        <v>3598</v>
      </c>
      <c r="B7" s="98" t="s">
        <v>3599</v>
      </c>
      <c r="C7" s="98" t="s">
        <v>3600</v>
      </c>
      <c r="D7" s="99" t="s">
        <v>3601</v>
      </c>
      <c r="E7" s="100" t="s">
        <v>3602</v>
      </c>
      <c r="F7" s="100" t="s">
        <v>3603</v>
      </c>
      <c r="G7" s="100" t="s">
        <v>3604</v>
      </c>
      <c r="H7" s="100" t="s">
        <v>3605</v>
      </c>
      <c r="I7" s="100" t="s">
        <v>3606</v>
      </c>
      <c r="J7" s="100" t="s">
        <v>3607</v>
      </c>
      <c r="K7" s="100" t="s">
        <v>3608</v>
      </c>
      <c r="L7" s="100" t="s">
        <v>3609</v>
      </c>
      <c r="M7" s="100" t="s">
        <v>3610</v>
      </c>
      <c r="N7" s="100" t="s">
        <v>3611</v>
      </c>
      <c r="O7" s="100" t="s">
        <v>3612</v>
      </c>
      <c r="P7" s="100" t="s">
        <v>3613</v>
      </c>
      <c r="Q7" s="100" t="s">
        <v>3614</v>
      </c>
      <c r="R7" s="100" t="s">
        <v>3615</v>
      </c>
      <c r="S7" s="101" t="s">
        <v>3616</v>
      </c>
      <c r="T7" s="100" t="s">
        <v>3617</v>
      </c>
      <c r="U7" s="101" t="s">
        <v>3618</v>
      </c>
      <c r="V7" s="101" t="s">
        <v>3619</v>
      </c>
      <c r="W7" s="94"/>
      <c r="X7" s="94"/>
      <c r="Y7" s="94"/>
      <c r="Z7" s="94"/>
    </row>
    <row r="8" spans="1:26" ht="20.25" customHeight="1">
      <c r="A8" s="102">
        <v>2023</v>
      </c>
      <c r="B8" s="115">
        <v>2023</v>
      </c>
      <c r="C8" s="115" t="s">
        <v>3633</v>
      </c>
      <c r="D8" s="116">
        <f t="shared" ref="D8:D19" si="0">SUM(E8:V8)</f>
        <v>70275906.939513892</v>
      </c>
      <c r="E8" s="116">
        <f t="shared" ref="E8:V8" si="1">+E19+E16</f>
        <v>27319151.751917958</v>
      </c>
      <c r="F8" s="116">
        <f t="shared" si="1"/>
        <v>4102921.1875959351</v>
      </c>
      <c r="G8" s="116">
        <f t="shared" si="1"/>
        <v>1996509</v>
      </c>
      <c r="H8" s="116">
        <f t="shared" si="1"/>
        <v>0</v>
      </c>
      <c r="I8" s="116">
        <f t="shared" si="1"/>
        <v>0</v>
      </c>
      <c r="J8" s="116">
        <f t="shared" si="1"/>
        <v>1924414</v>
      </c>
      <c r="K8" s="116">
        <f t="shared" si="1"/>
        <v>4100596</v>
      </c>
      <c r="L8" s="116">
        <f t="shared" si="1"/>
        <v>0</v>
      </c>
      <c r="M8" s="116">
        <f t="shared" si="1"/>
        <v>0</v>
      </c>
      <c r="N8" s="116">
        <f t="shared" si="1"/>
        <v>0</v>
      </c>
      <c r="O8" s="116">
        <f t="shared" si="1"/>
        <v>30100765</v>
      </c>
      <c r="P8" s="116">
        <f t="shared" si="1"/>
        <v>0</v>
      </c>
      <c r="Q8" s="116">
        <f t="shared" si="1"/>
        <v>0</v>
      </c>
      <c r="R8" s="116">
        <f t="shared" si="1"/>
        <v>224202.00000000015</v>
      </c>
      <c r="S8" s="116">
        <f t="shared" si="1"/>
        <v>0</v>
      </c>
      <c r="T8" s="116">
        <f t="shared" si="1"/>
        <v>507348</v>
      </c>
      <c r="U8" s="116">
        <f t="shared" si="1"/>
        <v>0</v>
      </c>
      <c r="V8" s="116">
        <f t="shared" si="1"/>
        <v>0</v>
      </c>
      <c r="W8" s="94"/>
      <c r="X8" s="94"/>
      <c r="Y8" s="94"/>
      <c r="Z8" s="94"/>
    </row>
    <row r="9" spans="1:26" ht="12.75" customHeight="1">
      <c r="A9" s="102">
        <v>2023</v>
      </c>
      <c r="B9" s="132" t="s">
        <v>3634</v>
      </c>
      <c r="C9" s="133" t="s">
        <v>3635</v>
      </c>
      <c r="D9" s="105">
        <f t="shared" si="0"/>
        <v>0</v>
      </c>
      <c r="E9" s="134">
        <f>SUMIFS('Unos prihoda i primitaka'!$G$3:$G$502,'Unos prihoda i primitaka'!$C$3:$C$502,"=11",'Unos prihoda i primitaka'!$L$3:$L$502,"=61")</f>
        <v>0</v>
      </c>
      <c r="F9" s="134">
        <f>SUMIFS('Unos prihoda i primitaka'!$G$3:$G$502,'Unos prihoda i primitaka'!$C$3:$C$502,"=12",'Unos prihoda i primitaka'!$L$3:$L$502,"=61")</f>
        <v>0</v>
      </c>
      <c r="G9" s="134">
        <f>SUMIFS('Unos prihoda i primitaka'!$G$3:$G$502,'Unos prihoda i primitaka'!$C$3:$C$502,"=31",'Unos prihoda i primitaka'!$L$3:$L$502,"=61")</f>
        <v>0</v>
      </c>
      <c r="H9" s="134">
        <f>SUMIFS('Unos prihoda i primitaka'!$G$3:$G$502,'Unos prihoda i primitaka'!$C$3:$C$502,"=41",'Unos prihoda i primitaka'!$L$3:$L$502,"=61")</f>
        <v>0</v>
      </c>
      <c r="I9" s="134">
        <f>SUMIFS('Unos prihoda i primitaka'!$G$3:$G$502,'Unos prihoda i primitaka'!$C$3:$C$502,"=43",'Unos prihoda i primitaka'!$L$3:$L$502,"=61")</f>
        <v>0</v>
      </c>
      <c r="J9" s="134">
        <f>SUMIFS('Unos prihoda i primitaka'!$G$3:$G$502,'Unos prihoda i primitaka'!$C$3:$C$502,"=51",'Unos prihoda i primitaka'!$L$3:$L$502,"=61")</f>
        <v>0</v>
      </c>
      <c r="K9" s="134">
        <f>SUMIFS('Unos prihoda i primitaka'!$G$3:$G$502,'Unos prihoda i primitaka'!$C$3:$C$502,"=52",'Unos prihoda i primitaka'!$L$3:$L$502,"=61")</f>
        <v>0</v>
      </c>
      <c r="L9" s="134">
        <f>SUMIFS('Unos prihoda i primitaka'!$G$3:$G$502,'Unos prihoda i primitaka'!$C$3:$C$502,"=552",'Unos prihoda i primitaka'!$L$3:$L$502,"=61")</f>
        <v>0</v>
      </c>
      <c r="M9" s="134">
        <f>SUMIFS('Unos prihoda i primitaka'!$G$3:$G$502,'Unos prihoda i primitaka'!$C$3:$C$502,"=559",'Unos prihoda i primitaka'!$L$3:$L$502,"=61")</f>
        <v>0</v>
      </c>
      <c r="N9" s="134">
        <f>SUMIFS('Unos prihoda i primitaka'!$G$3:$G$502,'Unos prihoda i primitaka'!$C$3:$C$502,"=561",'Unos prihoda i primitaka'!$L$3:$L$502,"=61")</f>
        <v>0</v>
      </c>
      <c r="O9" s="134">
        <f>SUMIFS('Unos prihoda i primitaka'!$G$3:$G$502,'Unos prihoda i primitaka'!$C$3:$C$502,"=563",'Unos prihoda i primitaka'!$L$3:$L$502,"=61")</f>
        <v>0</v>
      </c>
      <c r="P9" s="134">
        <f>SUMIFS('Unos prihoda i primitaka'!$G$3:$G$502,'Unos prihoda i primitaka'!$C$3:$C$502,"=573",'Unos prihoda i primitaka'!$L$3:$L$502,"=61")</f>
        <v>0</v>
      </c>
      <c r="Q9" s="134">
        <f>SUMIFS('Unos prihoda i primitaka'!$G$3:$G$502,'Unos prihoda i primitaka'!$C$3:$C$502,"=575",'Unos prihoda i primitaka'!$L$3:$L$502,"=61")</f>
        <v>0</v>
      </c>
      <c r="R9" s="134">
        <f>SUMIFS('Unos prihoda i primitaka'!$G$3:$G$502,'Unos prihoda i primitaka'!$C$3:$C$502,"=576",'Unos prihoda i primitaka'!$L$3:$L$502,"=61")</f>
        <v>0</v>
      </c>
      <c r="S9" s="134">
        <f>SUMIFS('Unos prihoda i primitaka'!$G$3:$G$502,'Unos prihoda i primitaka'!$C$3:$C$502,"=581",'Unos prihoda i primitaka'!$L$3:$L$502,"=61")</f>
        <v>0</v>
      </c>
      <c r="T9" s="134">
        <f>SUMIFS('Unos prihoda i primitaka'!$G$3:$G$502,'Unos prihoda i primitaka'!$C$3:$C$502,"=61",'Unos prihoda i primitaka'!$L$3:$L$502,"=61")</f>
        <v>0</v>
      </c>
      <c r="U9" s="134">
        <f>SUMIFS('Unos prihoda i primitaka'!$G$3:$G$502,'Unos prihoda i primitaka'!$C$3:$C$502,"=63",'Unos prihoda i primitaka'!$L$3:$L$502,"=61")</f>
        <v>0</v>
      </c>
      <c r="V9" s="134">
        <f>SUMIFS('Unos prihoda i primitaka'!$G$3:$G$502,'Unos prihoda i primitaka'!$C$3:$C$502,"=71",'Unos prihoda i primitaka'!$L$3:$L$502,"=61")</f>
        <v>0</v>
      </c>
      <c r="W9" s="94"/>
      <c r="X9" s="94"/>
      <c r="Y9" s="94"/>
      <c r="Z9" s="94"/>
    </row>
    <row r="10" spans="1:26" ht="12.75" customHeight="1">
      <c r="A10" s="102">
        <v>2023</v>
      </c>
      <c r="B10" s="132" t="s">
        <v>3636</v>
      </c>
      <c r="C10" s="133" t="s">
        <v>3637</v>
      </c>
      <c r="D10" s="105">
        <f t="shared" si="0"/>
        <v>36349977</v>
      </c>
      <c r="E10" s="134">
        <f>SUMIFS('Unos prihoda i primitaka'!$G$3:$G$502,'Unos prihoda i primitaka'!$C$3:$C$502,"=11",'Unos prihoda i primitaka'!$L$3:$L$502,"=63")</f>
        <v>0</v>
      </c>
      <c r="F10" s="134">
        <f>SUMIFS('Unos prihoda i primitaka'!$G$3:$G$502,'Unos prihoda i primitaka'!$C$3:$C$502,"=12",'Unos prihoda i primitaka'!$L$3:$L$502,"=63")</f>
        <v>0</v>
      </c>
      <c r="G10" s="134">
        <f>SUMIFS('Unos prihoda i primitaka'!$G$3:$G$502,'Unos prihoda i primitaka'!$C$3:$C$502,"=31",'Unos prihoda i primitaka'!$L$3:$L$502,"=63")</f>
        <v>0</v>
      </c>
      <c r="H10" s="134">
        <f>SUMIFS('Unos prihoda i primitaka'!$G$3:$G$502,'Unos prihoda i primitaka'!$C$3:$C$502,"=41",'Unos prihoda i primitaka'!$L$3:$L$502,"=63")</f>
        <v>0</v>
      </c>
      <c r="I10" s="134">
        <f>SUMIFS('Unos prihoda i primitaka'!$G$3:$G$502,'Unos prihoda i primitaka'!$C$3:$C$502,"=43",'Unos prihoda i primitaka'!$L$3:$L$502,"=63")</f>
        <v>0</v>
      </c>
      <c r="J10" s="134">
        <f>SUMIFS('Unos prihoda i primitaka'!$G$3:$G$502,'Unos prihoda i primitaka'!$C$3:$C$502,"=51",'Unos prihoda i primitaka'!$L$3:$L$502,"=63")</f>
        <v>1924414</v>
      </c>
      <c r="K10" s="134">
        <f>SUMIFS('Unos prihoda i primitaka'!$G$3:$G$502,'Unos prihoda i primitaka'!$C$3:$C$502,"=52",'Unos prihoda i primitaka'!$L$3:$L$502,"=63")</f>
        <v>4100596</v>
      </c>
      <c r="L10" s="134">
        <f>SUMIFS('Unos prihoda i primitaka'!$G$3:$G$502,'Unos prihoda i primitaka'!$C$3:$C$502,"=552",'Unos prihoda i primitaka'!$L$3:$L$502,"=63")</f>
        <v>0</v>
      </c>
      <c r="M10" s="134">
        <f>SUMIFS('Unos prihoda i primitaka'!$G$3:$G$502,'Unos prihoda i primitaka'!$C$3:$C$502,"=559",'Unos prihoda i primitaka'!$L$3:$L$502,"=63")</f>
        <v>0</v>
      </c>
      <c r="N10" s="134">
        <f>SUMIFS('Unos prihoda i primitaka'!$G$3:$G$502,'Unos prihoda i primitaka'!$C$3:$C$502,"=561",'Unos prihoda i primitaka'!$L$3:$L$502,"=63")</f>
        <v>0</v>
      </c>
      <c r="O10" s="134">
        <f>SUMIFS('Unos prihoda i primitaka'!$G$3:$G$502,'Unos prihoda i primitaka'!$C$3:$C$502,"=563",'Unos prihoda i primitaka'!$L$3:$L$502,"=63")</f>
        <v>30100765</v>
      </c>
      <c r="P10" s="134">
        <f>SUMIFS('Unos prihoda i primitaka'!$G$3:$G$502,'Unos prihoda i primitaka'!$C$3:$C$502,"=573",'Unos prihoda i primitaka'!$L$3:$L$502,"=63")</f>
        <v>0</v>
      </c>
      <c r="Q10" s="134">
        <f>SUMIFS('Unos prihoda i primitaka'!$G$3:$G$502,'Unos prihoda i primitaka'!$C$3:$C$502,"=575",'Unos prihoda i primitaka'!$L$3:$L$502,"=63")</f>
        <v>0</v>
      </c>
      <c r="R10" s="134">
        <f>SUMIFS('Unos prihoda i primitaka'!$G$3:$G$502,'Unos prihoda i primitaka'!$C$3:$C$502,"=576",'Unos prihoda i primitaka'!$L$3:$L$502,"=63")</f>
        <v>224202.00000000015</v>
      </c>
      <c r="S10" s="134">
        <f>SUMIFS('Unos prihoda i primitaka'!$G$3:$G$502,'Unos prihoda i primitaka'!$C$3:$C$502,"=581",'Unos prihoda i primitaka'!$L$3:$L$502,"=63")</f>
        <v>0</v>
      </c>
      <c r="T10" s="134">
        <f>SUMIFS('Unos prihoda i primitaka'!$G$3:$G$502,'Unos prihoda i primitaka'!$C$3:$C$502,"=61",'Unos prihoda i primitaka'!$L$3:$L$502,"=63")</f>
        <v>0</v>
      </c>
      <c r="U10" s="134">
        <f>SUMIFS('Unos prihoda i primitaka'!$G$3:$G$502,'Unos prihoda i primitaka'!$C$3:$C$502,"=63",'Unos prihoda i primitaka'!$L$3:$L$502,"=63")</f>
        <v>0</v>
      </c>
      <c r="V10" s="134">
        <f>SUMIFS('Unos prihoda i primitaka'!$G$3:$G$502,'Unos prihoda i primitaka'!$C$3:$C$502,"=71",'Unos prihoda i primitaka'!$L$3:$L$502,"=63")</f>
        <v>0</v>
      </c>
      <c r="W10" s="94"/>
      <c r="X10" s="94"/>
      <c r="Y10" s="94"/>
      <c r="Z10" s="94"/>
    </row>
    <row r="11" spans="1:26" ht="12.75" customHeight="1">
      <c r="A11" s="102">
        <v>2023</v>
      </c>
      <c r="B11" s="103" t="s">
        <v>3638</v>
      </c>
      <c r="C11" s="104" t="s">
        <v>3639</v>
      </c>
      <c r="D11" s="105">
        <f t="shared" si="0"/>
        <v>0</v>
      </c>
      <c r="E11" s="134">
        <f>SUMIFS('Unos prihoda i primitaka'!$G$3:$G$502,'Unos prihoda i primitaka'!$C$3:$C$502,"=11",'Unos prihoda i primitaka'!$L$3:$L$502,"=64")</f>
        <v>0</v>
      </c>
      <c r="F11" s="134">
        <f>SUMIFS('Unos prihoda i primitaka'!$G$3:$G$502,'Unos prihoda i primitaka'!$C$3:$C$502,"=12",'Unos prihoda i primitaka'!$L$3:$L$502,"=64")</f>
        <v>0</v>
      </c>
      <c r="G11" s="134">
        <f>SUMIFS('Unos prihoda i primitaka'!$G$3:$G$502,'Unos prihoda i primitaka'!$C$3:$C$502,"=31",'Unos prihoda i primitaka'!$L$3:$L$502,"=64")</f>
        <v>0</v>
      </c>
      <c r="H11" s="134">
        <f>SUMIFS('Unos prihoda i primitaka'!$G$3:$G$502,'Unos prihoda i primitaka'!$C$3:$C$502,"=41",'Unos prihoda i primitaka'!$L$3:$L$502,"=64")</f>
        <v>0</v>
      </c>
      <c r="I11" s="134">
        <f>SUMIFS('Unos prihoda i primitaka'!$G$3:$G$502,'Unos prihoda i primitaka'!$C$3:$C$502,"=43",'Unos prihoda i primitaka'!$L$3:$L$502,"=64")</f>
        <v>0</v>
      </c>
      <c r="J11" s="134">
        <f>SUMIFS('Unos prihoda i primitaka'!$G$3:$G$502,'Unos prihoda i primitaka'!$C$3:$C$502,"=51",'Unos prihoda i primitaka'!$L$3:$L$502,"=64")</f>
        <v>0</v>
      </c>
      <c r="K11" s="134">
        <f>SUMIFS('Unos prihoda i primitaka'!$G$3:$G$502,'Unos prihoda i primitaka'!$C$3:$C$502,"=52",'Unos prihoda i primitaka'!$L$3:$L$502,"=64")</f>
        <v>0</v>
      </c>
      <c r="L11" s="134">
        <f>SUMIFS('Unos prihoda i primitaka'!$G$3:$G$502,'Unos prihoda i primitaka'!$C$3:$C$502,"=552",'Unos prihoda i primitaka'!$L$3:$L$502,"=64")</f>
        <v>0</v>
      </c>
      <c r="M11" s="134">
        <f>SUMIFS('Unos prihoda i primitaka'!$G$3:$G$502,'Unos prihoda i primitaka'!$C$3:$C$502,"=559",'Unos prihoda i primitaka'!$L$3:$L$502,"=64")</f>
        <v>0</v>
      </c>
      <c r="N11" s="134">
        <f>SUMIFS('Unos prihoda i primitaka'!$G$3:$G$502,'Unos prihoda i primitaka'!$C$3:$C$502,"=561",'Unos prihoda i primitaka'!$L$3:$L$502,"=64")</f>
        <v>0</v>
      </c>
      <c r="O11" s="134">
        <f>SUMIFS('Unos prihoda i primitaka'!$G$3:$G$502,'Unos prihoda i primitaka'!$C$3:$C$502,"=563",'Unos prihoda i primitaka'!$L$3:$L$502,"=64")</f>
        <v>0</v>
      </c>
      <c r="P11" s="134">
        <f>SUMIFS('Unos prihoda i primitaka'!$G$3:$G$502,'Unos prihoda i primitaka'!$C$3:$C$502,"=573",'Unos prihoda i primitaka'!$L$3:$L$502,"=64")</f>
        <v>0</v>
      </c>
      <c r="Q11" s="134">
        <f>SUMIFS('Unos prihoda i primitaka'!$G$3:$G$502,'Unos prihoda i primitaka'!$C$3:$C$502,"=575",'Unos prihoda i primitaka'!$L$3:$L$502,"=64")</f>
        <v>0</v>
      </c>
      <c r="R11" s="134">
        <f>SUMIFS('Unos prihoda i primitaka'!$G$3:$G$502,'Unos prihoda i primitaka'!$C$3:$C$502,"=576",'Unos prihoda i primitaka'!$L$3:$L$502,"=64")</f>
        <v>0</v>
      </c>
      <c r="S11" s="134">
        <f>SUMIFS('Unos prihoda i primitaka'!$G$3:$G$502,'Unos prihoda i primitaka'!$C$3:$C$502,"=581",'Unos prihoda i primitaka'!$L$3:$L$502,"=64")</f>
        <v>0</v>
      </c>
      <c r="T11" s="134">
        <f>SUMIFS('Unos prihoda i primitaka'!$G$3:$G$502,'Unos prihoda i primitaka'!$C$3:$C$502,"=61",'Unos prihoda i primitaka'!$L$3:$L$502,"=64")</f>
        <v>0</v>
      </c>
      <c r="U11" s="134">
        <f>SUMIFS('Unos prihoda i primitaka'!$G$3:$G$502,'Unos prihoda i primitaka'!$C$3:$C$502,"=63",'Unos prihoda i primitaka'!$L$3:$L$502,"=64")</f>
        <v>0</v>
      </c>
      <c r="V11" s="134">
        <f>SUMIFS('Unos prihoda i primitaka'!$G$3:$G$502,'Unos prihoda i primitaka'!$C$3:$C$502,"=71",'Unos prihoda i primitaka'!$L$3:$L$502,"=64")</f>
        <v>0</v>
      </c>
      <c r="W11" s="94"/>
      <c r="X11" s="94"/>
      <c r="Y11" s="94"/>
      <c r="Z11" s="94"/>
    </row>
    <row r="12" spans="1:26" ht="12.75" customHeight="1">
      <c r="A12" s="102">
        <v>2023</v>
      </c>
      <c r="B12" s="103" t="s">
        <v>3640</v>
      </c>
      <c r="C12" s="104" t="s">
        <v>3641</v>
      </c>
      <c r="D12" s="105">
        <f t="shared" si="0"/>
        <v>0</v>
      </c>
      <c r="E12" s="134">
        <f>SUMIFS('Unos prihoda i primitaka'!$G$3:$G$502,'Unos prihoda i primitaka'!$C$3:$C$502,"=11",'Unos prihoda i primitaka'!$L$3:$L$502,"=65")</f>
        <v>0</v>
      </c>
      <c r="F12" s="134">
        <f>SUMIFS('Unos prihoda i primitaka'!$G$3:$G$502,'Unos prihoda i primitaka'!$C$3:$C$502,"=12",'Unos prihoda i primitaka'!$L$3:$L$502,"=65")</f>
        <v>0</v>
      </c>
      <c r="G12" s="134">
        <f>SUMIFS('Unos prihoda i primitaka'!$G$3:$G$502,'Unos prihoda i primitaka'!$C$3:$C$502,"=31",'Unos prihoda i primitaka'!$L$3:$L$502,"=65")</f>
        <v>0</v>
      </c>
      <c r="H12" s="134">
        <f>SUMIFS('Unos prihoda i primitaka'!$G$3:$G$502,'Unos prihoda i primitaka'!$C$3:$C$502,"=41",'Unos prihoda i primitaka'!$L$3:$L$502,"=65")</f>
        <v>0</v>
      </c>
      <c r="I12" s="134">
        <f>SUMIFS('Unos prihoda i primitaka'!$G$3:$G$502,'Unos prihoda i primitaka'!$C$3:$C$502,"=43",'Unos prihoda i primitaka'!$L$3:$L$502,"=65")</f>
        <v>0</v>
      </c>
      <c r="J12" s="134">
        <f>SUMIFS('Unos prihoda i primitaka'!$G$3:$G$502,'Unos prihoda i primitaka'!$C$3:$C$502,"=51",'Unos prihoda i primitaka'!$L$3:$L$502,"=65")</f>
        <v>0</v>
      </c>
      <c r="K12" s="134">
        <f>SUMIFS('Unos prihoda i primitaka'!$G$3:$G$502,'Unos prihoda i primitaka'!$C$3:$C$502,"=52",'Unos prihoda i primitaka'!$L$3:$L$502,"=65")</f>
        <v>0</v>
      </c>
      <c r="L12" s="134">
        <f>SUMIFS('Unos prihoda i primitaka'!$G$3:$G$502,'Unos prihoda i primitaka'!$C$3:$C$502,"=552",'Unos prihoda i primitaka'!$L$3:$L$502,"=65")</f>
        <v>0</v>
      </c>
      <c r="M12" s="134">
        <f>SUMIFS('Unos prihoda i primitaka'!$G$3:$G$502,'Unos prihoda i primitaka'!$C$3:$C$502,"=559",'Unos prihoda i primitaka'!$L$3:$L$502,"=65")</f>
        <v>0</v>
      </c>
      <c r="N12" s="134">
        <f>SUMIFS('Unos prihoda i primitaka'!$G$3:$G$502,'Unos prihoda i primitaka'!$C$3:$C$502,"=561",'Unos prihoda i primitaka'!$L$3:$L$502,"=65")</f>
        <v>0</v>
      </c>
      <c r="O12" s="134">
        <f>SUMIFS('Unos prihoda i primitaka'!$G$3:$G$502,'Unos prihoda i primitaka'!$C$3:$C$502,"=563",'Unos prihoda i primitaka'!$L$3:$L$502,"=65")</f>
        <v>0</v>
      </c>
      <c r="P12" s="134">
        <f>SUMIFS('Unos prihoda i primitaka'!$G$3:$G$502,'Unos prihoda i primitaka'!$C$3:$C$502,"=573",'Unos prihoda i primitaka'!$L$3:$L$502,"=65")</f>
        <v>0</v>
      </c>
      <c r="Q12" s="134">
        <f>SUMIFS('Unos prihoda i primitaka'!$G$3:$G$502,'Unos prihoda i primitaka'!$C$3:$C$502,"=575",'Unos prihoda i primitaka'!$L$3:$L$502,"=65")</f>
        <v>0</v>
      </c>
      <c r="R12" s="134">
        <f>SUMIFS('Unos prihoda i primitaka'!$G$3:$G$502,'Unos prihoda i primitaka'!$C$3:$C$502,"=576",'Unos prihoda i primitaka'!$L$3:$L$502,"=65")</f>
        <v>0</v>
      </c>
      <c r="S12" s="134">
        <f>SUMIFS('Unos prihoda i primitaka'!$G$3:$G$502,'Unos prihoda i primitaka'!$C$3:$C$502,"=581",'Unos prihoda i primitaka'!$L$3:$L$502,"=65")</f>
        <v>0</v>
      </c>
      <c r="T12" s="134">
        <f>SUMIFS('Unos prihoda i primitaka'!$G$3:$G$502,'Unos prihoda i primitaka'!$C$3:$C$502,"=61",'Unos prihoda i primitaka'!$L$3:$L$502,"=65")</f>
        <v>0</v>
      </c>
      <c r="U12" s="134">
        <f>SUMIFS('Unos prihoda i primitaka'!$G$3:$G$502,'Unos prihoda i primitaka'!$C$3:$C$502,"=63",'Unos prihoda i primitaka'!$L$3:$L$502,"=65")</f>
        <v>0</v>
      </c>
      <c r="V12" s="134">
        <f>SUMIFS('Unos prihoda i primitaka'!$G$3:$G$502,'Unos prihoda i primitaka'!$C$3:$C$502,"=71",'Unos prihoda i primitaka'!$L$3:$L$502,"=65")</f>
        <v>0</v>
      </c>
      <c r="W12" s="94"/>
      <c r="X12" s="94"/>
      <c r="Y12" s="94"/>
      <c r="Z12" s="94"/>
    </row>
    <row r="13" spans="1:26" ht="12.75" customHeight="1">
      <c r="A13" s="102">
        <v>2023</v>
      </c>
      <c r="B13" s="110" t="s">
        <v>3642</v>
      </c>
      <c r="C13" s="104" t="s">
        <v>3643</v>
      </c>
      <c r="D13" s="105">
        <f t="shared" si="0"/>
        <v>2503857</v>
      </c>
      <c r="E13" s="134">
        <f>SUMIFS('Unos prihoda i primitaka'!$G$3:$G$502,'Unos prihoda i primitaka'!$C$3:$C$502,"=11",'Unos prihoda i primitaka'!$L$3:$L$502,"=66")</f>
        <v>0</v>
      </c>
      <c r="F13" s="134">
        <f>SUMIFS('Unos prihoda i primitaka'!$G$3:$G$502,'Unos prihoda i primitaka'!$C$3:$C$502,"=12",'Unos prihoda i primitaka'!$L$3:$L$502,"=66")</f>
        <v>0</v>
      </c>
      <c r="G13" s="134">
        <f>SUMIFS('Unos prihoda i primitaka'!$G$3:$G$502,'Unos prihoda i primitaka'!$C$3:$C$502,"=31",'Unos prihoda i primitaka'!$L$3:$L$502,"=66")</f>
        <v>1996509</v>
      </c>
      <c r="H13" s="134">
        <f>SUMIFS('Unos prihoda i primitaka'!$G$3:$G$502,'Unos prihoda i primitaka'!$C$3:$C$502,"=41",'Unos prihoda i primitaka'!$L$3:$L$502,"=66")</f>
        <v>0</v>
      </c>
      <c r="I13" s="134">
        <f>SUMIFS('Unos prihoda i primitaka'!$G$3:$G$502,'Unos prihoda i primitaka'!$C$3:$C$502,"=43",'Unos prihoda i primitaka'!$L$3:$L$502,"=66")</f>
        <v>0</v>
      </c>
      <c r="J13" s="134">
        <f>SUMIFS('Unos prihoda i primitaka'!$G$3:$G$502,'Unos prihoda i primitaka'!$C$3:$C$502,"=51",'Unos prihoda i primitaka'!$L$3:$L$502,"=66")</f>
        <v>0</v>
      </c>
      <c r="K13" s="134">
        <f>SUMIFS('Unos prihoda i primitaka'!$G$3:$G$502,'Unos prihoda i primitaka'!$C$3:$C$502,"=52",'Unos prihoda i primitaka'!$L$3:$L$502,"=66")</f>
        <v>0</v>
      </c>
      <c r="L13" s="134">
        <f>SUMIFS('Unos prihoda i primitaka'!$G$3:$G$502,'Unos prihoda i primitaka'!$C$3:$C$502,"=552",'Unos prihoda i primitaka'!$L$3:$L$502,"=66")</f>
        <v>0</v>
      </c>
      <c r="M13" s="134">
        <f>SUMIFS('Unos prihoda i primitaka'!$G$3:$G$502,'Unos prihoda i primitaka'!$C$3:$C$502,"=559",'Unos prihoda i primitaka'!$L$3:$L$502,"=66")</f>
        <v>0</v>
      </c>
      <c r="N13" s="134">
        <f>SUMIFS('Unos prihoda i primitaka'!$G$3:$G$502,'Unos prihoda i primitaka'!$C$3:$C$502,"=561",'Unos prihoda i primitaka'!$L$3:$L$502,"=66")</f>
        <v>0</v>
      </c>
      <c r="O13" s="134">
        <f>SUMIFS('Unos prihoda i primitaka'!$G$3:$G$502,'Unos prihoda i primitaka'!$C$3:$C$502,"=563",'Unos prihoda i primitaka'!$L$3:$L$502,"=66")</f>
        <v>0</v>
      </c>
      <c r="P13" s="134">
        <f>SUMIFS('Unos prihoda i primitaka'!$G$3:$G$502,'Unos prihoda i primitaka'!$C$3:$C$502,"=573",'Unos prihoda i primitaka'!$L$3:$L$502,"=66")</f>
        <v>0</v>
      </c>
      <c r="Q13" s="134">
        <f>SUMIFS('Unos prihoda i primitaka'!$G$3:$G$502,'Unos prihoda i primitaka'!$C$3:$C$502,"=575",'Unos prihoda i primitaka'!$L$3:$L$502,"=66")</f>
        <v>0</v>
      </c>
      <c r="R13" s="134">
        <f>SUMIFS('Unos prihoda i primitaka'!$G$3:$G$502,'Unos prihoda i primitaka'!$C$3:$C$502,"=576",'Unos prihoda i primitaka'!$L$3:$L$502,"=66")</f>
        <v>0</v>
      </c>
      <c r="S13" s="134">
        <f>SUMIFS('Unos prihoda i primitaka'!$G$3:$G$502,'Unos prihoda i primitaka'!$C$3:$C$502,"=581",'Unos prihoda i primitaka'!$L$3:$L$502,"=66")</f>
        <v>0</v>
      </c>
      <c r="T13" s="134">
        <f>SUMIFS('Unos prihoda i primitaka'!$G$3:$G$502,'Unos prihoda i primitaka'!$C$3:$C$502,"=61",'Unos prihoda i primitaka'!$L$3:$L$502,"=66")</f>
        <v>507348</v>
      </c>
      <c r="U13" s="134">
        <f>SUMIFS('Unos prihoda i primitaka'!$G$3:$G$502,'Unos prihoda i primitaka'!$C$3:$C$502,"=63",'Unos prihoda i primitaka'!$L$3:$L$502,"=66")</f>
        <v>0</v>
      </c>
      <c r="V13" s="134">
        <f>SUMIFS('Unos prihoda i primitaka'!$G$3:$G$502,'Unos prihoda i primitaka'!$C$3:$C$502,"=71",'Unos prihoda i primitaka'!$L$3:$L$502,"=66")</f>
        <v>0</v>
      </c>
      <c r="W13" s="94"/>
      <c r="X13" s="94"/>
      <c r="Y13" s="94"/>
      <c r="Z13" s="94"/>
    </row>
    <row r="14" spans="1:26" ht="12.75" customHeight="1">
      <c r="A14" s="102">
        <v>2023</v>
      </c>
      <c r="B14" s="103" t="s">
        <v>3644</v>
      </c>
      <c r="C14" s="104" t="s">
        <v>3645</v>
      </c>
      <c r="D14" s="105">
        <f t="shared" si="0"/>
        <v>31422072.939513892</v>
      </c>
      <c r="E14" s="134">
        <f>SUMIFS('Unos prihoda i primitaka'!$G$3:$G$502,'Unos prihoda i primitaka'!$C$3:$C$502,"=11",'Unos prihoda i primitaka'!$L$3:$L$502,"=67")</f>
        <v>27319151.751917958</v>
      </c>
      <c r="F14" s="134">
        <f>SUMIFS('Unos prihoda i primitaka'!$G$3:$G$502,'Unos prihoda i primitaka'!$C$3:$C$502,"=12",'Unos prihoda i primitaka'!$L$3:$L$502,"=67")</f>
        <v>4102921.1875959351</v>
      </c>
      <c r="G14" s="134">
        <f>SUMIFS('Unos prihoda i primitaka'!$G$3:$G$502,'Unos prihoda i primitaka'!$C$3:$C$502,"=31",'Unos prihoda i primitaka'!$L$3:$L$502,"=67")</f>
        <v>0</v>
      </c>
      <c r="H14" s="134">
        <f>SUMIFS('Unos prihoda i primitaka'!$G$3:$G$502,'Unos prihoda i primitaka'!$C$3:$C$502,"=41",'Unos prihoda i primitaka'!$L$3:$L$502,"=67")</f>
        <v>0</v>
      </c>
      <c r="I14" s="134">
        <f>SUMIFS('Unos prihoda i primitaka'!$G$3:$G$502,'Unos prihoda i primitaka'!$C$3:$C$502,"=43",'Unos prihoda i primitaka'!$L$3:$L$502,"=67")</f>
        <v>0</v>
      </c>
      <c r="J14" s="134">
        <f>SUMIFS('Unos prihoda i primitaka'!$G$3:$G$502,'Unos prihoda i primitaka'!$C$3:$C$502,"=51",'Unos prihoda i primitaka'!$L$3:$L$502,"=67")</f>
        <v>0</v>
      </c>
      <c r="K14" s="134">
        <f>SUMIFS('Unos prihoda i primitaka'!$G$3:$G$502,'Unos prihoda i primitaka'!$C$3:$C$502,"=52",'Unos prihoda i primitaka'!$L$3:$L$502,"=67")</f>
        <v>0</v>
      </c>
      <c r="L14" s="134">
        <f>SUMIFS('Unos prihoda i primitaka'!$G$3:$G$502,'Unos prihoda i primitaka'!$C$3:$C$502,"=552",'Unos prihoda i primitaka'!$L$3:$L$502,"=67")</f>
        <v>0</v>
      </c>
      <c r="M14" s="134">
        <f>SUMIFS('Unos prihoda i primitaka'!$G$3:$G$502,'Unos prihoda i primitaka'!$C$3:$C$502,"=559",'Unos prihoda i primitaka'!$L$3:$L$502,"=67")</f>
        <v>0</v>
      </c>
      <c r="N14" s="134">
        <f>SUMIFS('Unos prihoda i primitaka'!$G$3:$G$502,'Unos prihoda i primitaka'!$C$3:$C$502,"=561",'Unos prihoda i primitaka'!$L$3:$L$502,"=67")</f>
        <v>0</v>
      </c>
      <c r="O14" s="134">
        <f>SUMIFS('Unos prihoda i primitaka'!$G$3:$G$502,'Unos prihoda i primitaka'!$C$3:$C$502,"=563",'Unos prihoda i primitaka'!$L$3:$L$502,"=67")</f>
        <v>0</v>
      </c>
      <c r="P14" s="134">
        <f>SUMIFS('Unos prihoda i primitaka'!$G$3:$G$502,'Unos prihoda i primitaka'!$C$3:$C$502,"=573",'Unos prihoda i primitaka'!$L$3:$L$502,"=67")</f>
        <v>0</v>
      </c>
      <c r="Q14" s="134">
        <f>SUMIFS('Unos prihoda i primitaka'!$G$3:$G$502,'Unos prihoda i primitaka'!$C$3:$C$502,"=575",'Unos prihoda i primitaka'!$L$3:$L$502,"=67")</f>
        <v>0</v>
      </c>
      <c r="R14" s="134">
        <f>SUMIFS('Unos prihoda i primitaka'!$G$3:$G$502,'Unos prihoda i primitaka'!$C$3:$C$502,"=576",'Unos prihoda i primitaka'!$L$3:$L$502,"=67")</f>
        <v>0</v>
      </c>
      <c r="S14" s="134">
        <f>SUMIFS('Unos prihoda i primitaka'!$G$3:$G$502,'Unos prihoda i primitaka'!$C$3:$C$502,"=581",'Unos prihoda i primitaka'!$L$3:$L$502,"=67")</f>
        <v>0</v>
      </c>
      <c r="T14" s="134">
        <f>SUMIFS('Unos prihoda i primitaka'!$G$3:$G$502,'Unos prihoda i primitaka'!$C$3:$C$502,"=61",'Unos prihoda i primitaka'!$L$3:$L$502,"=67")</f>
        <v>0</v>
      </c>
      <c r="U14" s="134">
        <f>SUMIFS('Unos prihoda i primitaka'!$G$3:$G$502,'Unos prihoda i primitaka'!$C$3:$C$502,"=63",'Unos prihoda i primitaka'!$L$3:$L$502,"=67")</f>
        <v>0</v>
      </c>
      <c r="V14" s="134">
        <f>SUMIFS('Unos prihoda i primitaka'!$G$3:$G$502,'Unos prihoda i primitaka'!$C$3:$C$502,"=71",'Unos prihoda i primitaka'!$L$3:$L$502,"=67")</f>
        <v>0</v>
      </c>
      <c r="W14" s="94"/>
      <c r="X14" s="94"/>
      <c r="Y14" s="94"/>
      <c r="Z14" s="94"/>
    </row>
    <row r="15" spans="1:26" ht="12.75" customHeight="1">
      <c r="A15" s="102">
        <v>2023</v>
      </c>
      <c r="B15" s="103" t="s">
        <v>3646</v>
      </c>
      <c r="C15" s="104" t="s">
        <v>3647</v>
      </c>
      <c r="D15" s="105">
        <f t="shared" si="0"/>
        <v>0</v>
      </c>
      <c r="E15" s="134">
        <f>SUMIFS('Unos prihoda i primitaka'!$G$3:$G$502,'Unos prihoda i primitaka'!$C$3:$C$502,"=11",'Unos prihoda i primitaka'!$L$3:$L$502,"=68")</f>
        <v>0</v>
      </c>
      <c r="F15" s="134">
        <f>SUMIFS('Unos prihoda i primitaka'!$G$3:$G$502,'Unos prihoda i primitaka'!$C$3:$C$502,"=12",'Unos prihoda i primitaka'!$L$3:$L$502,"=68")</f>
        <v>0</v>
      </c>
      <c r="G15" s="134">
        <f>SUMIFS('Unos prihoda i primitaka'!$G$3:$G$502,'Unos prihoda i primitaka'!$C$3:$C$502,"=31",'Unos prihoda i primitaka'!$L$3:$L$502,"=68")</f>
        <v>0</v>
      </c>
      <c r="H15" s="134">
        <f>SUMIFS('Unos prihoda i primitaka'!$G$3:$G$502,'Unos prihoda i primitaka'!$C$3:$C$502,"=41",'Unos prihoda i primitaka'!$L$3:$L$502,"=68")</f>
        <v>0</v>
      </c>
      <c r="I15" s="134">
        <f>SUMIFS('Unos prihoda i primitaka'!$G$3:$G$502,'Unos prihoda i primitaka'!$C$3:$C$502,"=43",'Unos prihoda i primitaka'!$L$3:$L$502,"=68")</f>
        <v>0</v>
      </c>
      <c r="J15" s="134">
        <f>SUMIFS('Unos prihoda i primitaka'!$G$3:$G$502,'Unos prihoda i primitaka'!$C$3:$C$502,"=51",'Unos prihoda i primitaka'!$L$3:$L$502,"=68")</f>
        <v>0</v>
      </c>
      <c r="K15" s="134">
        <f>SUMIFS('Unos prihoda i primitaka'!$G$3:$G$502,'Unos prihoda i primitaka'!$C$3:$C$502,"=52",'Unos prihoda i primitaka'!$L$3:$L$502,"=68")</f>
        <v>0</v>
      </c>
      <c r="L15" s="134">
        <f>SUMIFS('Unos prihoda i primitaka'!$G$3:$G$502,'Unos prihoda i primitaka'!$C$3:$C$502,"=552",'Unos prihoda i primitaka'!$L$3:$L$502,"=68")</f>
        <v>0</v>
      </c>
      <c r="M15" s="134">
        <f>SUMIFS('Unos prihoda i primitaka'!$G$3:$G$502,'Unos prihoda i primitaka'!$C$3:$C$502,"=559",'Unos prihoda i primitaka'!$L$3:$L$502,"=68")</f>
        <v>0</v>
      </c>
      <c r="N15" s="134">
        <f>SUMIFS('Unos prihoda i primitaka'!$G$3:$G$502,'Unos prihoda i primitaka'!$C$3:$C$502,"=561",'Unos prihoda i primitaka'!$L$3:$L$502,"=68")</f>
        <v>0</v>
      </c>
      <c r="O15" s="134">
        <f>SUMIFS('Unos prihoda i primitaka'!$G$3:$G$502,'Unos prihoda i primitaka'!$C$3:$C$502,"=563",'Unos prihoda i primitaka'!$L$3:$L$502,"=68")</f>
        <v>0</v>
      </c>
      <c r="P15" s="134">
        <f>SUMIFS('Unos prihoda i primitaka'!$G$3:$G$502,'Unos prihoda i primitaka'!$C$3:$C$502,"=573",'Unos prihoda i primitaka'!$L$3:$L$502,"=68")</f>
        <v>0</v>
      </c>
      <c r="Q15" s="134">
        <f>SUMIFS('Unos prihoda i primitaka'!$G$3:$G$502,'Unos prihoda i primitaka'!$C$3:$C$502,"=575",'Unos prihoda i primitaka'!$L$3:$L$502,"=68")</f>
        <v>0</v>
      </c>
      <c r="R15" s="134">
        <f>SUMIFS('Unos prihoda i primitaka'!$G$3:$G$502,'Unos prihoda i primitaka'!$C$3:$C$502,"=576",'Unos prihoda i primitaka'!$L$3:$L$502,"=68")</f>
        <v>0</v>
      </c>
      <c r="S15" s="134">
        <f>SUMIFS('Unos prihoda i primitaka'!$G$3:$G$502,'Unos prihoda i primitaka'!$C$3:$C$502,"=581",'Unos prihoda i primitaka'!$L$3:$L$502,"=68")</f>
        <v>0</v>
      </c>
      <c r="T15" s="134">
        <f>SUMIFS('Unos prihoda i primitaka'!$G$3:$G$502,'Unos prihoda i primitaka'!$C$3:$C$502,"=61",'Unos prihoda i primitaka'!$L$3:$L$502,"=68")</f>
        <v>0</v>
      </c>
      <c r="U15" s="134">
        <f>SUMIFS('Unos prihoda i primitaka'!$G$3:$G$502,'Unos prihoda i primitaka'!$C$3:$C$502,"=63",'Unos prihoda i primitaka'!$L$3:$L$502,"=68")</f>
        <v>0</v>
      </c>
      <c r="V15" s="134">
        <f>SUMIFS('Unos prihoda i primitaka'!$G$3:$G$502,'Unos prihoda i primitaka'!$C$3:$C$502,"=71",'Unos prihoda i primitaka'!$L$3:$L$502,"=68")</f>
        <v>0</v>
      </c>
      <c r="W15" s="94"/>
      <c r="X15" s="94"/>
      <c r="Y15" s="94"/>
      <c r="Z15" s="94"/>
    </row>
    <row r="16" spans="1:26" ht="12.75" customHeight="1">
      <c r="A16" s="102">
        <v>2023</v>
      </c>
      <c r="B16" s="135" t="s">
        <v>3648</v>
      </c>
      <c r="C16" s="136" t="s">
        <v>3649</v>
      </c>
      <c r="D16" s="105">
        <f t="shared" si="0"/>
        <v>70275906.939513892</v>
      </c>
      <c r="E16" s="137">
        <f t="shared" ref="E16:V16" si="2">SUM(E9:E15)</f>
        <v>27319151.751917958</v>
      </c>
      <c r="F16" s="137">
        <f t="shared" si="2"/>
        <v>4102921.1875959351</v>
      </c>
      <c r="G16" s="137">
        <f t="shared" si="2"/>
        <v>1996509</v>
      </c>
      <c r="H16" s="137">
        <f t="shared" si="2"/>
        <v>0</v>
      </c>
      <c r="I16" s="137">
        <f t="shared" si="2"/>
        <v>0</v>
      </c>
      <c r="J16" s="137">
        <f t="shared" si="2"/>
        <v>1924414</v>
      </c>
      <c r="K16" s="137">
        <f t="shared" si="2"/>
        <v>4100596</v>
      </c>
      <c r="L16" s="137">
        <f t="shared" si="2"/>
        <v>0</v>
      </c>
      <c r="M16" s="137">
        <f t="shared" si="2"/>
        <v>0</v>
      </c>
      <c r="N16" s="137">
        <f t="shared" si="2"/>
        <v>0</v>
      </c>
      <c r="O16" s="137">
        <f t="shared" si="2"/>
        <v>30100765</v>
      </c>
      <c r="P16" s="137">
        <f t="shared" si="2"/>
        <v>0</v>
      </c>
      <c r="Q16" s="137">
        <f t="shared" si="2"/>
        <v>0</v>
      </c>
      <c r="R16" s="137">
        <f t="shared" si="2"/>
        <v>224202.00000000015</v>
      </c>
      <c r="S16" s="137">
        <f t="shared" si="2"/>
        <v>0</v>
      </c>
      <c r="T16" s="137">
        <f t="shared" si="2"/>
        <v>507348</v>
      </c>
      <c r="U16" s="137">
        <f t="shared" si="2"/>
        <v>0</v>
      </c>
      <c r="V16" s="137">
        <f t="shared" si="2"/>
        <v>0</v>
      </c>
      <c r="W16" s="94"/>
      <c r="X16" s="94"/>
      <c r="Y16" s="94"/>
      <c r="Z16" s="94"/>
    </row>
    <row r="17" spans="1:26" ht="12.75" customHeight="1">
      <c r="A17" s="102">
        <v>2023</v>
      </c>
      <c r="B17" s="103" t="s">
        <v>3650</v>
      </c>
      <c r="C17" s="138" t="s">
        <v>3651</v>
      </c>
      <c r="D17" s="105">
        <f t="shared" si="0"/>
        <v>0</v>
      </c>
      <c r="E17" s="134">
        <f>SUMIFS('Unos prihoda i primitaka'!$G$3:$G$502,'Unos prihoda i primitaka'!$C$3:$C$502,"=11",'Unos prihoda i primitaka'!$L$3:$L$502,"=71")</f>
        <v>0</v>
      </c>
      <c r="F17" s="134">
        <f>SUMIFS('Unos prihoda i primitaka'!$G$3:$G$502,'Unos prihoda i primitaka'!$C$3:$C$502,"=12",'Unos prihoda i primitaka'!$L$3:$L$502,"=71")</f>
        <v>0</v>
      </c>
      <c r="G17" s="134">
        <f>SUMIFS('Unos prihoda i primitaka'!$G$3:$G$502,'Unos prihoda i primitaka'!$C$3:$C$502,"=31",'Unos prihoda i primitaka'!$L$3:$L$502,"=71")</f>
        <v>0</v>
      </c>
      <c r="H17" s="134">
        <f>SUMIFS('Unos prihoda i primitaka'!$G$3:$G$502,'Unos prihoda i primitaka'!$C$3:$C$502,"=41",'Unos prihoda i primitaka'!$L$3:$L$502,"=71")</f>
        <v>0</v>
      </c>
      <c r="I17" s="134">
        <f>SUMIFS('Unos prihoda i primitaka'!$G$3:$G$502,'Unos prihoda i primitaka'!$C$3:$C$502,"=43",'Unos prihoda i primitaka'!$L$3:$L$502,"=71")</f>
        <v>0</v>
      </c>
      <c r="J17" s="134">
        <f>SUMIFS('Unos prihoda i primitaka'!$G$3:$G$502,'Unos prihoda i primitaka'!$C$3:$C$502,"=51",'Unos prihoda i primitaka'!$L$3:$L$502,"=71")</f>
        <v>0</v>
      </c>
      <c r="K17" s="134">
        <f>SUMIFS('Unos prihoda i primitaka'!$G$3:$G$502,'Unos prihoda i primitaka'!$C$3:$C$502,"=52",'Unos prihoda i primitaka'!$L$3:$L$502,"=71")</f>
        <v>0</v>
      </c>
      <c r="L17" s="134">
        <f>SUMIFS('Unos prihoda i primitaka'!$G$3:$G$502,'Unos prihoda i primitaka'!$C$3:$C$502,"=552",'Unos prihoda i primitaka'!$L$3:$L$502,"=71")</f>
        <v>0</v>
      </c>
      <c r="M17" s="134">
        <f>SUMIFS('Unos prihoda i primitaka'!$G$3:$G$502,'Unos prihoda i primitaka'!$C$3:$C$502,"=559",'Unos prihoda i primitaka'!$L$3:$L$502,"=71")</f>
        <v>0</v>
      </c>
      <c r="N17" s="134">
        <f>SUMIFS('Unos prihoda i primitaka'!$G$3:$G$502,'Unos prihoda i primitaka'!$C$3:$C$502,"=561",'Unos prihoda i primitaka'!$L$3:$L$502,"=71")</f>
        <v>0</v>
      </c>
      <c r="O17" s="134">
        <f>SUMIFS('Unos prihoda i primitaka'!$G$3:$G$502,'Unos prihoda i primitaka'!$C$3:$C$502,"=563",'Unos prihoda i primitaka'!$L$3:$L$502,"=71")</f>
        <v>0</v>
      </c>
      <c r="P17" s="134">
        <f>SUMIFS('Unos prihoda i primitaka'!$G$3:$G$502,'Unos prihoda i primitaka'!$C$3:$C$502,"=573",'Unos prihoda i primitaka'!$L$3:$L$502,"=71")</f>
        <v>0</v>
      </c>
      <c r="Q17" s="134">
        <f>SUMIFS('Unos prihoda i primitaka'!$G$3:$G$502,'Unos prihoda i primitaka'!$C$3:$C$502,"=575",'Unos prihoda i primitaka'!$L$3:$L$502,"=71")</f>
        <v>0</v>
      </c>
      <c r="R17" s="134">
        <f>SUMIFS('Unos prihoda i primitaka'!$G$3:$G$502,'Unos prihoda i primitaka'!$C$3:$C$502,"=576",'Unos prihoda i primitaka'!$L$3:$L$502,"=71")</f>
        <v>0</v>
      </c>
      <c r="S17" s="134">
        <f>SUMIFS('Unos prihoda i primitaka'!$G$3:$G$502,'Unos prihoda i primitaka'!$C$3:$C$502,"=581",'Unos prihoda i primitaka'!$L$3:$L$502,"=71")</f>
        <v>0</v>
      </c>
      <c r="T17" s="134">
        <f>SUMIFS('Unos prihoda i primitaka'!$G$3:$G$502,'Unos prihoda i primitaka'!$C$3:$C$502,"=61",'Unos prihoda i primitaka'!$L$3:$L$502,"=71")</f>
        <v>0</v>
      </c>
      <c r="U17" s="134">
        <f>SUMIFS('Unos prihoda i primitaka'!$G$3:$G$502,'Unos prihoda i primitaka'!$C$3:$C$502,"=63",'Unos prihoda i primitaka'!$L$3:$L$502,"=71")</f>
        <v>0</v>
      </c>
      <c r="V17" s="134">
        <f>SUMIFS('Unos prihoda i primitaka'!$G$3:$G$502,'Unos prihoda i primitaka'!$C$3:$C$502,"=71",'Unos prihoda i primitaka'!$L$3:$L$502,"=71")</f>
        <v>0</v>
      </c>
      <c r="W17" s="94"/>
      <c r="X17" s="94"/>
      <c r="Y17" s="94"/>
      <c r="Z17" s="94"/>
    </row>
    <row r="18" spans="1:26" ht="12.75" customHeight="1">
      <c r="A18" s="102">
        <v>2023</v>
      </c>
      <c r="B18" s="103" t="s">
        <v>3652</v>
      </c>
      <c r="C18" s="138" t="s">
        <v>3653</v>
      </c>
      <c r="D18" s="105">
        <f t="shared" si="0"/>
        <v>0</v>
      </c>
      <c r="E18" s="134">
        <f>SUMIFS('Unos prihoda i primitaka'!$G$3:$G$502,'Unos prihoda i primitaka'!$C$3:$C$502,"=11",'Unos prihoda i primitaka'!$L$3:$L$502,"=72")</f>
        <v>0</v>
      </c>
      <c r="F18" s="134">
        <f>SUMIFS('Unos prihoda i primitaka'!$G$3:$G$502,'Unos prihoda i primitaka'!$C$3:$C$502,"=12",'Unos prihoda i primitaka'!$L$3:$L$502,"=72")</f>
        <v>0</v>
      </c>
      <c r="G18" s="134">
        <f>SUMIFS('Unos prihoda i primitaka'!$G$3:$G$502,'Unos prihoda i primitaka'!$C$3:$C$502,"=31",'Unos prihoda i primitaka'!$L$3:$L$502,"=72")</f>
        <v>0</v>
      </c>
      <c r="H18" s="134">
        <f>SUMIFS('Unos prihoda i primitaka'!$G$3:$G$502,'Unos prihoda i primitaka'!$C$3:$C$502,"=41",'Unos prihoda i primitaka'!$L$3:$L$502,"=72")</f>
        <v>0</v>
      </c>
      <c r="I18" s="134">
        <f>SUMIFS('Unos prihoda i primitaka'!$G$3:$G$502,'Unos prihoda i primitaka'!$C$3:$C$502,"=43",'Unos prihoda i primitaka'!$L$3:$L$502,"=72")</f>
        <v>0</v>
      </c>
      <c r="J18" s="134">
        <f>SUMIFS('Unos prihoda i primitaka'!$G$3:$G$502,'Unos prihoda i primitaka'!$C$3:$C$502,"=51",'Unos prihoda i primitaka'!$L$3:$L$502,"=72")</f>
        <v>0</v>
      </c>
      <c r="K18" s="134">
        <f>SUMIFS('Unos prihoda i primitaka'!$G$3:$G$502,'Unos prihoda i primitaka'!$C$3:$C$502,"=52",'Unos prihoda i primitaka'!$L$3:$L$502,"=72")</f>
        <v>0</v>
      </c>
      <c r="L18" s="134">
        <f>SUMIFS('Unos prihoda i primitaka'!$G$3:$G$502,'Unos prihoda i primitaka'!$C$3:$C$502,"=552",'Unos prihoda i primitaka'!$L$3:$L$502,"=72")</f>
        <v>0</v>
      </c>
      <c r="M18" s="134">
        <f>SUMIFS('Unos prihoda i primitaka'!$G$3:$G$502,'Unos prihoda i primitaka'!$C$3:$C$502,"=559",'Unos prihoda i primitaka'!$L$3:$L$502,"=72")</f>
        <v>0</v>
      </c>
      <c r="N18" s="134">
        <f>SUMIFS('Unos prihoda i primitaka'!$G$3:$G$502,'Unos prihoda i primitaka'!$C$3:$C$502,"=561",'Unos prihoda i primitaka'!$L$3:$L$502,"=72")</f>
        <v>0</v>
      </c>
      <c r="O18" s="134">
        <f>SUMIFS('Unos prihoda i primitaka'!$G$3:$G$502,'Unos prihoda i primitaka'!$C$3:$C$502,"=563",'Unos prihoda i primitaka'!$L$3:$L$502,"=72")</f>
        <v>0</v>
      </c>
      <c r="P18" s="134">
        <f>SUMIFS('Unos prihoda i primitaka'!$G$3:$G$502,'Unos prihoda i primitaka'!$C$3:$C$502,"=573",'Unos prihoda i primitaka'!$L$3:$L$502,"=72")</f>
        <v>0</v>
      </c>
      <c r="Q18" s="134">
        <f>SUMIFS('Unos prihoda i primitaka'!$G$3:$G$502,'Unos prihoda i primitaka'!$C$3:$C$502,"=575",'Unos prihoda i primitaka'!$L$3:$L$502,"=72")</f>
        <v>0</v>
      </c>
      <c r="R18" s="134">
        <f>SUMIFS('Unos prihoda i primitaka'!$G$3:$G$502,'Unos prihoda i primitaka'!$C$3:$C$502,"=576",'Unos prihoda i primitaka'!$L$3:$L$502,"=72")</f>
        <v>0</v>
      </c>
      <c r="S18" s="134">
        <f>SUMIFS('Unos prihoda i primitaka'!$G$3:$G$502,'Unos prihoda i primitaka'!$C$3:$C$502,"=581",'Unos prihoda i primitaka'!$L$3:$L$502,"=72")</f>
        <v>0</v>
      </c>
      <c r="T18" s="134">
        <f>SUMIFS('Unos prihoda i primitaka'!$G$3:$G$502,'Unos prihoda i primitaka'!$C$3:$C$502,"=61",'Unos prihoda i primitaka'!$L$3:$L$502,"=72")</f>
        <v>0</v>
      </c>
      <c r="U18" s="134">
        <f>SUMIFS('Unos prihoda i primitaka'!$G$3:$G$502,'Unos prihoda i primitaka'!$C$3:$C$502,"=63",'Unos prihoda i primitaka'!$L$3:$L$502,"=72")</f>
        <v>0</v>
      </c>
      <c r="V18" s="134">
        <f>SUMIFS('Unos prihoda i primitaka'!$G$3:$G$502,'Unos prihoda i primitaka'!$C$3:$C$502,"=71",'Unos prihoda i primitaka'!$L$3:$L$502,"=72")</f>
        <v>0</v>
      </c>
      <c r="W18" s="94"/>
      <c r="X18" s="94"/>
      <c r="Y18" s="94"/>
      <c r="Z18" s="94"/>
    </row>
    <row r="19" spans="1:26" ht="12.75" customHeight="1">
      <c r="A19" s="102">
        <v>2023</v>
      </c>
      <c r="B19" s="135" t="s">
        <v>3654</v>
      </c>
      <c r="C19" s="136" t="s">
        <v>3649</v>
      </c>
      <c r="D19" s="105">
        <f t="shared" si="0"/>
        <v>0</v>
      </c>
      <c r="E19" s="137">
        <f t="shared" ref="E19:V19" si="3">SUM(E17:E18)</f>
        <v>0</v>
      </c>
      <c r="F19" s="137">
        <f t="shared" si="3"/>
        <v>0</v>
      </c>
      <c r="G19" s="137">
        <f t="shared" si="3"/>
        <v>0</v>
      </c>
      <c r="H19" s="137">
        <f t="shared" si="3"/>
        <v>0</v>
      </c>
      <c r="I19" s="137">
        <f t="shared" si="3"/>
        <v>0</v>
      </c>
      <c r="J19" s="137">
        <f t="shared" si="3"/>
        <v>0</v>
      </c>
      <c r="K19" s="137">
        <f t="shared" si="3"/>
        <v>0</v>
      </c>
      <c r="L19" s="137">
        <f t="shared" si="3"/>
        <v>0</v>
      </c>
      <c r="M19" s="137">
        <f t="shared" si="3"/>
        <v>0</v>
      </c>
      <c r="N19" s="137">
        <f t="shared" si="3"/>
        <v>0</v>
      </c>
      <c r="O19" s="137">
        <f t="shared" si="3"/>
        <v>0</v>
      </c>
      <c r="P19" s="137">
        <f t="shared" si="3"/>
        <v>0</v>
      </c>
      <c r="Q19" s="137">
        <f t="shared" si="3"/>
        <v>0</v>
      </c>
      <c r="R19" s="137">
        <f t="shared" si="3"/>
        <v>0</v>
      </c>
      <c r="S19" s="137">
        <f t="shared" si="3"/>
        <v>0</v>
      </c>
      <c r="T19" s="137">
        <f t="shared" si="3"/>
        <v>0</v>
      </c>
      <c r="U19" s="137">
        <f t="shared" si="3"/>
        <v>0</v>
      </c>
      <c r="V19" s="137">
        <f t="shared" si="3"/>
        <v>0</v>
      </c>
      <c r="W19" s="94"/>
      <c r="X19" s="94"/>
      <c r="Y19" s="94"/>
      <c r="Z19" s="94"/>
    </row>
    <row r="20" spans="1:26" ht="12.75" customHeight="1">
      <c r="A20" s="93"/>
      <c r="B20" s="117"/>
      <c r="C20" s="117"/>
      <c r="D20" s="117"/>
      <c r="E20" s="117"/>
      <c r="F20" s="117"/>
      <c r="G20" s="117"/>
      <c r="H20" s="117"/>
      <c r="I20" s="118"/>
      <c r="J20" s="119"/>
      <c r="K20" s="119"/>
      <c r="L20" s="119"/>
      <c r="M20" s="119"/>
      <c r="N20" s="119"/>
      <c r="O20" s="119"/>
      <c r="P20" s="119"/>
      <c r="Q20" s="119"/>
      <c r="R20" s="119"/>
      <c r="S20" s="96"/>
      <c r="T20" s="93"/>
      <c r="U20" s="93"/>
      <c r="V20" s="93"/>
      <c r="W20" s="93"/>
      <c r="X20" s="93"/>
      <c r="Y20" s="93"/>
      <c r="Z20" s="93"/>
    </row>
    <row r="21" spans="1:26" s="288" customFormat="1" ht="102">
      <c r="A21" s="97" t="s">
        <v>3598</v>
      </c>
      <c r="B21" s="98" t="s">
        <v>3599</v>
      </c>
      <c r="C21" s="98" t="s">
        <v>3600</v>
      </c>
      <c r="D21" s="99" t="s">
        <v>3601</v>
      </c>
      <c r="E21" s="100" t="s">
        <v>3602</v>
      </c>
      <c r="F21" s="100" t="s">
        <v>3603</v>
      </c>
      <c r="G21" s="100" t="s">
        <v>3604</v>
      </c>
      <c r="H21" s="100" t="s">
        <v>3605</v>
      </c>
      <c r="I21" s="100" t="s">
        <v>3606</v>
      </c>
      <c r="J21" s="100" t="s">
        <v>3607</v>
      </c>
      <c r="K21" s="100" t="s">
        <v>3608</v>
      </c>
      <c r="L21" s="100" t="s">
        <v>3609</v>
      </c>
      <c r="M21" s="100" t="s">
        <v>3610</v>
      </c>
      <c r="N21" s="100" t="s">
        <v>3611</v>
      </c>
      <c r="O21" s="100" t="s">
        <v>3612</v>
      </c>
      <c r="P21" s="100" t="s">
        <v>3613</v>
      </c>
      <c r="Q21" s="100" t="s">
        <v>3614</v>
      </c>
      <c r="R21" s="100" t="s">
        <v>3615</v>
      </c>
      <c r="S21" s="101" t="s">
        <v>3616</v>
      </c>
      <c r="T21" s="100" t="s">
        <v>3617</v>
      </c>
      <c r="U21" s="101" t="s">
        <v>3618</v>
      </c>
      <c r="V21" s="101" t="s">
        <v>3619</v>
      </c>
      <c r="W21" s="287"/>
      <c r="X21" s="287"/>
      <c r="Y21" s="287"/>
      <c r="Z21" s="287"/>
    </row>
    <row r="22" spans="1:26" ht="20.25" customHeight="1">
      <c r="A22" s="102">
        <v>2024</v>
      </c>
      <c r="B22" s="115">
        <v>2024</v>
      </c>
      <c r="C22" s="115" t="s">
        <v>3633</v>
      </c>
      <c r="D22" s="116">
        <f t="shared" ref="D22:D33" si="4">SUM(E22:V22)</f>
        <v>37332206.44542449</v>
      </c>
      <c r="E22" s="116">
        <f t="shared" ref="E22:V22" si="5">+E33+E30</f>
        <v>27727633.370170657</v>
      </c>
      <c r="F22" s="116">
        <f t="shared" si="5"/>
        <v>570172.71524321451</v>
      </c>
      <c r="G22" s="116">
        <f t="shared" si="5"/>
        <v>2096337</v>
      </c>
      <c r="H22" s="116">
        <f t="shared" si="5"/>
        <v>0</v>
      </c>
      <c r="I22" s="116">
        <f t="shared" si="5"/>
        <v>0</v>
      </c>
      <c r="J22" s="116">
        <f t="shared" si="5"/>
        <v>1233195</v>
      </c>
      <c r="K22" s="116">
        <f t="shared" si="5"/>
        <v>2108296</v>
      </c>
      <c r="L22" s="116">
        <f t="shared" si="5"/>
        <v>0</v>
      </c>
      <c r="M22" s="116">
        <f t="shared" si="5"/>
        <v>0</v>
      </c>
      <c r="N22" s="116">
        <f t="shared" si="5"/>
        <v>0</v>
      </c>
      <c r="O22" s="116">
        <f t="shared" si="5"/>
        <v>3548490.3600106174</v>
      </c>
      <c r="P22" s="116">
        <f t="shared" si="5"/>
        <v>0</v>
      </c>
      <c r="Q22" s="116">
        <f t="shared" si="5"/>
        <v>0</v>
      </c>
      <c r="R22" s="116">
        <f t="shared" si="5"/>
        <v>0</v>
      </c>
      <c r="S22" s="116">
        <f t="shared" si="5"/>
        <v>0</v>
      </c>
      <c r="T22" s="116">
        <f t="shared" si="5"/>
        <v>48082</v>
      </c>
      <c r="U22" s="116">
        <f t="shared" si="5"/>
        <v>0</v>
      </c>
      <c r="V22" s="116">
        <f t="shared" si="5"/>
        <v>0</v>
      </c>
      <c r="W22" s="94"/>
      <c r="X22" s="94"/>
      <c r="Y22" s="94"/>
      <c r="Z22" s="94"/>
    </row>
    <row r="23" spans="1:26" ht="12.75" customHeight="1">
      <c r="A23" s="102">
        <v>2024</v>
      </c>
      <c r="B23" s="132" t="s">
        <v>3634</v>
      </c>
      <c r="C23" s="133" t="s">
        <v>3635</v>
      </c>
      <c r="D23" s="105">
        <f t="shared" si="4"/>
        <v>0</v>
      </c>
      <c r="E23" s="134">
        <f>SUMIFS('Unos prihoda i primitaka'!$H$3:$H$502,'Unos prihoda i primitaka'!$C$3:$C$502,"=11",'Unos prihoda i primitaka'!$L$3:$L$502,"=61")</f>
        <v>0</v>
      </c>
      <c r="F23" s="134">
        <f>SUMIFS('Unos prihoda i primitaka'!$H$3:$H$502,'Unos prihoda i primitaka'!$C$3:$C$502,"=12",'Unos prihoda i primitaka'!$L$3:$L$502,"=61")</f>
        <v>0</v>
      </c>
      <c r="G23" s="134">
        <f>SUMIFS('Unos prihoda i primitaka'!$H$3:$H$502,'Unos prihoda i primitaka'!$C$3:$C$502,"=31",'Unos prihoda i primitaka'!$L$3:$L$502,"=61")</f>
        <v>0</v>
      </c>
      <c r="H23" s="134">
        <f>SUMIFS('Unos prihoda i primitaka'!$H$3:$H$502,'Unos prihoda i primitaka'!$C$3:$C$502,"=41",'Unos prihoda i primitaka'!$L$3:$L$502,"=61")</f>
        <v>0</v>
      </c>
      <c r="I23" s="134">
        <f>SUMIFS('Unos prihoda i primitaka'!$H$3:$H$502,'Unos prihoda i primitaka'!$C$3:$C$502,"=43",'Unos prihoda i primitaka'!$L$3:$L$502,"=61")</f>
        <v>0</v>
      </c>
      <c r="J23" s="134">
        <f>SUMIFS('Unos prihoda i primitaka'!$H$3:$H$502,'Unos prihoda i primitaka'!$C$3:$C$502,"=51",'Unos prihoda i primitaka'!$L$3:$L$502,"=61")</f>
        <v>0</v>
      </c>
      <c r="K23" s="134">
        <f>SUMIFS('Unos prihoda i primitaka'!$H$3:$H$502,'Unos prihoda i primitaka'!$C$3:$C$502,"=52",'Unos prihoda i primitaka'!$L$3:$L$502,"=61")</f>
        <v>0</v>
      </c>
      <c r="L23" s="134">
        <f>SUMIFS('Unos prihoda i primitaka'!$H$3:$H$502,'Unos prihoda i primitaka'!$C$3:$C$502,"=552",'Unos prihoda i primitaka'!$L$3:$L$502,"=61")</f>
        <v>0</v>
      </c>
      <c r="M23" s="134">
        <f>SUMIFS('Unos prihoda i primitaka'!$H$3:$H$502,'Unos prihoda i primitaka'!$C$3:$C$502,"=559",'Unos prihoda i primitaka'!$L$3:$L$502,"=61")</f>
        <v>0</v>
      </c>
      <c r="N23" s="134">
        <f>SUMIFS('Unos prihoda i primitaka'!$H$3:$H$502,'Unos prihoda i primitaka'!$C$3:$C$502,"=561",'Unos prihoda i primitaka'!$L$3:$L$502,"=61")</f>
        <v>0</v>
      </c>
      <c r="O23" s="134">
        <f>SUMIFS('Unos prihoda i primitaka'!$H$3:$H$502,'Unos prihoda i primitaka'!$C$3:$C$502,"=563",'Unos prihoda i primitaka'!$L$3:$L$502,"=61")</f>
        <v>0</v>
      </c>
      <c r="P23" s="134">
        <f>SUMIFS('Unos prihoda i primitaka'!$H$3:$H$502,'Unos prihoda i primitaka'!$C$3:$C$502,"=573",'Unos prihoda i primitaka'!$L$3:$L$502,"=61")</f>
        <v>0</v>
      </c>
      <c r="Q23" s="134">
        <f>SUMIFS('Unos prihoda i primitaka'!$H$3:$H$502,'Unos prihoda i primitaka'!$C$3:$C$502,"=575",'Unos prihoda i primitaka'!$L$3:$L$502,"=61")</f>
        <v>0</v>
      </c>
      <c r="R23" s="134">
        <f>SUMIFS('Unos prihoda i primitaka'!$H$3:$H$502,'Unos prihoda i primitaka'!$C$3:$C$502,"=576",'Unos prihoda i primitaka'!$L$3:$L$502,"=61")</f>
        <v>0</v>
      </c>
      <c r="S23" s="134">
        <f>SUMIFS('Unos prihoda i primitaka'!$H$3:$H$502,'Unos prihoda i primitaka'!$C$3:$C$502,"=581",'Unos prihoda i primitaka'!$L$3:$L$502,"=61")</f>
        <v>0</v>
      </c>
      <c r="T23" s="134">
        <f>SUMIFS('Unos prihoda i primitaka'!$H$3:$H$502,'Unos prihoda i primitaka'!$C$3:$C$502,"=61",'Unos prihoda i primitaka'!$L$3:$L$502,"=61")</f>
        <v>0</v>
      </c>
      <c r="U23" s="134">
        <f>SUMIFS('Unos prihoda i primitaka'!$H$3:$H$502,'Unos prihoda i primitaka'!$C$3:$C$502,"=63",'Unos prihoda i primitaka'!$L$3:$L$502,"=61")</f>
        <v>0</v>
      </c>
      <c r="V23" s="134">
        <f>SUMIFS('Unos prihoda i primitaka'!$H$3:$H$502,'Unos prihoda i primitaka'!$C$3:$C$502,"=71",'Unos prihoda i primitaka'!$L$3:$L$502,"=61")</f>
        <v>0</v>
      </c>
      <c r="W23" s="94"/>
      <c r="X23" s="94"/>
      <c r="Y23" s="94"/>
      <c r="Z23" s="94"/>
    </row>
    <row r="24" spans="1:26" ht="12.75" customHeight="1">
      <c r="A24" s="102">
        <v>2024</v>
      </c>
      <c r="B24" s="132" t="s">
        <v>3636</v>
      </c>
      <c r="C24" s="133" t="s">
        <v>3637</v>
      </c>
      <c r="D24" s="105">
        <f t="shared" si="4"/>
        <v>6889981.3600106174</v>
      </c>
      <c r="E24" s="134">
        <f>SUMIFS('Unos prihoda i primitaka'!$H$3:$H$502,'Unos prihoda i primitaka'!$C$3:$C$502,"=11",'Unos prihoda i primitaka'!$L$3:$L$502,"=63")</f>
        <v>0</v>
      </c>
      <c r="F24" s="134">
        <f>SUMIFS('Unos prihoda i primitaka'!$H$3:$H$502,'Unos prihoda i primitaka'!$C$3:$C$502,"=12",'Unos prihoda i primitaka'!$L$3:$L$502,"=63")</f>
        <v>0</v>
      </c>
      <c r="G24" s="134">
        <f>SUMIFS('Unos prihoda i primitaka'!$H$3:$H$502,'Unos prihoda i primitaka'!$C$3:$C$502,"=31",'Unos prihoda i primitaka'!$L$3:$L$502,"=63")</f>
        <v>0</v>
      </c>
      <c r="H24" s="134">
        <f>SUMIFS('Unos prihoda i primitaka'!$H$3:$H$502,'Unos prihoda i primitaka'!$C$3:$C$502,"=41",'Unos prihoda i primitaka'!$L$3:$L$502,"=63")</f>
        <v>0</v>
      </c>
      <c r="I24" s="134">
        <f>SUMIFS('Unos prihoda i primitaka'!$H$3:$H$502,'Unos prihoda i primitaka'!$C$3:$C$502,"=43",'Unos prihoda i primitaka'!$L$3:$L$502,"=63")</f>
        <v>0</v>
      </c>
      <c r="J24" s="134">
        <f>SUMIFS('Unos prihoda i primitaka'!$H$3:$H$502,'Unos prihoda i primitaka'!$C$3:$C$502,"=51",'Unos prihoda i primitaka'!$L$3:$L$502,"=63")</f>
        <v>1233195</v>
      </c>
      <c r="K24" s="134">
        <f>SUMIFS('Unos prihoda i primitaka'!$H$3:$H$502,'Unos prihoda i primitaka'!$C$3:$C$502,"=52",'Unos prihoda i primitaka'!$L$3:$L$502,"=63")</f>
        <v>2108296</v>
      </c>
      <c r="L24" s="134">
        <f>SUMIFS('Unos prihoda i primitaka'!$H$3:$H$502,'Unos prihoda i primitaka'!$C$3:$C$502,"=552",'Unos prihoda i primitaka'!$L$3:$L$502,"=63")</f>
        <v>0</v>
      </c>
      <c r="M24" s="134">
        <f>SUMIFS('Unos prihoda i primitaka'!$H$3:$H$502,'Unos prihoda i primitaka'!$C$3:$C$502,"=559",'Unos prihoda i primitaka'!$L$3:$L$502,"=63")</f>
        <v>0</v>
      </c>
      <c r="N24" s="134">
        <f>SUMIFS('Unos prihoda i primitaka'!$H$3:$H$502,'Unos prihoda i primitaka'!$C$3:$C$502,"=561",'Unos prihoda i primitaka'!$L$3:$L$502,"=63")</f>
        <v>0</v>
      </c>
      <c r="O24" s="134">
        <f>SUMIFS('Unos prihoda i primitaka'!$H$3:$H$502,'Unos prihoda i primitaka'!$C$3:$C$502,"=563",'Unos prihoda i primitaka'!$L$3:$L$502,"=63")</f>
        <v>3548490.3600106174</v>
      </c>
      <c r="P24" s="134">
        <f>SUMIFS('Unos prihoda i primitaka'!$H$3:$H$502,'Unos prihoda i primitaka'!$C$3:$C$502,"=573",'Unos prihoda i primitaka'!$L$3:$L$502,"=63")</f>
        <v>0</v>
      </c>
      <c r="Q24" s="134">
        <f>SUMIFS('Unos prihoda i primitaka'!$H$3:$H$502,'Unos prihoda i primitaka'!$C$3:$C$502,"=575",'Unos prihoda i primitaka'!$L$3:$L$502,"=63")</f>
        <v>0</v>
      </c>
      <c r="R24" s="134">
        <f>SUMIFS('Unos prihoda i primitaka'!$H$3:$H$502,'Unos prihoda i primitaka'!$C$3:$C$502,"=576",'Unos prihoda i primitaka'!$L$3:$L$502,"=63")</f>
        <v>0</v>
      </c>
      <c r="S24" s="134">
        <f>SUMIFS('Unos prihoda i primitaka'!$H$3:$H$502,'Unos prihoda i primitaka'!$C$3:$C$502,"=581",'Unos prihoda i primitaka'!$L$3:$L$502,"=63")</f>
        <v>0</v>
      </c>
      <c r="T24" s="134">
        <f>SUMIFS('Unos prihoda i primitaka'!$H$3:$H$502,'Unos prihoda i primitaka'!$C$3:$C$502,"=61",'Unos prihoda i primitaka'!$L$3:$L$502,"=63")</f>
        <v>0</v>
      </c>
      <c r="U24" s="134">
        <f>SUMIFS('Unos prihoda i primitaka'!$H$3:$H$502,'Unos prihoda i primitaka'!$C$3:$C$502,"=63",'Unos prihoda i primitaka'!$L$3:$L$502,"=63")</f>
        <v>0</v>
      </c>
      <c r="V24" s="134">
        <f>SUMIFS('Unos prihoda i primitaka'!$H$3:$H$502,'Unos prihoda i primitaka'!$C$3:$C$502,"=71",'Unos prihoda i primitaka'!$L$3:$L$502,"=63")</f>
        <v>0</v>
      </c>
      <c r="W24" s="94"/>
      <c r="X24" s="94"/>
      <c r="Y24" s="94"/>
      <c r="Z24" s="94"/>
    </row>
    <row r="25" spans="1:26" ht="12.75" customHeight="1">
      <c r="A25" s="102">
        <v>2024</v>
      </c>
      <c r="B25" s="103" t="s">
        <v>3638</v>
      </c>
      <c r="C25" s="104" t="s">
        <v>3639</v>
      </c>
      <c r="D25" s="105">
        <f t="shared" si="4"/>
        <v>0</v>
      </c>
      <c r="E25" s="134">
        <f>SUMIFS('Unos prihoda i primitaka'!$H$3:$H$502,'Unos prihoda i primitaka'!$C$3:$C$502,"=11",'Unos prihoda i primitaka'!$L$3:$L$502,"=64")</f>
        <v>0</v>
      </c>
      <c r="F25" s="134">
        <f>SUMIFS('Unos prihoda i primitaka'!$H$3:$H$502,'Unos prihoda i primitaka'!$C$3:$C$502,"=12",'Unos prihoda i primitaka'!$L$3:$L$502,"=64")</f>
        <v>0</v>
      </c>
      <c r="G25" s="134">
        <f>SUMIFS('Unos prihoda i primitaka'!$H$3:$H$502,'Unos prihoda i primitaka'!$C$3:$C$502,"=31",'Unos prihoda i primitaka'!$L$3:$L$502,"=64")</f>
        <v>0</v>
      </c>
      <c r="H25" s="134">
        <f>SUMIFS('Unos prihoda i primitaka'!$H$3:$H$502,'Unos prihoda i primitaka'!$C$3:$C$502,"=41",'Unos prihoda i primitaka'!$L$3:$L$502,"=64")</f>
        <v>0</v>
      </c>
      <c r="I25" s="134">
        <f>SUMIFS('Unos prihoda i primitaka'!$H$3:$H$502,'Unos prihoda i primitaka'!$C$3:$C$502,"=43",'Unos prihoda i primitaka'!$L$3:$L$502,"=64")</f>
        <v>0</v>
      </c>
      <c r="J25" s="134">
        <f>SUMIFS('Unos prihoda i primitaka'!$H$3:$H$502,'Unos prihoda i primitaka'!$C$3:$C$502,"=51",'Unos prihoda i primitaka'!$L$3:$L$502,"=64")</f>
        <v>0</v>
      </c>
      <c r="K25" s="134">
        <f>SUMIFS('Unos prihoda i primitaka'!$H$3:$H$502,'Unos prihoda i primitaka'!$C$3:$C$502,"=52",'Unos prihoda i primitaka'!$L$3:$L$502,"=64")</f>
        <v>0</v>
      </c>
      <c r="L25" s="134">
        <f>SUMIFS('Unos prihoda i primitaka'!$H$3:$H$502,'Unos prihoda i primitaka'!$C$3:$C$502,"=552",'Unos prihoda i primitaka'!$L$3:$L$502,"=64")</f>
        <v>0</v>
      </c>
      <c r="M25" s="134">
        <f>SUMIFS('Unos prihoda i primitaka'!$H$3:$H$502,'Unos prihoda i primitaka'!$C$3:$C$502,"=559",'Unos prihoda i primitaka'!$L$3:$L$502,"=64")</f>
        <v>0</v>
      </c>
      <c r="N25" s="134">
        <f>SUMIFS('Unos prihoda i primitaka'!$H$3:$H$502,'Unos prihoda i primitaka'!$C$3:$C$502,"=561",'Unos prihoda i primitaka'!$L$3:$L$502,"=64")</f>
        <v>0</v>
      </c>
      <c r="O25" s="134">
        <f>SUMIFS('Unos prihoda i primitaka'!$H$3:$H$502,'Unos prihoda i primitaka'!$C$3:$C$502,"=563",'Unos prihoda i primitaka'!$L$3:$L$502,"=64")</f>
        <v>0</v>
      </c>
      <c r="P25" s="134">
        <f>SUMIFS('Unos prihoda i primitaka'!$H$3:$H$502,'Unos prihoda i primitaka'!$C$3:$C$502,"=573",'Unos prihoda i primitaka'!$L$3:$L$502,"=64")</f>
        <v>0</v>
      </c>
      <c r="Q25" s="134">
        <f>SUMIFS('Unos prihoda i primitaka'!$H$3:$H$502,'Unos prihoda i primitaka'!$C$3:$C$502,"=575",'Unos prihoda i primitaka'!$L$3:$L$502,"=64")</f>
        <v>0</v>
      </c>
      <c r="R25" s="134">
        <f>SUMIFS('Unos prihoda i primitaka'!$H$3:$H$502,'Unos prihoda i primitaka'!$C$3:$C$502,"=576",'Unos prihoda i primitaka'!$L$3:$L$502,"=64")</f>
        <v>0</v>
      </c>
      <c r="S25" s="134">
        <f>SUMIFS('Unos prihoda i primitaka'!$H$3:$H$502,'Unos prihoda i primitaka'!$C$3:$C$502,"=581",'Unos prihoda i primitaka'!$L$3:$L$502,"=64")</f>
        <v>0</v>
      </c>
      <c r="T25" s="134">
        <f>SUMIFS('Unos prihoda i primitaka'!$H$3:$H$502,'Unos prihoda i primitaka'!$C$3:$C$502,"=61",'Unos prihoda i primitaka'!$L$3:$L$502,"=64")</f>
        <v>0</v>
      </c>
      <c r="U25" s="134">
        <f>SUMIFS('Unos prihoda i primitaka'!$H$3:$H$502,'Unos prihoda i primitaka'!$C$3:$C$502,"=63",'Unos prihoda i primitaka'!$L$3:$L$502,"=64")</f>
        <v>0</v>
      </c>
      <c r="V25" s="134">
        <f>SUMIFS('Unos prihoda i primitaka'!$H$3:$H$502,'Unos prihoda i primitaka'!$C$3:$C$502,"=71",'Unos prihoda i primitaka'!$L$3:$L$502,"=64")</f>
        <v>0</v>
      </c>
      <c r="W25" s="94"/>
      <c r="X25" s="94"/>
      <c r="Y25" s="94"/>
      <c r="Z25" s="94"/>
    </row>
    <row r="26" spans="1:26" ht="12.75" customHeight="1">
      <c r="A26" s="102">
        <v>2024</v>
      </c>
      <c r="B26" s="103" t="s">
        <v>3640</v>
      </c>
      <c r="C26" s="104" t="s">
        <v>3641</v>
      </c>
      <c r="D26" s="105">
        <f t="shared" si="4"/>
        <v>0</v>
      </c>
      <c r="E26" s="134">
        <f>SUMIFS('Unos prihoda i primitaka'!$H$3:$H$502,'Unos prihoda i primitaka'!$C$3:$C$502,"=11",'Unos prihoda i primitaka'!$L$3:$L$502,"=65")</f>
        <v>0</v>
      </c>
      <c r="F26" s="134">
        <f>SUMIFS('Unos prihoda i primitaka'!$H$3:$H$502,'Unos prihoda i primitaka'!$C$3:$C$502,"=12",'Unos prihoda i primitaka'!$L$3:$L$502,"=65")</f>
        <v>0</v>
      </c>
      <c r="G26" s="134">
        <f>SUMIFS('Unos prihoda i primitaka'!$H$3:$H$502,'Unos prihoda i primitaka'!$C$3:$C$502,"=31",'Unos prihoda i primitaka'!$L$3:$L$502,"=65")</f>
        <v>0</v>
      </c>
      <c r="H26" s="134">
        <f>SUMIFS('Unos prihoda i primitaka'!$H$3:$H$502,'Unos prihoda i primitaka'!$C$3:$C$502,"=41",'Unos prihoda i primitaka'!$L$3:$L$502,"=65")</f>
        <v>0</v>
      </c>
      <c r="I26" s="134">
        <f>SUMIFS('Unos prihoda i primitaka'!$H$3:$H$502,'Unos prihoda i primitaka'!$C$3:$C$502,"=43",'Unos prihoda i primitaka'!$L$3:$L$502,"=65")</f>
        <v>0</v>
      </c>
      <c r="J26" s="134">
        <f>SUMIFS('Unos prihoda i primitaka'!$H$3:$H$502,'Unos prihoda i primitaka'!$C$3:$C$502,"=51",'Unos prihoda i primitaka'!$L$3:$L$502,"=65")</f>
        <v>0</v>
      </c>
      <c r="K26" s="134">
        <f>SUMIFS('Unos prihoda i primitaka'!$H$3:$H$502,'Unos prihoda i primitaka'!$C$3:$C$502,"=52",'Unos prihoda i primitaka'!$L$3:$L$502,"=65")</f>
        <v>0</v>
      </c>
      <c r="L26" s="134">
        <f>SUMIFS('Unos prihoda i primitaka'!$H$3:$H$502,'Unos prihoda i primitaka'!$C$3:$C$502,"=552",'Unos prihoda i primitaka'!$L$3:$L$502,"=65")</f>
        <v>0</v>
      </c>
      <c r="M26" s="134">
        <f>SUMIFS('Unos prihoda i primitaka'!$H$3:$H$502,'Unos prihoda i primitaka'!$C$3:$C$502,"=559",'Unos prihoda i primitaka'!$L$3:$L$502,"=65")</f>
        <v>0</v>
      </c>
      <c r="N26" s="134">
        <f>SUMIFS('Unos prihoda i primitaka'!$H$3:$H$502,'Unos prihoda i primitaka'!$C$3:$C$502,"=561",'Unos prihoda i primitaka'!$L$3:$L$502,"=65")</f>
        <v>0</v>
      </c>
      <c r="O26" s="134">
        <f>SUMIFS('Unos prihoda i primitaka'!$H$3:$H$502,'Unos prihoda i primitaka'!$C$3:$C$502,"=563",'Unos prihoda i primitaka'!$L$3:$L$502,"=65")</f>
        <v>0</v>
      </c>
      <c r="P26" s="134">
        <f>SUMIFS('Unos prihoda i primitaka'!$H$3:$H$502,'Unos prihoda i primitaka'!$C$3:$C$502,"=573",'Unos prihoda i primitaka'!$L$3:$L$502,"=65")</f>
        <v>0</v>
      </c>
      <c r="Q26" s="134">
        <f>SUMIFS('Unos prihoda i primitaka'!$H$3:$H$502,'Unos prihoda i primitaka'!$C$3:$C$502,"=575",'Unos prihoda i primitaka'!$L$3:$L$502,"=65")</f>
        <v>0</v>
      </c>
      <c r="R26" s="134">
        <f>SUMIFS('Unos prihoda i primitaka'!$H$3:$H$502,'Unos prihoda i primitaka'!$C$3:$C$502,"=576",'Unos prihoda i primitaka'!$L$3:$L$502,"=65")</f>
        <v>0</v>
      </c>
      <c r="S26" s="134">
        <f>SUMIFS('Unos prihoda i primitaka'!$H$3:$H$502,'Unos prihoda i primitaka'!$C$3:$C$502,"=581",'Unos prihoda i primitaka'!$L$3:$L$502,"=65")</f>
        <v>0</v>
      </c>
      <c r="T26" s="134">
        <f>SUMIFS('Unos prihoda i primitaka'!$H$3:$H$502,'Unos prihoda i primitaka'!$C$3:$C$502,"=61",'Unos prihoda i primitaka'!$L$3:$L$502,"=65")</f>
        <v>0</v>
      </c>
      <c r="U26" s="134">
        <f>SUMIFS('Unos prihoda i primitaka'!$H$3:$H$502,'Unos prihoda i primitaka'!$C$3:$C$502,"=63",'Unos prihoda i primitaka'!$L$3:$L$502,"=65")</f>
        <v>0</v>
      </c>
      <c r="V26" s="134">
        <f>SUMIFS('Unos prihoda i primitaka'!$H$3:$H$502,'Unos prihoda i primitaka'!$C$3:$C$502,"=71",'Unos prihoda i primitaka'!$L$3:$L$502,"=65")</f>
        <v>0</v>
      </c>
      <c r="W26" s="94"/>
      <c r="X26" s="94"/>
      <c r="Y26" s="94"/>
      <c r="Z26" s="94"/>
    </row>
    <row r="27" spans="1:26" ht="12.75" customHeight="1">
      <c r="A27" s="102">
        <v>2024</v>
      </c>
      <c r="B27" s="110" t="s">
        <v>3642</v>
      </c>
      <c r="C27" s="104" t="s">
        <v>3643</v>
      </c>
      <c r="D27" s="105">
        <f t="shared" si="4"/>
        <v>2144419</v>
      </c>
      <c r="E27" s="134">
        <f>SUMIFS('Unos prihoda i primitaka'!$H$3:$H$502,'Unos prihoda i primitaka'!$C$3:$C$502,"=11",'Unos prihoda i primitaka'!$L$3:$L$502,"=66")</f>
        <v>0</v>
      </c>
      <c r="F27" s="134">
        <f>SUMIFS('Unos prihoda i primitaka'!$H$3:$H$502,'Unos prihoda i primitaka'!$C$3:$C$502,"=12",'Unos prihoda i primitaka'!$L$3:$L$502,"=66")</f>
        <v>0</v>
      </c>
      <c r="G27" s="134">
        <f>SUMIFS('Unos prihoda i primitaka'!$H$3:$H$502,'Unos prihoda i primitaka'!$C$3:$C$502,"=31",'Unos prihoda i primitaka'!$L$3:$L$502,"=66")</f>
        <v>2096337</v>
      </c>
      <c r="H27" s="134">
        <f>SUMIFS('Unos prihoda i primitaka'!$H$3:$H$502,'Unos prihoda i primitaka'!$C$3:$C$502,"=41",'Unos prihoda i primitaka'!$L$3:$L$502,"=66")</f>
        <v>0</v>
      </c>
      <c r="I27" s="134">
        <f>SUMIFS('Unos prihoda i primitaka'!$H$3:$H$502,'Unos prihoda i primitaka'!$C$3:$C$502,"=43",'Unos prihoda i primitaka'!$L$3:$L$502,"=66")</f>
        <v>0</v>
      </c>
      <c r="J27" s="134">
        <f>SUMIFS('Unos prihoda i primitaka'!$H$3:$H$502,'Unos prihoda i primitaka'!$C$3:$C$502,"=51",'Unos prihoda i primitaka'!$L$3:$L$502,"=66")</f>
        <v>0</v>
      </c>
      <c r="K27" s="134">
        <f>SUMIFS('Unos prihoda i primitaka'!$H$3:$H$502,'Unos prihoda i primitaka'!$C$3:$C$502,"=52",'Unos prihoda i primitaka'!$L$3:$L$502,"=66")</f>
        <v>0</v>
      </c>
      <c r="L27" s="134">
        <f>SUMIFS('Unos prihoda i primitaka'!$H$3:$H$502,'Unos prihoda i primitaka'!$C$3:$C$502,"=552",'Unos prihoda i primitaka'!$L$3:$L$502,"=66")</f>
        <v>0</v>
      </c>
      <c r="M27" s="134">
        <f>SUMIFS('Unos prihoda i primitaka'!$H$3:$H$502,'Unos prihoda i primitaka'!$C$3:$C$502,"=559",'Unos prihoda i primitaka'!$L$3:$L$502,"=66")</f>
        <v>0</v>
      </c>
      <c r="N27" s="134">
        <f>SUMIFS('Unos prihoda i primitaka'!$H$3:$H$502,'Unos prihoda i primitaka'!$C$3:$C$502,"=561",'Unos prihoda i primitaka'!$L$3:$L$502,"=66")</f>
        <v>0</v>
      </c>
      <c r="O27" s="134">
        <f>SUMIFS('Unos prihoda i primitaka'!$H$3:$H$502,'Unos prihoda i primitaka'!$C$3:$C$502,"=563",'Unos prihoda i primitaka'!$L$3:$L$502,"=66")</f>
        <v>0</v>
      </c>
      <c r="P27" s="134">
        <f>SUMIFS('Unos prihoda i primitaka'!$H$3:$H$502,'Unos prihoda i primitaka'!$C$3:$C$502,"=573",'Unos prihoda i primitaka'!$L$3:$L$502,"=66")</f>
        <v>0</v>
      </c>
      <c r="Q27" s="134">
        <f>SUMIFS('Unos prihoda i primitaka'!$H$3:$H$502,'Unos prihoda i primitaka'!$C$3:$C$502,"=575",'Unos prihoda i primitaka'!$L$3:$L$502,"=66")</f>
        <v>0</v>
      </c>
      <c r="R27" s="134">
        <f>SUMIFS('Unos prihoda i primitaka'!$H$3:$H$502,'Unos prihoda i primitaka'!$C$3:$C$502,"=576",'Unos prihoda i primitaka'!$L$3:$L$502,"=66")</f>
        <v>0</v>
      </c>
      <c r="S27" s="134">
        <f>SUMIFS('Unos prihoda i primitaka'!$H$3:$H$502,'Unos prihoda i primitaka'!$C$3:$C$502,"=581",'Unos prihoda i primitaka'!$L$3:$L$502,"=66")</f>
        <v>0</v>
      </c>
      <c r="T27" s="134">
        <f>SUMIFS('Unos prihoda i primitaka'!$H$3:$H$502,'Unos prihoda i primitaka'!$C$3:$C$502,"=61",'Unos prihoda i primitaka'!$L$3:$L$502,"=66")</f>
        <v>48082</v>
      </c>
      <c r="U27" s="134">
        <f>SUMIFS('Unos prihoda i primitaka'!$H$3:$H$502,'Unos prihoda i primitaka'!$C$3:$C$502,"=63",'Unos prihoda i primitaka'!$L$3:$L$502,"=66")</f>
        <v>0</v>
      </c>
      <c r="V27" s="134">
        <f>SUMIFS('Unos prihoda i primitaka'!$H$3:$H$502,'Unos prihoda i primitaka'!$C$3:$C$502,"=71",'Unos prihoda i primitaka'!$L$3:$L$502,"=66")</f>
        <v>0</v>
      </c>
      <c r="W27" s="94"/>
      <c r="X27" s="94"/>
      <c r="Y27" s="94"/>
      <c r="Z27" s="94"/>
    </row>
    <row r="28" spans="1:26" ht="12.75" customHeight="1">
      <c r="A28" s="102">
        <v>2024</v>
      </c>
      <c r="B28" s="103" t="s">
        <v>3644</v>
      </c>
      <c r="C28" s="104" t="s">
        <v>3645</v>
      </c>
      <c r="D28" s="105">
        <f t="shared" si="4"/>
        <v>28297806.085413869</v>
      </c>
      <c r="E28" s="134">
        <f>SUMIFS('Unos prihoda i primitaka'!$H$3:$H$502,'Unos prihoda i primitaka'!$C$3:$C$502,"=11",'Unos prihoda i primitaka'!$L$3:$L$502,"=67")</f>
        <v>27727633.370170657</v>
      </c>
      <c r="F28" s="134">
        <f>SUMIFS('Unos prihoda i primitaka'!$H$3:$H$502,'Unos prihoda i primitaka'!$C$3:$C$502,"=12",'Unos prihoda i primitaka'!$L$3:$L$502,"=67")</f>
        <v>570172.71524321451</v>
      </c>
      <c r="G28" s="134">
        <f>SUMIFS('Unos prihoda i primitaka'!$H$3:$H$502,'Unos prihoda i primitaka'!$C$3:$C$502,"=31",'Unos prihoda i primitaka'!$L$3:$L$502,"=67")</f>
        <v>0</v>
      </c>
      <c r="H28" s="134">
        <f>SUMIFS('Unos prihoda i primitaka'!$H$3:$H$502,'Unos prihoda i primitaka'!$C$3:$C$502,"=41",'Unos prihoda i primitaka'!$L$3:$L$502,"=67")</f>
        <v>0</v>
      </c>
      <c r="I28" s="134">
        <f>SUMIFS('Unos prihoda i primitaka'!$H$3:$H$502,'Unos prihoda i primitaka'!$C$3:$C$502,"=43",'Unos prihoda i primitaka'!$L$3:$L$502,"=67")</f>
        <v>0</v>
      </c>
      <c r="J28" s="134">
        <f>SUMIFS('Unos prihoda i primitaka'!$H$3:$H$502,'Unos prihoda i primitaka'!$C$3:$C$502,"=51",'Unos prihoda i primitaka'!$L$3:$L$502,"=67")</f>
        <v>0</v>
      </c>
      <c r="K28" s="134">
        <f>SUMIFS('Unos prihoda i primitaka'!$H$3:$H$502,'Unos prihoda i primitaka'!$C$3:$C$502,"=52",'Unos prihoda i primitaka'!$L$3:$L$502,"=67")</f>
        <v>0</v>
      </c>
      <c r="L28" s="134">
        <f>SUMIFS('Unos prihoda i primitaka'!$H$3:$H$502,'Unos prihoda i primitaka'!$C$3:$C$502,"=552",'Unos prihoda i primitaka'!$L$3:$L$502,"=67")</f>
        <v>0</v>
      </c>
      <c r="M28" s="134">
        <f>SUMIFS('Unos prihoda i primitaka'!$H$3:$H$502,'Unos prihoda i primitaka'!$C$3:$C$502,"=559",'Unos prihoda i primitaka'!$L$3:$L$502,"=67")</f>
        <v>0</v>
      </c>
      <c r="N28" s="134">
        <f>SUMIFS('Unos prihoda i primitaka'!$H$3:$H$502,'Unos prihoda i primitaka'!$C$3:$C$502,"=561",'Unos prihoda i primitaka'!$L$3:$L$502,"=67")</f>
        <v>0</v>
      </c>
      <c r="O28" s="134">
        <f>SUMIFS('Unos prihoda i primitaka'!$H$3:$H$502,'Unos prihoda i primitaka'!$C$3:$C$502,"=563",'Unos prihoda i primitaka'!$L$3:$L$502,"=67")</f>
        <v>0</v>
      </c>
      <c r="P28" s="134">
        <f>SUMIFS('Unos prihoda i primitaka'!$H$3:$H$502,'Unos prihoda i primitaka'!$C$3:$C$502,"=573",'Unos prihoda i primitaka'!$L$3:$L$502,"=67")</f>
        <v>0</v>
      </c>
      <c r="Q28" s="134">
        <f>SUMIFS('Unos prihoda i primitaka'!$H$3:$H$502,'Unos prihoda i primitaka'!$C$3:$C$502,"=575",'Unos prihoda i primitaka'!$L$3:$L$502,"=67")</f>
        <v>0</v>
      </c>
      <c r="R28" s="134">
        <f>SUMIFS('Unos prihoda i primitaka'!$H$3:$H$502,'Unos prihoda i primitaka'!$C$3:$C$502,"=576",'Unos prihoda i primitaka'!$L$3:$L$502,"=67")</f>
        <v>0</v>
      </c>
      <c r="S28" s="134">
        <f>SUMIFS('Unos prihoda i primitaka'!$H$3:$H$502,'Unos prihoda i primitaka'!$C$3:$C$502,"=581",'Unos prihoda i primitaka'!$L$3:$L$502,"=67")</f>
        <v>0</v>
      </c>
      <c r="T28" s="134">
        <f>SUMIFS('Unos prihoda i primitaka'!$H$3:$H$502,'Unos prihoda i primitaka'!$C$3:$C$502,"=61",'Unos prihoda i primitaka'!$L$3:$L$502,"=67")</f>
        <v>0</v>
      </c>
      <c r="U28" s="134">
        <f>SUMIFS('Unos prihoda i primitaka'!$H$3:$H$502,'Unos prihoda i primitaka'!$C$3:$C$502,"=63",'Unos prihoda i primitaka'!$L$3:$L$502,"=67")</f>
        <v>0</v>
      </c>
      <c r="V28" s="134">
        <f>SUMIFS('Unos prihoda i primitaka'!$H$3:$H$502,'Unos prihoda i primitaka'!$C$3:$C$502,"=71",'Unos prihoda i primitaka'!$L$3:$L$502,"=67")</f>
        <v>0</v>
      </c>
      <c r="W28" s="94"/>
      <c r="X28" s="94"/>
      <c r="Y28" s="94"/>
      <c r="Z28" s="94"/>
    </row>
    <row r="29" spans="1:26" ht="12.75" customHeight="1">
      <c r="A29" s="102">
        <v>2024</v>
      </c>
      <c r="B29" s="103" t="s">
        <v>3646</v>
      </c>
      <c r="C29" s="104" t="s">
        <v>3647</v>
      </c>
      <c r="D29" s="105">
        <f t="shared" si="4"/>
        <v>0</v>
      </c>
      <c r="E29" s="134">
        <f>SUMIFS('Unos prihoda i primitaka'!$H$3:$H$502,'Unos prihoda i primitaka'!$C$3:$C$502,"=11",'Unos prihoda i primitaka'!$L$3:$L$502,"=68")</f>
        <v>0</v>
      </c>
      <c r="F29" s="134">
        <f>SUMIFS('Unos prihoda i primitaka'!$H$3:$H$502,'Unos prihoda i primitaka'!$C$3:$C$502,"=12",'Unos prihoda i primitaka'!$L$3:$L$502,"=68")</f>
        <v>0</v>
      </c>
      <c r="G29" s="134">
        <f>SUMIFS('Unos prihoda i primitaka'!$H$3:$H$502,'Unos prihoda i primitaka'!$C$3:$C$502,"=31",'Unos prihoda i primitaka'!$L$3:$L$502,"=68")</f>
        <v>0</v>
      </c>
      <c r="H29" s="134">
        <f>SUMIFS('Unos prihoda i primitaka'!$H$3:$H$502,'Unos prihoda i primitaka'!$C$3:$C$502,"=41",'Unos prihoda i primitaka'!$L$3:$L$502,"=68")</f>
        <v>0</v>
      </c>
      <c r="I29" s="134">
        <f>SUMIFS('Unos prihoda i primitaka'!$H$3:$H$502,'Unos prihoda i primitaka'!$C$3:$C$502,"=43",'Unos prihoda i primitaka'!$L$3:$L$502,"=68")</f>
        <v>0</v>
      </c>
      <c r="J29" s="134">
        <f>SUMIFS('Unos prihoda i primitaka'!$H$3:$H$502,'Unos prihoda i primitaka'!$C$3:$C$502,"=51",'Unos prihoda i primitaka'!$L$3:$L$502,"=68")</f>
        <v>0</v>
      </c>
      <c r="K29" s="134">
        <f>SUMIFS('Unos prihoda i primitaka'!$H$3:$H$502,'Unos prihoda i primitaka'!$C$3:$C$502,"=52",'Unos prihoda i primitaka'!$L$3:$L$502,"=68")</f>
        <v>0</v>
      </c>
      <c r="L29" s="134">
        <f>SUMIFS('Unos prihoda i primitaka'!$H$3:$H$502,'Unos prihoda i primitaka'!$C$3:$C$502,"=552",'Unos prihoda i primitaka'!$L$3:$L$502,"=68")</f>
        <v>0</v>
      </c>
      <c r="M29" s="134">
        <f>SUMIFS('Unos prihoda i primitaka'!$H$3:$H$502,'Unos prihoda i primitaka'!$C$3:$C$502,"=559",'Unos prihoda i primitaka'!$L$3:$L$502,"=68")</f>
        <v>0</v>
      </c>
      <c r="N29" s="134">
        <f>SUMIFS('Unos prihoda i primitaka'!$H$3:$H$502,'Unos prihoda i primitaka'!$C$3:$C$502,"=561",'Unos prihoda i primitaka'!$L$3:$L$502,"=68")</f>
        <v>0</v>
      </c>
      <c r="O29" s="134">
        <f>SUMIFS('Unos prihoda i primitaka'!$H$3:$H$502,'Unos prihoda i primitaka'!$C$3:$C$502,"=563",'Unos prihoda i primitaka'!$L$3:$L$502,"=68")</f>
        <v>0</v>
      </c>
      <c r="P29" s="134">
        <f>SUMIFS('Unos prihoda i primitaka'!$H$3:$H$502,'Unos prihoda i primitaka'!$C$3:$C$502,"=573",'Unos prihoda i primitaka'!$L$3:$L$502,"=68")</f>
        <v>0</v>
      </c>
      <c r="Q29" s="134">
        <f>SUMIFS('Unos prihoda i primitaka'!$H$3:$H$502,'Unos prihoda i primitaka'!$C$3:$C$502,"=575",'Unos prihoda i primitaka'!$L$3:$L$502,"=68")</f>
        <v>0</v>
      </c>
      <c r="R29" s="134">
        <f>SUMIFS('Unos prihoda i primitaka'!$H$3:$H$502,'Unos prihoda i primitaka'!$C$3:$C$502,"=576",'Unos prihoda i primitaka'!$L$3:$L$502,"=68")</f>
        <v>0</v>
      </c>
      <c r="S29" s="134">
        <f>SUMIFS('Unos prihoda i primitaka'!$H$3:$H$502,'Unos prihoda i primitaka'!$C$3:$C$502,"=581",'Unos prihoda i primitaka'!$L$3:$L$502,"=68")</f>
        <v>0</v>
      </c>
      <c r="T29" s="134">
        <f>SUMIFS('Unos prihoda i primitaka'!$H$3:$H$502,'Unos prihoda i primitaka'!$C$3:$C$502,"=61",'Unos prihoda i primitaka'!$L$3:$L$502,"=68")</f>
        <v>0</v>
      </c>
      <c r="U29" s="134">
        <f>SUMIFS('Unos prihoda i primitaka'!$H$3:$H$502,'Unos prihoda i primitaka'!$C$3:$C$502,"=63",'Unos prihoda i primitaka'!$L$3:$L$502,"=68")</f>
        <v>0</v>
      </c>
      <c r="V29" s="134">
        <f>SUMIFS('Unos prihoda i primitaka'!$H$3:$H$502,'Unos prihoda i primitaka'!$C$3:$C$502,"=71",'Unos prihoda i primitaka'!$L$3:$L$502,"=68")</f>
        <v>0</v>
      </c>
      <c r="W29" s="94"/>
      <c r="X29" s="94"/>
      <c r="Y29" s="94"/>
      <c r="Z29" s="94"/>
    </row>
    <row r="30" spans="1:26" ht="12.75" customHeight="1">
      <c r="A30" s="102">
        <v>2024</v>
      </c>
      <c r="B30" s="135" t="s">
        <v>3648</v>
      </c>
      <c r="C30" s="136" t="s">
        <v>3649</v>
      </c>
      <c r="D30" s="105">
        <f t="shared" si="4"/>
        <v>37332206.44542449</v>
      </c>
      <c r="E30" s="137">
        <f t="shared" ref="E30:V30" si="6">SUM(E23:E29)</f>
        <v>27727633.370170657</v>
      </c>
      <c r="F30" s="137">
        <f t="shared" si="6"/>
        <v>570172.71524321451</v>
      </c>
      <c r="G30" s="137">
        <f t="shared" si="6"/>
        <v>2096337</v>
      </c>
      <c r="H30" s="137">
        <f t="shared" si="6"/>
        <v>0</v>
      </c>
      <c r="I30" s="137">
        <f t="shared" si="6"/>
        <v>0</v>
      </c>
      <c r="J30" s="137">
        <f t="shared" si="6"/>
        <v>1233195</v>
      </c>
      <c r="K30" s="137">
        <f t="shared" si="6"/>
        <v>2108296</v>
      </c>
      <c r="L30" s="137">
        <f t="shared" si="6"/>
        <v>0</v>
      </c>
      <c r="M30" s="137">
        <f t="shared" si="6"/>
        <v>0</v>
      </c>
      <c r="N30" s="137">
        <f t="shared" si="6"/>
        <v>0</v>
      </c>
      <c r="O30" s="137">
        <f t="shared" si="6"/>
        <v>3548490.3600106174</v>
      </c>
      <c r="P30" s="137">
        <f t="shared" si="6"/>
        <v>0</v>
      </c>
      <c r="Q30" s="137">
        <f t="shared" si="6"/>
        <v>0</v>
      </c>
      <c r="R30" s="137">
        <f t="shared" si="6"/>
        <v>0</v>
      </c>
      <c r="S30" s="137">
        <f t="shared" si="6"/>
        <v>0</v>
      </c>
      <c r="T30" s="137">
        <f t="shared" si="6"/>
        <v>48082</v>
      </c>
      <c r="U30" s="137">
        <f t="shared" si="6"/>
        <v>0</v>
      </c>
      <c r="V30" s="137">
        <f t="shared" si="6"/>
        <v>0</v>
      </c>
      <c r="W30" s="94"/>
      <c r="X30" s="94"/>
      <c r="Y30" s="94"/>
      <c r="Z30" s="94"/>
    </row>
    <row r="31" spans="1:26" ht="12.75" customHeight="1">
      <c r="A31" s="102">
        <v>2024</v>
      </c>
      <c r="B31" s="103" t="s">
        <v>3650</v>
      </c>
      <c r="C31" s="138" t="s">
        <v>3651</v>
      </c>
      <c r="D31" s="105">
        <f t="shared" si="4"/>
        <v>0</v>
      </c>
      <c r="E31" s="134">
        <f>SUMIFS('Unos prihoda i primitaka'!$H$3:$H$502,'Unos prihoda i primitaka'!$C$3:$C$502,"=11",'Unos prihoda i primitaka'!$L$3:$L$502,"=71")</f>
        <v>0</v>
      </c>
      <c r="F31" s="134">
        <f>SUMIFS('Unos prihoda i primitaka'!$H$3:$H$502,'Unos prihoda i primitaka'!$C$3:$C$502,"=12",'Unos prihoda i primitaka'!$L$3:$L$502,"=71")</f>
        <v>0</v>
      </c>
      <c r="G31" s="134">
        <f>SUMIFS('Unos prihoda i primitaka'!$H$3:$H$502,'Unos prihoda i primitaka'!$C$3:$C$502,"=31",'Unos prihoda i primitaka'!$L$3:$L$502,"=71")</f>
        <v>0</v>
      </c>
      <c r="H31" s="134">
        <f>SUMIFS('Unos prihoda i primitaka'!$H$3:$H$502,'Unos prihoda i primitaka'!$C$3:$C$502,"=41",'Unos prihoda i primitaka'!$L$3:$L$502,"=71")</f>
        <v>0</v>
      </c>
      <c r="I31" s="134">
        <f>SUMIFS('Unos prihoda i primitaka'!$H$3:$H$502,'Unos prihoda i primitaka'!$C$3:$C$502,"=43",'Unos prihoda i primitaka'!$L$3:$L$502,"=71")</f>
        <v>0</v>
      </c>
      <c r="J31" s="134">
        <f>SUMIFS('Unos prihoda i primitaka'!$H$3:$H$502,'Unos prihoda i primitaka'!$C$3:$C$502,"=51",'Unos prihoda i primitaka'!$L$3:$L$502,"=71")</f>
        <v>0</v>
      </c>
      <c r="K31" s="134">
        <f>SUMIFS('Unos prihoda i primitaka'!$H$3:$H$502,'Unos prihoda i primitaka'!$C$3:$C$502,"=52",'Unos prihoda i primitaka'!$L$3:$L$502,"=71")</f>
        <v>0</v>
      </c>
      <c r="L31" s="134">
        <f>SUMIFS('Unos prihoda i primitaka'!$H$3:$H$502,'Unos prihoda i primitaka'!$C$3:$C$502,"=552",'Unos prihoda i primitaka'!$L$3:$L$502,"=71")</f>
        <v>0</v>
      </c>
      <c r="M31" s="134">
        <f>SUMIFS('Unos prihoda i primitaka'!$H$3:$H$502,'Unos prihoda i primitaka'!$C$3:$C$502,"=559",'Unos prihoda i primitaka'!$L$3:$L$502,"=71")</f>
        <v>0</v>
      </c>
      <c r="N31" s="134">
        <f>SUMIFS('Unos prihoda i primitaka'!$H$3:$H$502,'Unos prihoda i primitaka'!$C$3:$C$502,"=561",'Unos prihoda i primitaka'!$L$3:$L$502,"=71")</f>
        <v>0</v>
      </c>
      <c r="O31" s="134">
        <f>SUMIFS('Unos prihoda i primitaka'!$H$3:$H$502,'Unos prihoda i primitaka'!$C$3:$C$502,"=563",'Unos prihoda i primitaka'!$L$3:$L$502,"=71")</f>
        <v>0</v>
      </c>
      <c r="P31" s="134">
        <f>SUMIFS('Unos prihoda i primitaka'!$H$3:$H$502,'Unos prihoda i primitaka'!$C$3:$C$502,"=573",'Unos prihoda i primitaka'!$L$3:$L$502,"=71")</f>
        <v>0</v>
      </c>
      <c r="Q31" s="134">
        <f>SUMIFS('Unos prihoda i primitaka'!$H$3:$H$502,'Unos prihoda i primitaka'!$C$3:$C$502,"=575",'Unos prihoda i primitaka'!$L$3:$L$502,"=71")</f>
        <v>0</v>
      </c>
      <c r="R31" s="134">
        <f>SUMIFS('Unos prihoda i primitaka'!$H$3:$H$502,'Unos prihoda i primitaka'!$C$3:$C$502,"=576",'Unos prihoda i primitaka'!$L$3:$L$502,"=71")</f>
        <v>0</v>
      </c>
      <c r="S31" s="134">
        <f>SUMIFS('Unos prihoda i primitaka'!$H$3:$H$502,'Unos prihoda i primitaka'!$C$3:$C$502,"=581",'Unos prihoda i primitaka'!$L$3:$L$502,"=71")</f>
        <v>0</v>
      </c>
      <c r="T31" s="134">
        <f>SUMIFS('Unos prihoda i primitaka'!$H$3:$H$502,'Unos prihoda i primitaka'!$C$3:$C$502,"=61",'Unos prihoda i primitaka'!$L$3:$L$502,"=71")</f>
        <v>0</v>
      </c>
      <c r="U31" s="134">
        <f>SUMIFS('Unos prihoda i primitaka'!$H$3:$H$502,'Unos prihoda i primitaka'!$C$3:$C$502,"=63",'Unos prihoda i primitaka'!$L$3:$L$502,"=71")</f>
        <v>0</v>
      </c>
      <c r="V31" s="134">
        <f>SUMIFS('Unos prihoda i primitaka'!$H$3:$H$502,'Unos prihoda i primitaka'!$C$3:$C$502,"=71",'Unos prihoda i primitaka'!$L$3:$L$502,"=71")</f>
        <v>0</v>
      </c>
      <c r="W31" s="94"/>
      <c r="X31" s="94"/>
      <c r="Y31" s="94"/>
      <c r="Z31" s="94"/>
    </row>
    <row r="32" spans="1:26" ht="12.75" customHeight="1">
      <c r="A32" s="102">
        <v>2024</v>
      </c>
      <c r="B32" s="103" t="s">
        <v>3652</v>
      </c>
      <c r="C32" s="138" t="s">
        <v>3653</v>
      </c>
      <c r="D32" s="105">
        <f t="shared" si="4"/>
        <v>0</v>
      </c>
      <c r="E32" s="134">
        <f>SUMIFS('Unos prihoda i primitaka'!$H$3:$H$502,'Unos prihoda i primitaka'!$C$3:$C$502,"=11",'Unos prihoda i primitaka'!$L$3:$L$502,"=72")</f>
        <v>0</v>
      </c>
      <c r="F32" s="134">
        <f>SUMIFS('Unos prihoda i primitaka'!$H$3:$H$502,'Unos prihoda i primitaka'!$C$3:$C$502,"=12",'Unos prihoda i primitaka'!$L$3:$L$502,"=72")</f>
        <v>0</v>
      </c>
      <c r="G32" s="134">
        <f>SUMIFS('Unos prihoda i primitaka'!$H$3:$H$502,'Unos prihoda i primitaka'!$C$3:$C$502,"=31",'Unos prihoda i primitaka'!$L$3:$L$502,"=72")</f>
        <v>0</v>
      </c>
      <c r="H32" s="134">
        <f>SUMIFS('Unos prihoda i primitaka'!$H$3:$H$502,'Unos prihoda i primitaka'!$C$3:$C$502,"=41",'Unos prihoda i primitaka'!$L$3:$L$502,"=72")</f>
        <v>0</v>
      </c>
      <c r="I32" s="134">
        <f>SUMIFS('Unos prihoda i primitaka'!$H$3:$H$502,'Unos prihoda i primitaka'!$C$3:$C$502,"=43",'Unos prihoda i primitaka'!$L$3:$L$502,"=72")</f>
        <v>0</v>
      </c>
      <c r="J32" s="134">
        <f>SUMIFS('Unos prihoda i primitaka'!$H$3:$H$502,'Unos prihoda i primitaka'!$C$3:$C$502,"=51",'Unos prihoda i primitaka'!$L$3:$L$502,"=72")</f>
        <v>0</v>
      </c>
      <c r="K32" s="134">
        <f>SUMIFS('Unos prihoda i primitaka'!$H$3:$H$502,'Unos prihoda i primitaka'!$C$3:$C$502,"=52",'Unos prihoda i primitaka'!$L$3:$L$502,"=72")</f>
        <v>0</v>
      </c>
      <c r="L32" s="134">
        <f>SUMIFS('Unos prihoda i primitaka'!$H$3:$H$502,'Unos prihoda i primitaka'!$C$3:$C$502,"=552",'Unos prihoda i primitaka'!$L$3:$L$502,"=72")</f>
        <v>0</v>
      </c>
      <c r="M32" s="134">
        <f>SUMIFS('Unos prihoda i primitaka'!$H$3:$H$502,'Unos prihoda i primitaka'!$C$3:$C$502,"=559",'Unos prihoda i primitaka'!$L$3:$L$502,"=72")</f>
        <v>0</v>
      </c>
      <c r="N32" s="134">
        <f>SUMIFS('Unos prihoda i primitaka'!$H$3:$H$502,'Unos prihoda i primitaka'!$C$3:$C$502,"=561",'Unos prihoda i primitaka'!$L$3:$L$502,"=72")</f>
        <v>0</v>
      </c>
      <c r="O32" s="134">
        <f>SUMIFS('Unos prihoda i primitaka'!$H$3:$H$502,'Unos prihoda i primitaka'!$C$3:$C$502,"=563",'Unos prihoda i primitaka'!$L$3:$L$502,"=72")</f>
        <v>0</v>
      </c>
      <c r="P32" s="134">
        <f>SUMIFS('Unos prihoda i primitaka'!$H$3:$H$502,'Unos prihoda i primitaka'!$C$3:$C$502,"=573",'Unos prihoda i primitaka'!$L$3:$L$502,"=72")</f>
        <v>0</v>
      </c>
      <c r="Q32" s="134">
        <f>SUMIFS('Unos prihoda i primitaka'!$H$3:$H$502,'Unos prihoda i primitaka'!$C$3:$C$502,"=575",'Unos prihoda i primitaka'!$L$3:$L$502,"=72")</f>
        <v>0</v>
      </c>
      <c r="R32" s="134">
        <f>SUMIFS('Unos prihoda i primitaka'!$H$3:$H$502,'Unos prihoda i primitaka'!$C$3:$C$502,"=576",'Unos prihoda i primitaka'!$L$3:$L$502,"=72")</f>
        <v>0</v>
      </c>
      <c r="S32" s="134">
        <f>SUMIFS('Unos prihoda i primitaka'!$H$3:$H$502,'Unos prihoda i primitaka'!$C$3:$C$502,"=581",'Unos prihoda i primitaka'!$L$3:$L$502,"=72")</f>
        <v>0</v>
      </c>
      <c r="T32" s="134">
        <f>SUMIFS('Unos prihoda i primitaka'!$H$3:$H$502,'Unos prihoda i primitaka'!$C$3:$C$502,"=61",'Unos prihoda i primitaka'!$L$3:$L$502,"=72")</f>
        <v>0</v>
      </c>
      <c r="U32" s="134">
        <f>SUMIFS('Unos prihoda i primitaka'!$H$3:$H$502,'Unos prihoda i primitaka'!$C$3:$C$502,"=63",'Unos prihoda i primitaka'!$L$3:$L$502,"=72")</f>
        <v>0</v>
      </c>
      <c r="V32" s="134">
        <f>SUMIFS('Unos prihoda i primitaka'!$H$3:$H$502,'Unos prihoda i primitaka'!$C$3:$C$502,"=71",'Unos prihoda i primitaka'!$L$3:$L$502,"=72")</f>
        <v>0</v>
      </c>
      <c r="W32" s="94"/>
      <c r="X32" s="94"/>
      <c r="Y32" s="94"/>
      <c r="Z32" s="94"/>
    </row>
    <row r="33" spans="1:26" ht="12.75" customHeight="1">
      <c r="A33" s="102">
        <v>2024</v>
      </c>
      <c r="B33" s="135" t="s">
        <v>3654</v>
      </c>
      <c r="C33" s="136" t="s">
        <v>3649</v>
      </c>
      <c r="D33" s="105">
        <f t="shared" si="4"/>
        <v>0</v>
      </c>
      <c r="E33" s="137">
        <f t="shared" ref="E33:V33" si="7">SUM(E31:E32)</f>
        <v>0</v>
      </c>
      <c r="F33" s="137">
        <f t="shared" si="7"/>
        <v>0</v>
      </c>
      <c r="G33" s="137">
        <f t="shared" si="7"/>
        <v>0</v>
      </c>
      <c r="H33" s="137">
        <f t="shared" si="7"/>
        <v>0</v>
      </c>
      <c r="I33" s="137">
        <f t="shared" si="7"/>
        <v>0</v>
      </c>
      <c r="J33" s="137">
        <f t="shared" si="7"/>
        <v>0</v>
      </c>
      <c r="K33" s="137">
        <f t="shared" si="7"/>
        <v>0</v>
      </c>
      <c r="L33" s="137">
        <f t="shared" si="7"/>
        <v>0</v>
      </c>
      <c r="M33" s="137">
        <f t="shared" si="7"/>
        <v>0</v>
      </c>
      <c r="N33" s="137">
        <f t="shared" si="7"/>
        <v>0</v>
      </c>
      <c r="O33" s="137">
        <f t="shared" si="7"/>
        <v>0</v>
      </c>
      <c r="P33" s="137">
        <f t="shared" si="7"/>
        <v>0</v>
      </c>
      <c r="Q33" s="137">
        <f t="shared" si="7"/>
        <v>0</v>
      </c>
      <c r="R33" s="137">
        <f t="shared" si="7"/>
        <v>0</v>
      </c>
      <c r="S33" s="137">
        <f t="shared" si="7"/>
        <v>0</v>
      </c>
      <c r="T33" s="137">
        <f t="shared" si="7"/>
        <v>0</v>
      </c>
      <c r="U33" s="137">
        <f t="shared" si="7"/>
        <v>0</v>
      </c>
      <c r="V33" s="137">
        <f t="shared" si="7"/>
        <v>0</v>
      </c>
      <c r="W33" s="94"/>
      <c r="X33" s="94"/>
      <c r="Y33" s="94"/>
      <c r="Z33" s="94"/>
    </row>
    <row r="34" spans="1:26" ht="12.75" customHeight="1">
      <c r="A34" s="93"/>
      <c r="B34" s="117"/>
      <c r="C34" s="117"/>
      <c r="D34" s="117"/>
      <c r="E34" s="117"/>
      <c r="F34" s="117"/>
      <c r="G34" s="117"/>
      <c r="H34" s="117"/>
      <c r="I34" s="118"/>
      <c r="J34" s="119"/>
      <c r="K34" s="119"/>
      <c r="L34" s="119"/>
      <c r="M34" s="119"/>
      <c r="N34" s="119"/>
      <c r="O34" s="119"/>
      <c r="P34" s="119"/>
      <c r="Q34" s="119"/>
      <c r="R34" s="119"/>
      <c r="S34" s="96"/>
      <c r="T34" s="93"/>
      <c r="U34" s="93"/>
      <c r="V34" s="93"/>
      <c r="W34" s="93"/>
      <c r="X34" s="93"/>
      <c r="Y34" s="93"/>
      <c r="Z34" s="93"/>
    </row>
    <row r="35" spans="1:26" ht="102">
      <c r="A35" s="97" t="s">
        <v>3598</v>
      </c>
      <c r="B35" s="98" t="s">
        <v>3599</v>
      </c>
      <c r="C35" s="98" t="s">
        <v>3600</v>
      </c>
      <c r="D35" s="99" t="s">
        <v>3601</v>
      </c>
      <c r="E35" s="121" t="s">
        <v>3602</v>
      </c>
      <c r="F35" s="121" t="s">
        <v>3603</v>
      </c>
      <c r="G35" s="121" t="s">
        <v>3604</v>
      </c>
      <c r="H35" s="121" t="s">
        <v>3605</v>
      </c>
      <c r="I35" s="121" t="s">
        <v>3606</v>
      </c>
      <c r="J35" s="121" t="s">
        <v>3607</v>
      </c>
      <c r="K35" s="121" t="s">
        <v>3608</v>
      </c>
      <c r="L35" s="121" t="s">
        <v>3609</v>
      </c>
      <c r="M35" s="121" t="s">
        <v>3610</v>
      </c>
      <c r="N35" s="121" t="s">
        <v>3611</v>
      </c>
      <c r="O35" s="121" t="s">
        <v>3612</v>
      </c>
      <c r="P35" s="121" t="s">
        <v>3613</v>
      </c>
      <c r="Q35" s="121" t="s">
        <v>3614</v>
      </c>
      <c r="R35" s="121" t="s">
        <v>3615</v>
      </c>
      <c r="S35" s="101" t="s">
        <v>3616</v>
      </c>
      <c r="T35" s="101" t="s">
        <v>3617</v>
      </c>
      <c r="U35" s="101" t="s">
        <v>3618</v>
      </c>
      <c r="V35" s="101" t="s">
        <v>3619</v>
      </c>
      <c r="W35" s="94"/>
      <c r="X35" s="94"/>
      <c r="Y35" s="94"/>
      <c r="Z35" s="94"/>
    </row>
    <row r="36" spans="1:26" ht="20.25" customHeight="1">
      <c r="A36" s="102">
        <v>2025</v>
      </c>
      <c r="B36" s="115">
        <v>2025</v>
      </c>
      <c r="C36" s="115" t="s">
        <v>3633</v>
      </c>
      <c r="D36" s="116">
        <f t="shared" ref="D36:D47" si="8">SUM(E36:V36)</f>
        <v>31961159.370170657</v>
      </c>
      <c r="E36" s="116">
        <f t="shared" ref="E36:V36" si="9">+E47+E44</f>
        <v>27718987.370170657</v>
      </c>
      <c r="F36" s="116">
        <f t="shared" si="9"/>
        <v>0</v>
      </c>
      <c r="G36" s="116">
        <f t="shared" si="9"/>
        <v>2201155</v>
      </c>
      <c r="H36" s="116">
        <f t="shared" si="9"/>
        <v>0</v>
      </c>
      <c r="I36" s="116">
        <f t="shared" si="9"/>
        <v>0</v>
      </c>
      <c r="J36" s="116">
        <f t="shared" si="9"/>
        <v>969549</v>
      </c>
      <c r="K36" s="116">
        <f t="shared" si="9"/>
        <v>995343</v>
      </c>
      <c r="L36" s="116">
        <f t="shared" si="9"/>
        <v>0</v>
      </c>
      <c r="M36" s="116">
        <f t="shared" si="9"/>
        <v>0</v>
      </c>
      <c r="N36" s="116">
        <f t="shared" si="9"/>
        <v>0</v>
      </c>
      <c r="O36" s="116">
        <f t="shared" si="9"/>
        <v>0</v>
      </c>
      <c r="P36" s="116">
        <f t="shared" si="9"/>
        <v>0</v>
      </c>
      <c r="Q36" s="116">
        <f t="shared" si="9"/>
        <v>0</v>
      </c>
      <c r="R36" s="116">
        <f t="shared" si="9"/>
        <v>0</v>
      </c>
      <c r="S36" s="116">
        <f t="shared" si="9"/>
        <v>0</v>
      </c>
      <c r="T36" s="116">
        <f t="shared" si="9"/>
        <v>76125</v>
      </c>
      <c r="U36" s="116">
        <f t="shared" si="9"/>
        <v>0</v>
      </c>
      <c r="V36" s="116">
        <f t="shared" si="9"/>
        <v>0</v>
      </c>
      <c r="W36" s="94"/>
      <c r="X36" s="94"/>
      <c r="Y36" s="94"/>
      <c r="Z36" s="94"/>
    </row>
    <row r="37" spans="1:26" ht="12.75" customHeight="1">
      <c r="A37" s="102">
        <v>2025</v>
      </c>
      <c r="B37" s="132" t="s">
        <v>3634</v>
      </c>
      <c r="C37" s="133" t="s">
        <v>3635</v>
      </c>
      <c r="D37" s="105">
        <f t="shared" si="8"/>
        <v>0</v>
      </c>
      <c r="E37" s="134">
        <f>SUMIFS('Unos prihoda i primitaka'!$I$3:$I$502,'Unos prihoda i primitaka'!$C$3:$C$502,"=11",'Unos prihoda i primitaka'!$L$3:$L$502,"=61")</f>
        <v>0</v>
      </c>
      <c r="F37" s="134">
        <f>SUMIFS('Unos prihoda i primitaka'!$I$3:$I$502,'Unos prihoda i primitaka'!$C$3:$C$502,"=12",'Unos prihoda i primitaka'!$L$3:$L$502,"=61")</f>
        <v>0</v>
      </c>
      <c r="G37" s="134">
        <f>SUMIFS('Unos prihoda i primitaka'!$I$3:$I$502,'Unos prihoda i primitaka'!$C$3:$C$502,"=31",'Unos prihoda i primitaka'!$L$3:$L$502,"=61")</f>
        <v>0</v>
      </c>
      <c r="H37" s="134">
        <f>SUMIFS('Unos prihoda i primitaka'!$I$3:$I$502,'Unos prihoda i primitaka'!$C$3:$C$502,"=41",'Unos prihoda i primitaka'!$L$3:$L$502,"=61")</f>
        <v>0</v>
      </c>
      <c r="I37" s="134">
        <f>SUMIFS('Unos prihoda i primitaka'!$I$3:$I$502,'Unos prihoda i primitaka'!$C$3:$C$502,"=43",'Unos prihoda i primitaka'!$L$3:$L$502,"=61")</f>
        <v>0</v>
      </c>
      <c r="J37" s="134">
        <f>SUMIFS('Unos prihoda i primitaka'!$I$3:$I$502,'Unos prihoda i primitaka'!$C$3:$C$502,"=51",'Unos prihoda i primitaka'!$L$3:$L$502,"=61")</f>
        <v>0</v>
      </c>
      <c r="K37" s="134">
        <f>SUMIFS('Unos prihoda i primitaka'!$I$3:$I$502,'Unos prihoda i primitaka'!$C$3:$C$502,"=52",'Unos prihoda i primitaka'!$L$3:$L$502,"=61")</f>
        <v>0</v>
      </c>
      <c r="L37" s="134">
        <f>SUMIFS('Unos prihoda i primitaka'!$I$3:$I$502,'Unos prihoda i primitaka'!$C$3:$C$502,"=552",'Unos prihoda i primitaka'!$L$3:$L$502,"=61")</f>
        <v>0</v>
      </c>
      <c r="M37" s="134">
        <f>SUMIFS('Unos prihoda i primitaka'!$I$3:$I$502,'Unos prihoda i primitaka'!$C$3:$C$502,"=559",'Unos prihoda i primitaka'!$L$3:$L$502,"=61")</f>
        <v>0</v>
      </c>
      <c r="N37" s="134">
        <f>SUMIFS('Unos prihoda i primitaka'!$I$3:$I$502,'Unos prihoda i primitaka'!$C$3:$C$502,"=561",'Unos prihoda i primitaka'!$L$3:$L$502,"=61")</f>
        <v>0</v>
      </c>
      <c r="O37" s="134">
        <f>SUMIFS('Unos prihoda i primitaka'!$I$3:$I$502,'Unos prihoda i primitaka'!$C$3:$C$502,"=563",'Unos prihoda i primitaka'!$L$3:$L$502,"=61")</f>
        <v>0</v>
      </c>
      <c r="P37" s="134">
        <f>SUMIFS('Unos prihoda i primitaka'!$I$3:$I$502,'Unos prihoda i primitaka'!$C$3:$C$502,"=573",'Unos prihoda i primitaka'!$L$3:$L$502,"=61")</f>
        <v>0</v>
      </c>
      <c r="Q37" s="134">
        <f>SUMIFS('Unos prihoda i primitaka'!$I$3:$I$502,'Unos prihoda i primitaka'!$C$3:$C$502,"=575",'Unos prihoda i primitaka'!$L$3:$L$502,"=61")</f>
        <v>0</v>
      </c>
      <c r="R37" s="134">
        <f>SUMIFS('Unos prihoda i primitaka'!$I$3:$I$502,'Unos prihoda i primitaka'!$C$3:$C$502,"=576",'Unos prihoda i primitaka'!$L$3:$L$502,"=61")</f>
        <v>0</v>
      </c>
      <c r="S37" s="134">
        <f>SUMIFS('Unos prihoda i primitaka'!$I$3:$I$502,'Unos prihoda i primitaka'!$C$3:$C$502,"=581",'Unos prihoda i primitaka'!$L$3:$L$502,"=61")</f>
        <v>0</v>
      </c>
      <c r="T37" s="134">
        <f>SUMIFS('Unos prihoda i primitaka'!$I$3:$I$502,'Unos prihoda i primitaka'!$C$3:$C$502,"=61",'Unos prihoda i primitaka'!$L$3:$L$502,"=61")</f>
        <v>0</v>
      </c>
      <c r="U37" s="134">
        <f>SUMIFS('Unos prihoda i primitaka'!$I$3:$I$502,'Unos prihoda i primitaka'!$C$3:$C$502,"=63",'Unos prihoda i primitaka'!$L$3:$L$502,"=61")</f>
        <v>0</v>
      </c>
      <c r="V37" s="134">
        <f>SUMIFS('Unos prihoda i primitaka'!$I$3:$I$502,'Unos prihoda i primitaka'!$C$3:$C$502,"=71",'Unos prihoda i primitaka'!$L$3:$L$502,"=61")</f>
        <v>0</v>
      </c>
      <c r="W37" s="94"/>
      <c r="X37" s="94"/>
      <c r="Y37" s="94"/>
      <c r="Z37" s="94"/>
    </row>
    <row r="38" spans="1:26" ht="12.75" customHeight="1">
      <c r="A38" s="102">
        <v>2025</v>
      </c>
      <c r="B38" s="132" t="s">
        <v>3636</v>
      </c>
      <c r="C38" s="133" t="s">
        <v>3637</v>
      </c>
      <c r="D38" s="105">
        <f t="shared" si="8"/>
        <v>1964892</v>
      </c>
      <c r="E38" s="134">
        <f>SUMIFS('Unos prihoda i primitaka'!$I$3:$I$502,'Unos prihoda i primitaka'!$C$3:$C$502,"=11",'Unos prihoda i primitaka'!$L$3:$L$502,"=63")</f>
        <v>0</v>
      </c>
      <c r="F38" s="134">
        <f>SUMIFS('Unos prihoda i primitaka'!$I$3:$I$502,'Unos prihoda i primitaka'!$C$3:$C$502,"=12",'Unos prihoda i primitaka'!$L$3:$L$502,"=63")</f>
        <v>0</v>
      </c>
      <c r="G38" s="134">
        <f>SUMIFS('Unos prihoda i primitaka'!$I$3:$I$502,'Unos prihoda i primitaka'!$C$3:$C$502,"=31",'Unos prihoda i primitaka'!$L$3:$L$502,"=63")</f>
        <v>0</v>
      </c>
      <c r="H38" s="134">
        <f>SUMIFS('Unos prihoda i primitaka'!$I$3:$I$502,'Unos prihoda i primitaka'!$C$3:$C$502,"=41",'Unos prihoda i primitaka'!$L$3:$L$502,"=63")</f>
        <v>0</v>
      </c>
      <c r="I38" s="134">
        <f>SUMIFS('Unos prihoda i primitaka'!$I$3:$I$502,'Unos prihoda i primitaka'!$C$3:$C$502,"=43",'Unos prihoda i primitaka'!$L$3:$L$502,"=63")</f>
        <v>0</v>
      </c>
      <c r="J38" s="134">
        <f>SUMIFS('Unos prihoda i primitaka'!$I$3:$I$502,'Unos prihoda i primitaka'!$C$3:$C$502,"=51",'Unos prihoda i primitaka'!$L$3:$L$502,"=63")</f>
        <v>969549</v>
      </c>
      <c r="K38" s="134">
        <f>SUMIFS('Unos prihoda i primitaka'!$I$3:$I$502,'Unos prihoda i primitaka'!$C$3:$C$502,"=52",'Unos prihoda i primitaka'!$L$3:$L$502,"=63")</f>
        <v>995343</v>
      </c>
      <c r="L38" s="134">
        <f>SUMIFS('Unos prihoda i primitaka'!$I$3:$I$502,'Unos prihoda i primitaka'!$C$3:$C$502,"=552",'Unos prihoda i primitaka'!$L$3:$L$502,"=63")</f>
        <v>0</v>
      </c>
      <c r="M38" s="134">
        <f>SUMIFS('Unos prihoda i primitaka'!$I$3:$I$502,'Unos prihoda i primitaka'!$C$3:$C$502,"=559",'Unos prihoda i primitaka'!$L$3:$L$502,"=63")</f>
        <v>0</v>
      </c>
      <c r="N38" s="134">
        <f>SUMIFS('Unos prihoda i primitaka'!$I$3:$I$502,'Unos prihoda i primitaka'!$C$3:$C$502,"=561",'Unos prihoda i primitaka'!$L$3:$L$502,"=63")</f>
        <v>0</v>
      </c>
      <c r="O38" s="134">
        <f>SUMIFS('Unos prihoda i primitaka'!$I$3:$I$502,'Unos prihoda i primitaka'!$C$3:$C$502,"=563",'Unos prihoda i primitaka'!$L$3:$L$502,"=63")</f>
        <v>0</v>
      </c>
      <c r="P38" s="134">
        <f>SUMIFS('Unos prihoda i primitaka'!$I$3:$I$502,'Unos prihoda i primitaka'!$C$3:$C$502,"=573",'Unos prihoda i primitaka'!$L$3:$L$502,"=63")</f>
        <v>0</v>
      </c>
      <c r="Q38" s="134">
        <f>SUMIFS('Unos prihoda i primitaka'!$I$3:$I$502,'Unos prihoda i primitaka'!$C$3:$C$502,"=575",'Unos prihoda i primitaka'!$L$3:$L$502,"=63")</f>
        <v>0</v>
      </c>
      <c r="R38" s="134">
        <f>SUMIFS('Unos prihoda i primitaka'!$I$3:$I$502,'Unos prihoda i primitaka'!$C$3:$C$502,"=576",'Unos prihoda i primitaka'!$L$3:$L$502,"=63")</f>
        <v>0</v>
      </c>
      <c r="S38" s="134">
        <f>SUMIFS('Unos prihoda i primitaka'!$I$3:$I$502,'Unos prihoda i primitaka'!$C$3:$C$502,"=581",'Unos prihoda i primitaka'!$L$3:$L$502,"=63")</f>
        <v>0</v>
      </c>
      <c r="T38" s="134">
        <f>SUMIFS('Unos prihoda i primitaka'!$I$3:$I$502,'Unos prihoda i primitaka'!$C$3:$C$502,"=61",'Unos prihoda i primitaka'!$L$3:$L$502,"=63")</f>
        <v>0</v>
      </c>
      <c r="U38" s="134">
        <f>SUMIFS('Unos prihoda i primitaka'!$I$3:$I$502,'Unos prihoda i primitaka'!$C$3:$C$502,"=63",'Unos prihoda i primitaka'!$L$3:$L$502,"=63")</f>
        <v>0</v>
      </c>
      <c r="V38" s="134">
        <f>SUMIFS('Unos prihoda i primitaka'!$I$3:$I$502,'Unos prihoda i primitaka'!$C$3:$C$502,"=71",'Unos prihoda i primitaka'!$L$3:$L$502,"=63")</f>
        <v>0</v>
      </c>
      <c r="W38" s="94"/>
      <c r="X38" s="94"/>
      <c r="Y38" s="94"/>
      <c r="Z38" s="94"/>
    </row>
    <row r="39" spans="1:26" ht="12.75" customHeight="1">
      <c r="A39" s="102">
        <v>2025</v>
      </c>
      <c r="B39" s="103" t="s">
        <v>3638</v>
      </c>
      <c r="C39" s="104" t="s">
        <v>3639</v>
      </c>
      <c r="D39" s="105">
        <f t="shared" si="8"/>
        <v>0</v>
      </c>
      <c r="E39" s="134">
        <f>SUMIFS('Unos prihoda i primitaka'!$I$3:$I$502,'Unos prihoda i primitaka'!$C$3:$C$502,"=11",'Unos prihoda i primitaka'!$L$3:$L$502,"=64")</f>
        <v>0</v>
      </c>
      <c r="F39" s="134">
        <f>SUMIFS('Unos prihoda i primitaka'!$I$3:$I$502,'Unos prihoda i primitaka'!$C$3:$C$502,"=12",'Unos prihoda i primitaka'!$L$3:$L$502,"=64")</f>
        <v>0</v>
      </c>
      <c r="G39" s="134">
        <f>SUMIFS('Unos prihoda i primitaka'!$I$3:$I$502,'Unos prihoda i primitaka'!$C$3:$C$502,"=31",'Unos prihoda i primitaka'!$L$3:$L$502,"=64")</f>
        <v>0</v>
      </c>
      <c r="H39" s="134">
        <f>SUMIFS('Unos prihoda i primitaka'!$I$3:$I$502,'Unos prihoda i primitaka'!$C$3:$C$502,"=41",'Unos prihoda i primitaka'!$L$3:$L$502,"=64")</f>
        <v>0</v>
      </c>
      <c r="I39" s="134">
        <f>SUMIFS('Unos prihoda i primitaka'!$I$3:$I$502,'Unos prihoda i primitaka'!$C$3:$C$502,"=43",'Unos prihoda i primitaka'!$L$3:$L$502,"=64")</f>
        <v>0</v>
      </c>
      <c r="J39" s="134">
        <f>SUMIFS('Unos prihoda i primitaka'!$I$3:$I$502,'Unos prihoda i primitaka'!$C$3:$C$502,"=51",'Unos prihoda i primitaka'!$L$3:$L$502,"=64")</f>
        <v>0</v>
      </c>
      <c r="K39" s="134">
        <f>SUMIFS('Unos prihoda i primitaka'!$I$3:$I$502,'Unos prihoda i primitaka'!$C$3:$C$502,"=52",'Unos prihoda i primitaka'!$L$3:$L$502,"=64")</f>
        <v>0</v>
      </c>
      <c r="L39" s="134">
        <f>SUMIFS('Unos prihoda i primitaka'!$I$3:$I$502,'Unos prihoda i primitaka'!$C$3:$C$502,"=552",'Unos prihoda i primitaka'!$L$3:$L$502,"=64")</f>
        <v>0</v>
      </c>
      <c r="M39" s="134">
        <f>SUMIFS('Unos prihoda i primitaka'!$I$3:$I$502,'Unos prihoda i primitaka'!$C$3:$C$502,"=559",'Unos prihoda i primitaka'!$L$3:$L$502,"=64")</f>
        <v>0</v>
      </c>
      <c r="N39" s="134">
        <f>SUMIFS('Unos prihoda i primitaka'!$I$3:$I$502,'Unos prihoda i primitaka'!$C$3:$C$502,"=561",'Unos prihoda i primitaka'!$L$3:$L$502,"=64")</f>
        <v>0</v>
      </c>
      <c r="O39" s="134">
        <f>SUMIFS('Unos prihoda i primitaka'!$I$3:$I$502,'Unos prihoda i primitaka'!$C$3:$C$502,"=563",'Unos prihoda i primitaka'!$L$3:$L$502,"=64")</f>
        <v>0</v>
      </c>
      <c r="P39" s="134">
        <f>SUMIFS('Unos prihoda i primitaka'!$I$3:$I$502,'Unos prihoda i primitaka'!$C$3:$C$502,"=573",'Unos prihoda i primitaka'!$L$3:$L$502,"=64")</f>
        <v>0</v>
      </c>
      <c r="Q39" s="134">
        <f>SUMIFS('Unos prihoda i primitaka'!$I$3:$I$502,'Unos prihoda i primitaka'!$C$3:$C$502,"=575",'Unos prihoda i primitaka'!$L$3:$L$502,"=64")</f>
        <v>0</v>
      </c>
      <c r="R39" s="134">
        <f>SUMIFS('Unos prihoda i primitaka'!$I$3:$I$502,'Unos prihoda i primitaka'!$C$3:$C$502,"=576",'Unos prihoda i primitaka'!$L$3:$L$502,"=64")</f>
        <v>0</v>
      </c>
      <c r="S39" s="134">
        <f>SUMIFS('Unos prihoda i primitaka'!$I$3:$I$502,'Unos prihoda i primitaka'!$C$3:$C$502,"=581",'Unos prihoda i primitaka'!$L$3:$L$502,"=64")</f>
        <v>0</v>
      </c>
      <c r="T39" s="134">
        <f>SUMIFS('Unos prihoda i primitaka'!$I$3:$I$502,'Unos prihoda i primitaka'!$C$3:$C$502,"=61",'Unos prihoda i primitaka'!$L$3:$L$502,"=64")</f>
        <v>0</v>
      </c>
      <c r="U39" s="134">
        <f>SUMIFS('Unos prihoda i primitaka'!$I$3:$I$502,'Unos prihoda i primitaka'!$C$3:$C$502,"=63",'Unos prihoda i primitaka'!$L$3:$L$502,"=64")</f>
        <v>0</v>
      </c>
      <c r="V39" s="134">
        <f>SUMIFS('Unos prihoda i primitaka'!$I$3:$I$502,'Unos prihoda i primitaka'!$C$3:$C$502,"=71",'Unos prihoda i primitaka'!$L$3:$L$502,"=64")</f>
        <v>0</v>
      </c>
      <c r="W39" s="94"/>
      <c r="X39" s="94"/>
      <c r="Y39" s="94"/>
      <c r="Z39" s="94"/>
    </row>
    <row r="40" spans="1:26" ht="12.75" customHeight="1">
      <c r="A40" s="102">
        <v>2025</v>
      </c>
      <c r="B40" s="103" t="s">
        <v>3640</v>
      </c>
      <c r="C40" s="104" t="s">
        <v>3641</v>
      </c>
      <c r="D40" s="105">
        <f t="shared" si="8"/>
        <v>0</v>
      </c>
      <c r="E40" s="134">
        <f>SUMIFS('Unos prihoda i primitaka'!$I$3:$I$502,'Unos prihoda i primitaka'!$C$3:$C$502,"=11",'Unos prihoda i primitaka'!$L$3:$L$502,"=65")</f>
        <v>0</v>
      </c>
      <c r="F40" s="134">
        <f>SUMIFS('Unos prihoda i primitaka'!$I$3:$I$502,'Unos prihoda i primitaka'!$C$3:$C$502,"=12",'Unos prihoda i primitaka'!$L$3:$L$502,"=65")</f>
        <v>0</v>
      </c>
      <c r="G40" s="134">
        <f>SUMIFS('Unos prihoda i primitaka'!$I$3:$I$502,'Unos prihoda i primitaka'!$C$3:$C$502,"=31",'Unos prihoda i primitaka'!$L$3:$L$502,"=65")</f>
        <v>0</v>
      </c>
      <c r="H40" s="134">
        <f>SUMIFS('Unos prihoda i primitaka'!$I$3:$I$502,'Unos prihoda i primitaka'!$C$3:$C$502,"=41",'Unos prihoda i primitaka'!$L$3:$L$502,"=65")</f>
        <v>0</v>
      </c>
      <c r="I40" s="134">
        <f>SUMIFS('Unos prihoda i primitaka'!$I$3:$I$502,'Unos prihoda i primitaka'!$C$3:$C$502,"=43",'Unos prihoda i primitaka'!$L$3:$L$502,"=65")</f>
        <v>0</v>
      </c>
      <c r="J40" s="134">
        <f>SUMIFS('Unos prihoda i primitaka'!$I$3:$I$502,'Unos prihoda i primitaka'!$C$3:$C$502,"=51",'Unos prihoda i primitaka'!$L$3:$L$502,"=65")</f>
        <v>0</v>
      </c>
      <c r="K40" s="134">
        <f>SUMIFS('Unos prihoda i primitaka'!$I$3:$I$502,'Unos prihoda i primitaka'!$C$3:$C$502,"=52",'Unos prihoda i primitaka'!$L$3:$L$502,"=65")</f>
        <v>0</v>
      </c>
      <c r="L40" s="134">
        <f>SUMIFS('Unos prihoda i primitaka'!$I$3:$I$502,'Unos prihoda i primitaka'!$C$3:$C$502,"=552",'Unos prihoda i primitaka'!$L$3:$L$502,"=65")</f>
        <v>0</v>
      </c>
      <c r="M40" s="134">
        <f>SUMIFS('Unos prihoda i primitaka'!$I$3:$I$502,'Unos prihoda i primitaka'!$C$3:$C$502,"=559",'Unos prihoda i primitaka'!$L$3:$L$502,"=65")</f>
        <v>0</v>
      </c>
      <c r="N40" s="134">
        <f>SUMIFS('Unos prihoda i primitaka'!$I$3:$I$502,'Unos prihoda i primitaka'!$C$3:$C$502,"=561",'Unos prihoda i primitaka'!$L$3:$L$502,"=65")</f>
        <v>0</v>
      </c>
      <c r="O40" s="134">
        <f>SUMIFS('Unos prihoda i primitaka'!$I$3:$I$502,'Unos prihoda i primitaka'!$C$3:$C$502,"=563",'Unos prihoda i primitaka'!$L$3:$L$502,"=65")</f>
        <v>0</v>
      </c>
      <c r="P40" s="134">
        <f>SUMIFS('Unos prihoda i primitaka'!$I$3:$I$502,'Unos prihoda i primitaka'!$C$3:$C$502,"=573",'Unos prihoda i primitaka'!$L$3:$L$502,"=65")</f>
        <v>0</v>
      </c>
      <c r="Q40" s="134">
        <f>SUMIFS('Unos prihoda i primitaka'!$I$3:$I$502,'Unos prihoda i primitaka'!$C$3:$C$502,"=575",'Unos prihoda i primitaka'!$L$3:$L$502,"=65")</f>
        <v>0</v>
      </c>
      <c r="R40" s="134">
        <f>SUMIFS('Unos prihoda i primitaka'!$I$3:$I$502,'Unos prihoda i primitaka'!$C$3:$C$502,"=576",'Unos prihoda i primitaka'!$L$3:$L$502,"=65")</f>
        <v>0</v>
      </c>
      <c r="S40" s="134">
        <f>SUMIFS('Unos prihoda i primitaka'!$I$3:$I$502,'Unos prihoda i primitaka'!$C$3:$C$502,"=581",'Unos prihoda i primitaka'!$L$3:$L$502,"=65")</f>
        <v>0</v>
      </c>
      <c r="T40" s="134">
        <f>SUMIFS('Unos prihoda i primitaka'!$I$3:$I$502,'Unos prihoda i primitaka'!$C$3:$C$502,"=61",'Unos prihoda i primitaka'!$L$3:$L$502,"=65")</f>
        <v>0</v>
      </c>
      <c r="U40" s="134">
        <f>SUMIFS('Unos prihoda i primitaka'!$I$3:$I$502,'Unos prihoda i primitaka'!$C$3:$C$502,"=63",'Unos prihoda i primitaka'!$L$3:$L$502,"=65")</f>
        <v>0</v>
      </c>
      <c r="V40" s="134">
        <f>SUMIFS('Unos prihoda i primitaka'!$I$3:$I$502,'Unos prihoda i primitaka'!$C$3:$C$502,"=71",'Unos prihoda i primitaka'!$L$3:$L$502,"=65")</f>
        <v>0</v>
      </c>
      <c r="W40" s="94"/>
      <c r="X40" s="94"/>
      <c r="Y40" s="94"/>
      <c r="Z40" s="94"/>
    </row>
    <row r="41" spans="1:26" ht="12.75" customHeight="1">
      <c r="A41" s="102">
        <v>2025</v>
      </c>
      <c r="B41" s="110" t="s">
        <v>3642</v>
      </c>
      <c r="C41" s="104" t="s">
        <v>3643</v>
      </c>
      <c r="D41" s="105">
        <f t="shared" si="8"/>
        <v>2277280</v>
      </c>
      <c r="E41" s="134">
        <f>SUMIFS('Unos prihoda i primitaka'!$I$3:$I$502,'Unos prihoda i primitaka'!$C$3:$C$502,"=11",'Unos prihoda i primitaka'!$L$3:$L$502,"=66")</f>
        <v>0</v>
      </c>
      <c r="F41" s="134">
        <f>SUMIFS('Unos prihoda i primitaka'!$I$3:$I$502,'Unos prihoda i primitaka'!$C$3:$C$502,"=12",'Unos prihoda i primitaka'!$L$3:$L$502,"=66")</f>
        <v>0</v>
      </c>
      <c r="G41" s="134">
        <f>SUMIFS('Unos prihoda i primitaka'!$I$3:$I$502,'Unos prihoda i primitaka'!$C$3:$C$502,"=31",'Unos prihoda i primitaka'!$L$3:$L$502,"=66")</f>
        <v>2201155</v>
      </c>
      <c r="H41" s="134">
        <f>SUMIFS('Unos prihoda i primitaka'!$I$3:$I$502,'Unos prihoda i primitaka'!$C$3:$C$502,"=41",'Unos prihoda i primitaka'!$L$3:$L$502,"=66")</f>
        <v>0</v>
      </c>
      <c r="I41" s="134">
        <f>SUMIFS('Unos prihoda i primitaka'!$I$3:$I$502,'Unos prihoda i primitaka'!$C$3:$C$502,"=43",'Unos prihoda i primitaka'!$L$3:$L$502,"=66")</f>
        <v>0</v>
      </c>
      <c r="J41" s="134">
        <f>SUMIFS('Unos prihoda i primitaka'!$I$3:$I$502,'Unos prihoda i primitaka'!$C$3:$C$502,"=51",'Unos prihoda i primitaka'!$L$3:$L$502,"=66")</f>
        <v>0</v>
      </c>
      <c r="K41" s="134">
        <f>SUMIFS('Unos prihoda i primitaka'!$I$3:$I$502,'Unos prihoda i primitaka'!$C$3:$C$502,"=52",'Unos prihoda i primitaka'!$L$3:$L$502,"=66")</f>
        <v>0</v>
      </c>
      <c r="L41" s="134">
        <f>SUMIFS('Unos prihoda i primitaka'!$I$3:$I$502,'Unos prihoda i primitaka'!$C$3:$C$502,"=552",'Unos prihoda i primitaka'!$L$3:$L$502,"=66")</f>
        <v>0</v>
      </c>
      <c r="M41" s="134">
        <f>SUMIFS('Unos prihoda i primitaka'!$I$3:$I$502,'Unos prihoda i primitaka'!$C$3:$C$502,"=559",'Unos prihoda i primitaka'!$L$3:$L$502,"=66")</f>
        <v>0</v>
      </c>
      <c r="N41" s="134">
        <f>SUMIFS('Unos prihoda i primitaka'!$I$3:$I$502,'Unos prihoda i primitaka'!$C$3:$C$502,"=561",'Unos prihoda i primitaka'!$L$3:$L$502,"=66")</f>
        <v>0</v>
      </c>
      <c r="O41" s="134">
        <f>SUMIFS('Unos prihoda i primitaka'!$I$3:$I$502,'Unos prihoda i primitaka'!$C$3:$C$502,"=563",'Unos prihoda i primitaka'!$L$3:$L$502,"=66")</f>
        <v>0</v>
      </c>
      <c r="P41" s="134">
        <f>SUMIFS('Unos prihoda i primitaka'!$I$3:$I$502,'Unos prihoda i primitaka'!$C$3:$C$502,"=573",'Unos prihoda i primitaka'!$L$3:$L$502,"=66")</f>
        <v>0</v>
      </c>
      <c r="Q41" s="134">
        <f>SUMIFS('Unos prihoda i primitaka'!$I$3:$I$502,'Unos prihoda i primitaka'!$C$3:$C$502,"=575",'Unos prihoda i primitaka'!$L$3:$L$502,"=66")</f>
        <v>0</v>
      </c>
      <c r="R41" s="134">
        <f>SUMIFS('Unos prihoda i primitaka'!$I$3:$I$502,'Unos prihoda i primitaka'!$C$3:$C$502,"=576",'Unos prihoda i primitaka'!$L$3:$L$502,"=66")</f>
        <v>0</v>
      </c>
      <c r="S41" s="134">
        <f>SUMIFS('Unos prihoda i primitaka'!$I$3:$I$502,'Unos prihoda i primitaka'!$C$3:$C$502,"=581",'Unos prihoda i primitaka'!$L$3:$L$502,"=66")</f>
        <v>0</v>
      </c>
      <c r="T41" s="134">
        <f>SUMIFS('Unos prihoda i primitaka'!$I$3:$I$502,'Unos prihoda i primitaka'!$C$3:$C$502,"=61",'Unos prihoda i primitaka'!$L$3:$L$502,"=66")</f>
        <v>76125</v>
      </c>
      <c r="U41" s="134">
        <f>SUMIFS('Unos prihoda i primitaka'!$I$3:$I$502,'Unos prihoda i primitaka'!$C$3:$C$502,"=63",'Unos prihoda i primitaka'!$L$3:$L$502,"=66")</f>
        <v>0</v>
      </c>
      <c r="V41" s="134">
        <f>SUMIFS('Unos prihoda i primitaka'!$I$3:$I$502,'Unos prihoda i primitaka'!$C$3:$C$502,"=71",'Unos prihoda i primitaka'!$L$3:$L$502,"=66")</f>
        <v>0</v>
      </c>
      <c r="W41" s="94"/>
      <c r="X41" s="94"/>
      <c r="Y41" s="94"/>
      <c r="Z41" s="94"/>
    </row>
    <row r="42" spans="1:26" ht="12.75" customHeight="1">
      <c r="A42" s="102">
        <v>2025</v>
      </c>
      <c r="B42" s="103" t="s">
        <v>3644</v>
      </c>
      <c r="C42" s="104" t="s">
        <v>3645</v>
      </c>
      <c r="D42" s="105">
        <f t="shared" si="8"/>
        <v>27718987.370170657</v>
      </c>
      <c r="E42" s="134">
        <f>SUMIFS('Unos prihoda i primitaka'!$I$3:$I$502,'Unos prihoda i primitaka'!$C$3:$C$502,"=11",'Unos prihoda i primitaka'!$L$3:$L$502,"=67")</f>
        <v>27718987.370170657</v>
      </c>
      <c r="F42" s="134">
        <f>SUMIFS('Unos prihoda i primitaka'!$I$3:$I$502,'Unos prihoda i primitaka'!$C$3:$C$502,"=12",'Unos prihoda i primitaka'!$L$3:$L$502,"=67")</f>
        <v>0</v>
      </c>
      <c r="G42" s="134">
        <f>SUMIFS('Unos prihoda i primitaka'!$I$3:$I$502,'Unos prihoda i primitaka'!$C$3:$C$502,"=31",'Unos prihoda i primitaka'!$L$3:$L$502,"=67")</f>
        <v>0</v>
      </c>
      <c r="H42" s="134">
        <f>SUMIFS('Unos prihoda i primitaka'!$I$3:$I$502,'Unos prihoda i primitaka'!$C$3:$C$502,"=41",'Unos prihoda i primitaka'!$L$3:$L$502,"=67")</f>
        <v>0</v>
      </c>
      <c r="I42" s="134">
        <f>SUMIFS('Unos prihoda i primitaka'!$I$3:$I$502,'Unos prihoda i primitaka'!$C$3:$C$502,"=43",'Unos prihoda i primitaka'!$L$3:$L$502,"=67")</f>
        <v>0</v>
      </c>
      <c r="J42" s="134">
        <f>SUMIFS('Unos prihoda i primitaka'!$I$3:$I$502,'Unos prihoda i primitaka'!$C$3:$C$502,"=51",'Unos prihoda i primitaka'!$L$3:$L$502,"=67")</f>
        <v>0</v>
      </c>
      <c r="K42" s="134">
        <f>SUMIFS('Unos prihoda i primitaka'!$I$3:$I$502,'Unos prihoda i primitaka'!$C$3:$C$502,"=52",'Unos prihoda i primitaka'!$L$3:$L$502,"=67")</f>
        <v>0</v>
      </c>
      <c r="L42" s="134">
        <f>SUMIFS('Unos prihoda i primitaka'!$I$3:$I$502,'Unos prihoda i primitaka'!$C$3:$C$502,"=552",'Unos prihoda i primitaka'!$L$3:$L$502,"=67")</f>
        <v>0</v>
      </c>
      <c r="M42" s="134">
        <f>SUMIFS('Unos prihoda i primitaka'!$I$3:$I$502,'Unos prihoda i primitaka'!$C$3:$C$502,"=559",'Unos prihoda i primitaka'!$L$3:$L$502,"=67")</f>
        <v>0</v>
      </c>
      <c r="N42" s="134">
        <f>SUMIFS('Unos prihoda i primitaka'!$I$3:$I$502,'Unos prihoda i primitaka'!$C$3:$C$502,"=561",'Unos prihoda i primitaka'!$L$3:$L$502,"=67")</f>
        <v>0</v>
      </c>
      <c r="O42" s="134">
        <f>SUMIFS('Unos prihoda i primitaka'!$I$3:$I$502,'Unos prihoda i primitaka'!$C$3:$C$502,"=563",'Unos prihoda i primitaka'!$L$3:$L$502,"=67")</f>
        <v>0</v>
      </c>
      <c r="P42" s="134">
        <f>SUMIFS('Unos prihoda i primitaka'!$I$3:$I$502,'Unos prihoda i primitaka'!$C$3:$C$502,"=573",'Unos prihoda i primitaka'!$L$3:$L$502,"=67")</f>
        <v>0</v>
      </c>
      <c r="Q42" s="134">
        <f>SUMIFS('Unos prihoda i primitaka'!$I$3:$I$502,'Unos prihoda i primitaka'!$C$3:$C$502,"=575",'Unos prihoda i primitaka'!$L$3:$L$502,"=67")</f>
        <v>0</v>
      </c>
      <c r="R42" s="134">
        <f>SUMIFS('Unos prihoda i primitaka'!$I$3:$I$502,'Unos prihoda i primitaka'!$C$3:$C$502,"=576",'Unos prihoda i primitaka'!$L$3:$L$502,"=67")</f>
        <v>0</v>
      </c>
      <c r="S42" s="134">
        <f>SUMIFS('Unos prihoda i primitaka'!$I$3:$I$502,'Unos prihoda i primitaka'!$C$3:$C$502,"=581",'Unos prihoda i primitaka'!$L$3:$L$502,"=67")</f>
        <v>0</v>
      </c>
      <c r="T42" s="134">
        <f>SUMIFS('Unos prihoda i primitaka'!$I$3:$I$502,'Unos prihoda i primitaka'!$C$3:$C$502,"=61",'Unos prihoda i primitaka'!$L$3:$L$502,"=67")</f>
        <v>0</v>
      </c>
      <c r="U42" s="134">
        <f>SUMIFS('Unos prihoda i primitaka'!$I$3:$I$502,'Unos prihoda i primitaka'!$C$3:$C$502,"=63",'Unos prihoda i primitaka'!$L$3:$L$502,"=67")</f>
        <v>0</v>
      </c>
      <c r="V42" s="134">
        <f>SUMIFS('Unos prihoda i primitaka'!$I$3:$I$502,'Unos prihoda i primitaka'!$C$3:$C$502,"=71",'Unos prihoda i primitaka'!$L$3:$L$502,"=67")</f>
        <v>0</v>
      </c>
      <c r="W42" s="94"/>
      <c r="X42" s="94"/>
      <c r="Y42" s="94"/>
      <c r="Z42" s="94"/>
    </row>
    <row r="43" spans="1:26" ht="12.75" customHeight="1">
      <c r="A43" s="102">
        <v>2025</v>
      </c>
      <c r="B43" s="103" t="s">
        <v>3646</v>
      </c>
      <c r="C43" s="104" t="s">
        <v>3647</v>
      </c>
      <c r="D43" s="105">
        <f t="shared" si="8"/>
        <v>0</v>
      </c>
      <c r="E43" s="134">
        <f>SUMIFS('Unos prihoda i primitaka'!$I$3:$I$502,'Unos prihoda i primitaka'!$C$3:$C$502,"=11",'Unos prihoda i primitaka'!$L$3:$L$502,"=68")</f>
        <v>0</v>
      </c>
      <c r="F43" s="134">
        <f>SUMIFS('Unos prihoda i primitaka'!$I$3:$I$502,'Unos prihoda i primitaka'!$C$3:$C$502,"=12",'Unos prihoda i primitaka'!$L$3:$L$502,"=68")</f>
        <v>0</v>
      </c>
      <c r="G43" s="134">
        <f>SUMIFS('Unos prihoda i primitaka'!$I$3:$I$502,'Unos prihoda i primitaka'!$C$3:$C$502,"=31",'Unos prihoda i primitaka'!$L$3:$L$502,"=68")</f>
        <v>0</v>
      </c>
      <c r="H43" s="134">
        <f>SUMIFS('Unos prihoda i primitaka'!$I$3:$I$502,'Unos prihoda i primitaka'!$C$3:$C$502,"=41",'Unos prihoda i primitaka'!$L$3:$L$502,"=68")</f>
        <v>0</v>
      </c>
      <c r="I43" s="134">
        <f>SUMIFS('Unos prihoda i primitaka'!$I$3:$I$502,'Unos prihoda i primitaka'!$C$3:$C$502,"=43",'Unos prihoda i primitaka'!$L$3:$L$502,"=68")</f>
        <v>0</v>
      </c>
      <c r="J43" s="134">
        <f>SUMIFS('Unos prihoda i primitaka'!$I$3:$I$502,'Unos prihoda i primitaka'!$C$3:$C$502,"=51",'Unos prihoda i primitaka'!$L$3:$L$502,"=68")</f>
        <v>0</v>
      </c>
      <c r="K43" s="134">
        <f>SUMIFS('Unos prihoda i primitaka'!$I$3:$I$502,'Unos prihoda i primitaka'!$C$3:$C$502,"=52",'Unos prihoda i primitaka'!$L$3:$L$502,"=68")</f>
        <v>0</v>
      </c>
      <c r="L43" s="134">
        <f>SUMIFS('Unos prihoda i primitaka'!$I$3:$I$502,'Unos prihoda i primitaka'!$C$3:$C$502,"=552",'Unos prihoda i primitaka'!$L$3:$L$502,"=68")</f>
        <v>0</v>
      </c>
      <c r="M43" s="134">
        <f>SUMIFS('Unos prihoda i primitaka'!$I$3:$I$502,'Unos prihoda i primitaka'!$C$3:$C$502,"=559",'Unos prihoda i primitaka'!$L$3:$L$502,"=68")</f>
        <v>0</v>
      </c>
      <c r="N43" s="134">
        <f>SUMIFS('Unos prihoda i primitaka'!$I$3:$I$502,'Unos prihoda i primitaka'!$C$3:$C$502,"=561",'Unos prihoda i primitaka'!$L$3:$L$502,"=68")</f>
        <v>0</v>
      </c>
      <c r="O43" s="134">
        <f>SUMIFS('Unos prihoda i primitaka'!$I$3:$I$502,'Unos prihoda i primitaka'!$C$3:$C$502,"=563",'Unos prihoda i primitaka'!$L$3:$L$502,"=68")</f>
        <v>0</v>
      </c>
      <c r="P43" s="134">
        <f>SUMIFS('Unos prihoda i primitaka'!$I$3:$I$502,'Unos prihoda i primitaka'!$C$3:$C$502,"=573",'Unos prihoda i primitaka'!$L$3:$L$502,"=68")</f>
        <v>0</v>
      </c>
      <c r="Q43" s="134">
        <f>SUMIFS('Unos prihoda i primitaka'!$I$3:$I$502,'Unos prihoda i primitaka'!$C$3:$C$502,"=575",'Unos prihoda i primitaka'!$L$3:$L$502,"=68")</f>
        <v>0</v>
      </c>
      <c r="R43" s="134">
        <f>SUMIFS('Unos prihoda i primitaka'!$I$3:$I$502,'Unos prihoda i primitaka'!$C$3:$C$502,"=576",'Unos prihoda i primitaka'!$L$3:$L$502,"=68")</f>
        <v>0</v>
      </c>
      <c r="S43" s="134">
        <f>SUMIFS('Unos prihoda i primitaka'!$I$3:$I$502,'Unos prihoda i primitaka'!$C$3:$C$502,"=581",'Unos prihoda i primitaka'!$L$3:$L$502,"=68")</f>
        <v>0</v>
      </c>
      <c r="T43" s="134">
        <f>SUMIFS('Unos prihoda i primitaka'!$I$3:$I$502,'Unos prihoda i primitaka'!$C$3:$C$502,"=61",'Unos prihoda i primitaka'!$L$3:$L$502,"=68")</f>
        <v>0</v>
      </c>
      <c r="U43" s="134">
        <f>SUMIFS('Unos prihoda i primitaka'!$I$3:$I$502,'Unos prihoda i primitaka'!$C$3:$C$502,"=63",'Unos prihoda i primitaka'!$L$3:$L$502,"=68")</f>
        <v>0</v>
      </c>
      <c r="V43" s="134">
        <f>SUMIFS('Unos prihoda i primitaka'!$I$3:$I$502,'Unos prihoda i primitaka'!$C$3:$C$502,"=71",'Unos prihoda i primitaka'!$L$3:$L$502,"=68")</f>
        <v>0</v>
      </c>
      <c r="W43" s="94"/>
      <c r="X43" s="94"/>
      <c r="Y43" s="94"/>
      <c r="Z43" s="94"/>
    </row>
    <row r="44" spans="1:26" ht="12.75" customHeight="1">
      <c r="A44" s="102">
        <v>2025</v>
      </c>
      <c r="B44" s="135" t="s">
        <v>3648</v>
      </c>
      <c r="C44" s="136" t="s">
        <v>3649</v>
      </c>
      <c r="D44" s="105">
        <f t="shared" si="8"/>
        <v>31961159.370170657</v>
      </c>
      <c r="E44" s="137">
        <f t="shared" ref="E44:V44" si="10">SUM(E37:E43)</f>
        <v>27718987.370170657</v>
      </c>
      <c r="F44" s="137">
        <f t="shared" si="10"/>
        <v>0</v>
      </c>
      <c r="G44" s="137">
        <f t="shared" si="10"/>
        <v>2201155</v>
      </c>
      <c r="H44" s="137">
        <f t="shared" si="10"/>
        <v>0</v>
      </c>
      <c r="I44" s="137">
        <f t="shared" si="10"/>
        <v>0</v>
      </c>
      <c r="J44" s="137">
        <f t="shared" si="10"/>
        <v>969549</v>
      </c>
      <c r="K44" s="137">
        <f t="shared" si="10"/>
        <v>995343</v>
      </c>
      <c r="L44" s="137">
        <f t="shared" si="10"/>
        <v>0</v>
      </c>
      <c r="M44" s="137">
        <f t="shared" si="10"/>
        <v>0</v>
      </c>
      <c r="N44" s="137">
        <f t="shared" si="10"/>
        <v>0</v>
      </c>
      <c r="O44" s="137">
        <f t="shared" si="10"/>
        <v>0</v>
      </c>
      <c r="P44" s="137">
        <f t="shared" si="10"/>
        <v>0</v>
      </c>
      <c r="Q44" s="137">
        <f t="shared" si="10"/>
        <v>0</v>
      </c>
      <c r="R44" s="137">
        <f t="shared" si="10"/>
        <v>0</v>
      </c>
      <c r="S44" s="137">
        <f t="shared" si="10"/>
        <v>0</v>
      </c>
      <c r="T44" s="137">
        <f t="shared" si="10"/>
        <v>76125</v>
      </c>
      <c r="U44" s="137">
        <f t="shared" si="10"/>
        <v>0</v>
      </c>
      <c r="V44" s="137">
        <f t="shared" si="10"/>
        <v>0</v>
      </c>
      <c r="W44" s="94"/>
      <c r="X44" s="94"/>
      <c r="Y44" s="94"/>
      <c r="Z44" s="94"/>
    </row>
    <row r="45" spans="1:26" ht="12.75" customHeight="1">
      <c r="A45" s="102">
        <v>2025</v>
      </c>
      <c r="B45" s="103" t="s">
        <v>3650</v>
      </c>
      <c r="C45" s="138" t="s">
        <v>3651</v>
      </c>
      <c r="D45" s="105">
        <f t="shared" si="8"/>
        <v>0</v>
      </c>
      <c r="E45" s="134">
        <f>SUMIFS('Unos prihoda i primitaka'!$I$3:$I$502,'Unos prihoda i primitaka'!$C$3:$C$502,"=11",'Unos prihoda i primitaka'!$L$3:$L$502,"=71")</f>
        <v>0</v>
      </c>
      <c r="F45" s="134">
        <f>SUMIFS('Unos prihoda i primitaka'!$I$3:$I$502,'Unos prihoda i primitaka'!$C$3:$C$502,"=12",'Unos prihoda i primitaka'!$L$3:$L$502,"=71")</f>
        <v>0</v>
      </c>
      <c r="G45" s="134">
        <f>SUMIFS('Unos prihoda i primitaka'!$I$3:$I$502,'Unos prihoda i primitaka'!$C$3:$C$502,"=31",'Unos prihoda i primitaka'!$L$3:$L$502,"=71")</f>
        <v>0</v>
      </c>
      <c r="H45" s="134">
        <f>SUMIFS('Unos prihoda i primitaka'!$I$3:$I$502,'Unos prihoda i primitaka'!$C$3:$C$502,"=41",'Unos prihoda i primitaka'!$L$3:$L$502,"=71")</f>
        <v>0</v>
      </c>
      <c r="I45" s="134">
        <f>SUMIFS('Unos prihoda i primitaka'!$I$3:$I$502,'Unos prihoda i primitaka'!$C$3:$C$502,"=43",'Unos prihoda i primitaka'!$L$3:$L$502,"=71")</f>
        <v>0</v>
      </c>
      <c r="J45" s="134">
        <f>SUMIFS('Unos prihoda i primitaka'!$I$3:$I$502,'Unos prihoda i primitaka'!$C$3:$C$502,"=51",'Unos prihoda i primitaka'!$L$3:$L$502,"=71")</f>
        <v>0</v>
      </c>
      <c r="K45" s="134">
        <f>SUMIFS('Unos prihoda i primitaka'!$I$3:$I$502,'Unos prihoda i primitaka'!$C$3:$C$502,"=52",'Unos prihoda i primitaka'!$L$3:$L$502,"=71")</f>
        <v>0</v>
      </c>
      <c r="L45" s="134">
        <f>SUMIFS('Unos prihoda i primitaka'!$I$3:$I$502,'Unos prihoda i primitaka'!$C$3:$C$502,"=552",'Unos prihoda i primitaka'!$L$3:$L$502,"=71")</f>
        <v>0</v>
      </c>
      <c r="M45" s="134">
        <f>SUMIFS('Unos prihoda i primitaka'!$I$3:$I$502,'Unos prihoda i primitaka'!$C$3:$C$502,"=559",'Unos prihoda i primitaka'!$L$3:$L$502,"=71")</f>
        <v>0</v>
      </c>
      <c r="N45" s="134">
        <f>SUMIFS('Unos prihoda i primitaka'!$I$3:$I$502,'Unos prihoda i primitaka'!$C$3:$C$502,"=561",'Unos prihoda i primitaka'!$L$3:$L$502,"=71")</f>
        <v>0</v>
      </c>
      <c r="O45" s="134">
        <f>SUMIFS('Unos prihoda i primitaka'!$I$3:$I$502,'Unos prihoda i primitaka'!$C$3:$C$502,"=563",'Unos prihoda i primitaka'!$L$3:$L$502,"=71")</f>
        <v>0</v>
      </c>
      <c r="P45" s="134">
        <f>SUMIFS('Unos prihoda i primitaka'!$I$3:$I$502,'Unos prihoda i primitaka'!$C$3:$C$502,"=573",'Unos prihoda i primitaka'!$L$3:$L$502,"=71")</f>
        <v>0</v>
      </c>
      <c r="Q45" s="134">
        <f>SUMIFS('Unos prihoda i primitaka'!$I$3:$I$502,'Unos prihoda i primitaka'!$C$3:$C$502,"=575",'Unos prihoda i primitaka'!$L$3:$L$502,"=71")</f>
        <v>0</v>
      </c>
      <c r="R45" s="134">
        <f>SUMIFS('Unos prihoda i primitaka'!$I$3:$I$502,'Unos prihoda i primitaka'!$C$3:$C$502,"=576",'Unos prihoda i primitaka'!$L$3:$L$502,"=71")</f>
        <v>0</v>
      </c>
      <c r="S45" s="134">
        <f>SUMIFS('Unos prihoda i primitaka'!$I$3:$I$502,'Unos prihoda i primitaka'!$C$3:$C$502,"=581",'Unos prihoda i primitaka'!$L$3:$L$502,"=71")</f>
        <v>0</v>
      </c>
      <c r="T45" s="134">
        <f>SUMIFS('Unos prihoda i primitaka'!$I$3:$I$502,'Unos prihoda i primitaka'!$C$3:$C$502,"=61",'Unos prihoda i primitaka'!$L$3:$L$502,"=71")</f>
        <v>0</v>
      </c>
      <c r="U45" s="134">
        <f>SUMIFS('Unos prihoda i primitaka'!$I$3:$I$502,'Unos prihoda i primitaka'!$C$3:$C$502,"=63",'Unos prihoda i primitaka'!$L$3:$L$502,"=71")</f>
        <v>0</v>
      </c>
      <c r="V45" s="134">
        <f>SUMIFS('Unos prihoda i primitaka'!$I$3:$I$502,'Unos prihoda i primitaka'!$C$3:$C$502,"=71",'Unos prihoda i primitaka'!$L$3:$L$502,"=71")</f>
        <v>0</v>
      </c>
      <c r="W45" s="94"/>
      <c r="X45" s="94"/>
      <c r="Y45" s="94"/>
      <c r="Z45" s="94"/>
    </row>
    <row r="46" spans="1:26" ht="12.75" customHeight="1">
      <c r="A46" s="102">
        <v>2025</v>
      </c>
      <c r="B46" s="103" t="s">
        <v>3652</v>
      </c>
      <c r="C46" s="138" t="s">
        <v>3653</v>
      </c>
      <c r="D46" s="105">
        <f t="shared" si="8"/>
        <v>0</v>
      </c>
      <c r="E46" s="134">
        <f>SUMIFS('Unos prihoda i primitaka'!$I$3:$I$502,'Unos prihoda i primitaka'!$C$3:$C$502,"=11",'Unos prihoda i primitaka'!$L$3:$L$502,"=72")</f>
        <v>0</v>
      </c>
      <c r="F46" s="134">
        <f>SUMIFS('Unos prihoda i primitaka'!$I$3:$I$502,'Unos prihoda i primitaka'!$C$3:$C$502,"=12",'Unos prihoda i primitaka'!$L$3:$L$502,"=72")</f>
        <v>0</v>
      </c>
      <c r="G46" s="134">
        <f>SUMIFS('Unos prihoda i primitaka'!$I$3:$I$502,'Unos prihoda i primitaka'!$C$3:$C$502,"=31",'Unos prihoda i primitaka'!$L$3:$L$502,"=72")</f>
        <v>0</v>
      </c>
      <c r="H46" s="134">
        <f>SUMIFS('Unos prihoda i primitaka'!$I$3:$I$502,'Unos prihoda i primitaka'!$C$3:$C$502,"=41",'Unos prihoda i primitaka'!$L$3:$L$502,"=72")</f>
        <v>0</v>
      </c>
      <c r="I46" s="134">
        <f>SUMIFS('Unos prihoda i primitaka'!$I$3:$I$502,'Unos prihoda i primitaka'!$C$3:$C$502,"=43",'Unos prihoda i primitaka'!$L$3:$L$502,"=72")</f>
        <v>0</v>
      </c>
      <c r="J46" s="134">
        <f>SUMIFS('Unos prihoda i primitaka'!$I$3:$I$502,'Unos prihoda i primitaka'!$C$3:$C$502,"=51",'Unos prihoda i primitaka'!$L$3:$L$502,"=72")</f>
        <v>0</v>
      </c>
      <c r="K46" s="134">
        <f>SUMIFS('Unos prihoda i primitaka'!$I$3:$I$502,'Unos prihoda i primitaka'!$C$3:$C$502,"=52",'Unos prihoda i primitaka'!$L$3:$L$502,"=72")</f>
        <v>0</v>
      </c>
      <c r="L46" s="134">
        <f>SUMIFS('Unos prihoda i primitaka'!$I$3:$I$502,'Unos prihoda i primitaka'!$C$3:$C$502,"=552",'Unos prihoda i primitaka'!$L$3:$L$502,"=72")</f>
        <v>0</v>
      </c>
      <c r="M46" s="134">
        <f>SUMIFS('Unos prihoda i primitaka'!$I$3:$I$502,'Unos prihoda i primitaka'!$C$3:$C$502,"=559",'Unos prihoda i primitaka'!$L$3:$L$502,"=72")</f>
        <v>0</v>
      </c>
      <c r="N46" s="134">
        <f>SUMIFS('Unos prihoda i primitaka'!$I$3:$I$502,'Unos prihoda i primitaka'!$C$3:$C$502,"=561",'Unos prihoda i primitaka'!$L$3:$L$502,"=72")</f>
        <v>0</v>
      </c>
      <c r="O46" s="134">
        <f>SUMIFS('Unos prihoda i primitaka'!$I$3:$I$502,'Unos prihoda i primitaka'!$C$3:$C$502,"=563",'Unos prihoda i primitaka'!$L$3:$L$502,"=72")</f>
        <v>0</v>
      </c>
      <c r="P46" s="134">
        <f>SUMIFS('Unos prihoda i primitaka'!$I$3:$I$502,'Unos prihoda i primitaka'!$C$3:$C$502,"=573",'Unos prihoda i primitaka'!$L$3:$L$502,"=72")</f>
        <v>0</v>
      </c>
      <c r="Q46" s="134">
        <f>SUMIFS('Unos prihoda i primitaka'!$I$3:$I$502,'Unos prihoda i primitaka'!$C$3:$C$502,"=575",'Unos prihoda i primitaka'!$L$3:$L$502,"=72")</f>
        <v>0</v>
      </c>
      <c r="R46" s="134">
        <f>SUMIFS('Unos prihoda i primitaka'!$I$3:$I$502,'Unos prihoda i primitaka'!$C$3:$C$502,"=576",'Unos prihoda i primitaka'!$L$3:$L$502,"=72")</f>
        <v>0</v>
      </c>
      <c r="S46" s="134">
        <f>SUMIFS('Unos prihoda i primitaka'!$I$3:$I$502,'Unos prihoda i primitaka'!$C$3:$C$502,"=581",'Unos prihoda i primitaka'!$L$3:$L$502,"=72")</f>
        <v>0</v>
      </c>
      <c r="T46" s="134">
        <f>SUMIFS('Unos prihoda i primitaka'!$I$3:$I$502,'Unos prihoda i primitaka'!$C$3:$C$502,"=61",'Unos prihoda i primitaka'!$L$3:$L$502,"=72")</f>
        <v>0</v>
      </c>
      <c r="U46" s="134">
        <f>SUMIFS('Unos prihoda i primitaka'!$I$3:$I$502,'Unos prihoda i primitaka'!$C$3:$C$502,"=63",'Unos prihoda i primitaka'!$L$3:$L$502,"=72")</f>
        <v>0</v>
      </c>
      <c r="V46" s="134">
        <f>SUMIFS('Unos prihoda i primitaka'!$I$3:$I$502,'Unos prihoda i primitaka'!$C$3:$C$502,"=71",'Unos prihoda i primitaka'!$L$3:$L$502,"=72")</f>
        <v>0</v>
      </c>
      <c r="W46" s="94"/>
      <c r="X46" s="94"/>
      <c r="Y46" s="94"/>
      <c r="Z46" s="94"/>
    </row>
    <row r="47" spans="1:26" ht="12.75" customHeight="1">
      <c r="A47" s="102">
        <v>2025</v>
      </c>
      <c r="B47" s="135" t="s">
        <v>3654</v>
      </c>
      <c r="C47" s="136" t="s">
        <v>3649</v>
      </c>
      <c r="D47" s="105">
        <f t="shared" si="8"/>
        <v>0</v>
      </c>
      <c r="E47" s="137">
        <f t="shared" ref="E47:V47" si="11">SUM(E45:E46)</f>
        <v>0</v>
      </c>
      <c r="F47" s="137">
        <f t="shared" si="11"/>
        <v>0</v>
      </c>
      <c r="G47" s="137">
        <f t="shared" si="11"/>
        <v>0</v>
      </c>
      <c r="H47" s="137">
        <f t="shared" si="11"/>
        <v>0</v>
      </c>
      <c r="I47" s="137">
        <f t="shared" si="11"/>
        <v>0</v>
      </c>
      <c r="J47" s="137">
        <f t="shared" si="11"/>
        <v>0</v>
      </c>
      <c r="K47" s="137">
        <f t="shared" si="11"/>
        <v>0</v>
      </c>
      <c r="L47" s="137">
        <f t="shared" si="11"/>
        <v>0</v>
      </c>
      <c r="M47" s="137">
        <f t="shared" si="11"/>
        <v>0</v>
      </c>
      <c r="N47" s="137">
        <f t="shared" si="11"/>
        <v>0</v>
      </c>
      <c r="O47" s="137">
        <f t="shared" si="11"/>
        <v>0</v>
      </c>
      <c r="P47" s="137">
        <f t="shared" si="11"/>
        <v>0</v>
      </c>
      <c r="Q47" s="137">
        <f t="shared" si="11"/>
        <v>0</v>
      </c>
      <c r="R47" s="137">
        <f t="shared" si="11"/>
        <v>0</v>
      </c>
      <c r="S47" s="137">
        <f t="shared" si="11"/>
        <v>0</v>
      </c>
      <c r="T47" s="137">
        <f t="shared" si="11"/>
        <v>0</v>
      </c>
      <c r="U47" s="137">
        <f t="shared" si="11"/>
        <v>0</v>
      </c>
      <c r="V47" s="137">
        <f t="shared" si="11"/>
        <v>0</v>
      </c>
      <c r="W47" s="94"/>
      <c r="X47" s="94"/>
      <c r="Y47" s="94"/>
      <c r="Z47" s="94"/>
    </row>
    <row r="48" spans="1:26" ht="12.75" customHeight="1">
      <c r="A48" s="93"/>
      <c r="B48" s="117"/>
      <c r="C48" s="117"/>
      <c r="D48" s="117"/>
      <c r="E48" s="117"/>
      <c r="F48" s="117"/>
      <c r="G48" s="117"/>
      <c r="H48" s="117"/>
      <c r="I48" s="118"/>
      <c r="J48" s="119"/>
      <c r="K48" s="119"/>
      <c r="L48" s="119"/>
      <c r="M48" s="119"/>
      <c r="N48" s="119"/>
      <c r="O48" s="119"/>
      <c r="P48" s="119"/>
      <c r="Q48" s="119"/>
      <c r="R48" s="119"/>
      <c r="S48" s="96"/>
      <c r="T48" s="93"/>
      <c r="U48" s="93"/>
      <c r="V48" s="93"/>
      <c r="W48" s="93"/>
      <c r="X48" s="93"/>
      <c r="Y48" s="93"/>
      <c r="Z48" s="93"/>
    </row>
    <row r="49" spans="1:26" ht="12.75" customHeight="1">
      <c r="A49" s="93"/>
      <c r="B49" s="93"/>
      <c r="C49" s="93"/>
      <c r="D49" s="93"/>
      <c r="E49" s="93"/>
      <c r="F49" s="93"/>
      <c r="G49" s="122"/>
      <c r="H49" s="122"/>
      <c r="I49" s="123"/>
      <c r="J49" s="124"/>
      <c r="K49" s="124"/>
      <c r="L49" s="124"/>
      <c r="M49" s="124"/>
      <c r="N49" s="124"/>
      <c r="O49" s="124"/>
      <c r="P49" s="124"/>
      <c r="Q49" s="124"/>
      <c r="R49" s="124"/>
      <c r="S49" s="93"/>
      <c r="T49" s="93"/>
      <c r="U49" s="93"/>
      <c r="V49" s="93"/>
      <c r="W49" s="93"/>
      <c r="X49" s="93"/>
      <c r="Y49" s="93"/>
      <c r="Z49" s="93"/>
    </row>
    <row r="50" spans="1:26" ht="12.75" customHeight="1">
      <c r="A50" s="93"/>
      <c r="B50" s="93"/>
      <c r="C50" s="93"/>
      <c r="D50" s="93"/>
      <c r="E50" s="93"/>
      <c r="F50" s="93"/>
      <c r="G50" s="122"/>
      <c r="H50" s="122"/>
      <c r="I50" s="125"/>
      <c r="J50" s="126"/>
      <c r="K50" s="126"/>
      <c r="L50" s="126"/>
      <c r="M50" s="126"/>
      <c r="N50" s="126"/>
      <c r="O50" s="126"/>
      <c r="P50" s="126"/>
      <c r="Q50" s="126"/>
      <c r="R50" s="126"/>
      <c r="S50" s="93"/>
      <c r="T50" s="93"/>
      <c r="U50" s="93"/>
      <c r="V50" s="93"/>
      <c r="W50" s="93"/>
      <c r="X50" s="93"/>
      <c r="Y50" s="93"/>
      <c r="Z50" s="93"/>
    </row>
    <row r="51" spans="1:26" ht="12.75" customHeight="1">
      <c r="A51" s="93"/>
      <c r="B51" s="122"/>
      <c r="C51" s="122"/>
      <c r="D51" s="122"/>
      <c r="E51" s="122"/>
      <c r="F51" s="122"/>
      <c r="G51" s="122"/>
      <c r="H51" s="122"/>
      <c r="I51" s="127"/>
      <c r="J51" s="122"/>
      <c r="K51" s="122"/>
      <c r="L51" s="122"/>
      <c r="M51" s="122"/>
      <c r="N51" s="122"/>
      <c r="O51" s="122"/>
      <c r="P51" s="122"/>
      <c r="Q51" s="122"/>
      <c r="R51" s="122"/>
      <c r="S51" s="93"/>
      <c r="T51" s="93"/>
      <c r="U51" s="93"/>
      <c r="V51" s="93"/>
      <c r="W51" s="93"/>
      <c r="X51" s="93"/>
      <c r="Y51" s="93"/>
      <c r="Z51" s="93"/>
    </row>
    <row r="52" spans="1:26" ht="12.75" customHeight="1">
      <c r="A52" s="93"/>
      <c r="B52" s="122"/>
      <c r="C52" s="122"/>
      <c r="D52" s="122"/>
      <c r="E52" s="122"/>
      <c r="F52" s="122"/>
      <c r="G52" s="122"/>
      <c r="H52" s="122"/>
      <c r="I52" s="127"/>
      <c r="J52" s="122"/>
      <c r="K52" s="122"/>
      <c r="L52" s="122"/>
      <c r="M52" s="122"/>
      <c r="N52" s="122"/>
      <c r="O52" s="122"/>
      <c r="P52" s="122"/>
      <c r="Q52" s="122"/>
      <c r="R52" s="122"/>
      <c r="S52" s="93"/>
      <c r="T52" s="93"/>
      <c r="U52" s="93"/>
      <c r="V52" s="93"/>
      <c r="W52" s="93"/>
      <c r="X52" s="93"/>
      <c r="Y52" s="93"/>
      <c r="Z52" s="93"/>
    </row>
    <row r="53" spans="1:26" ht="12.75" customHeight="1">
      <c r="A53" s="93"/>
      <c r="B53" s="122"/>
      <c r="C53" s="122"/>
      <c r="D53" s="122"/>
      <c r="E53" s="122"/>
      <c r="F53" s="122"/>
      <c r="G53" s="122"/>
      <c r="H53" s="122"/>
      <c r="I53" s="127"/>
      <c r="J53" s="122"/>
      <c r="K53" s="122"/>
      <c r="L53" s="122"/>
      <c r="M53" s="122"/>
      <c r="N53" s="122"/>
      <c r="O53" s="122"/>
      <c r="P53" s="122"/>
      <c r="Q53" s="122"/>
      <c r="R53" s="122"/>
      <c r="S53" s="93"/>
      <c r="T53" s="93"/>
      <c r="U53" s="93"/>
      <c r="V53" s="93"/>
      <c r="W53" s="93"/>
      <c r="X53" s="93"/>
      <c r="Y53" s="93"/>
      <c r="Z53" s="93"/>
    </row>
    <row r="54" spans="1:26" ht="12.75" customHeight="1">
      <c r="A54" s="93"/>
      <c r="B54" s="122"/>
      <c r="C54" s="122"/>
      <c r="D54" s="122"/>
      <c r="E54" s="122"/>
      <c r="F54" s="122"/>
      <c r="G54" s="122"/>
      <c r="H54" s="122"/>
      <c r="I54" s="128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>
      <c r="A55" s="93"/>
      <c r="B55" s="122"/>
      <c r="C55" s="122"/>
      <c r="D55" s="122"/>
      <c r="E55" s="122"/>
      <c r="F55" s="122"/>
      <c r="G55" s="122"/>
      <c r="H55" s="122"/>
      <c r="I55" s="127"/>
      <c r="J55" s="122"/>
      <c r="K55" s="122"/>
      <c r="L55" s="122"/>
      <c r="M55" s="122"/>
      <c r="N55" s="122"/>
      <c r="O55" s="122"/>
      <c r="P55" s="122"/>
      <c r="Q55" s="122"/>
      <c r="R55" s="122"/>
      <c r="S55" s="93"/>
      <c r="T55" s="93"/>
      <c r="U55" s="93"/>
      <c r="V55" s="93"/>
      <c r="W55" s="93"/>
      <c r="X55" s="93"/>
      <c r="Y55" s="93"/>
      <c r="Z55" s="93"/>
    </row>
    <row r="56" spans="1:26" ht="12.75" customHeight="1">
      <c r="A56" s="93"/>
      <c r="B56" s="122"/>
      <c r="C56" s="122"/>
      <c r="D56" s="122"/>
      <c r="E56" s="122"/>
      <c r="F56" s="122"/>
      <c r="G56" s="122"/>
      <c r="H56" s="122"/>
      <c r="I56" s="127"/>
      <c r="J56" s="129"/>
      <c r="K56" s="129"/>
      <c r="L56" s="129"/>
      <c r="M56" s="129"/>
      <c r="N56" s="129"/>
      <c r="O56" s="129"/>
      <c r="P56" s="129"/>
      <c r="Q56" s="129"/>
      <c r="R56" s="129"/>
      <c r="S56" s="93"/>
      <c r="T56" s="93"/>
      <c r="U56" s="93"/>
      <c r="V56" s="93"/>
      <c r="W56" s="93"/>
      <c r="X56" s="93"/>
      <c r="Y56" s="93"/>
      <c r="Z56" s="93"/>
    </row>
    <row r="57" spans="1:26" ht="12.75" customHeight="1">
      <c r="A57" s="93"/>
      <c r="B57" s="122"/>
      <c r="C57" s="122"/>
      <c r="D57" s="122"/>
      <c r="E57" s="122"/>
      <c r="F57" s="122"/>
      <c r="G57" s="122"/>
      <c r="H57" s="122"/>
      <c r="I57" s="127"/>
      <c r="J57" s="122"/>
      <c r="K57" s="122"/>
      <c r="L57" s="122"/>
      <c r="M57" s="122"/>
      <c r="N57" s="122"/>
      <c r="O57" s="122"/>
      <c r="P57" s="122"/>
      <c r="Q57" s="122"/>
      <c r="R57" s="122"/>
      <c r="S57" s="93"/>
      <c r="T57" s="93"/>
      <c r="U57" s="93"/>
      <c r="V57" s="93"/>
      <c r="W57" s="93"/>
      <c r="X57" s="93"/>
      <c r="Y57" s="93"/>
      <c r="Z57" s="93"/>
    </row>
    <row r="58" spans="1:26" ht="12.75" customHeight="1">
      <c r="A58" s="93"/>
      <c r="B58" s="122"/>
      <c r="C58" s="122"/>
      <c r="D58" s="122"/>
      <c r="E58" s="122"/>
      <c r="F58" s="122"/>
      <c r="G58" s="122"/>
      <c r="H58" s="122"/>
      <c r="I58" s="127"/>
      <c r="J58" s="130"/>
      <c r="K58" s="130"/>
      <c r="L58" s="130"/>
      <c r="M58" s="130"/>
      <c r="N58" s="130"/>
      <c r="O58" s="130"/>
      <c r="P58" s="130"/>
      <c r="Q58" s="130"/>
      <c r="R58" s="130"/>
      <c r="S58" s="93"/>
      <c r="T58" s="93"/>
      <c r="U58" s="93"/>
      <c r="V58" s="93"/>
      <c r="W58" s="93"/>
      <c r="X58" s="93"/>
      <c r="Y58" s="93"/>
      <c r="Z58" s="93"/>
    </row>
    <row r="59" spans="1:26" ht="12.75" customHeight="1">
      <c r="A59" s="93"/>
      <c r="B59" s="93"/>
      <c r="C59" s="93"/>
      <c r="D59" s="93"/>
      <c r="E59" s="93"/>
      <c r="F59" s="93"/>
      <c r="G59" s="93"/>
      <c r="H59" s="93"/>
      <c r="I59" s="125"/>
      <c r="J59" s="131"/>
      <c r="K59" s="131"/>
      <c r="L59" s="131"/>
      <c r="M59" s="131"/>
      <c r="N59" s="131"/>
      <c r="O59" s="131"/>
      <c r="P59" s="131"/>
      <c r="Q59" s="131"/>
      <c r="R59" s="131"/>
      <c r="S59" s="93"/>
      <c r="T59" s="93"/>
      <c r="U59" s="93"/>
      <c r="V59" s="93"/>
      <c r="W59" s="93"/>
      <c r="X59" s="93"/>
      <c r="Y59" s="93"/>
      <c r="Z59" s="93"/>
    </row>
    <row r="60" spans="1:26" ht="12.75" customHeight="1">
      <c r="A60" s="93"/>
      <c r="B60" s="93"/>
      <c r="C60" s="93"/>
      <c r="D60" s="93"/>
      <c r="E60" s="93"/>
      <c r="F60" s="93"/>
      <c r="G60" s="93"/>
      <c r="H60" s="93"/>
      <c r="I60" s="128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2.75" customHeight="1">
      <c r="A61" s="93"/>
      <c r="B61" s="93"/>
      <c r="C61" s="93"/>
      <c r="D61" s="93"/>
      <c r="E61" s="93"/>
      <c r="F61" s="93"/>
      <c r="G61" s="93"/>
      <c r="H61" s="93"/>
      <c r="I61" s="128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2.75" customHeight="1">
      <c r="A62" s="93"/>
      <c r="B62" s="93"/>
      <c r="C62" s="93"/>
      <c r="D62" s="93"/>
      <c r="E62" s="93"/>
      <c r="F62" s="93"/>
      <c r="G62" s="93"/>
      <c r="H62" s="93"/>
      <c r="I62" s="128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2.75" customHeight="1">
      <c r="A63" s="93"/>
      <c r="B63" s="93"/>
      <c r="C63" s="93"/>
      <c r="D63" s="93"/>
      <c r="E63" s="93"/>
      <c r="F63" s="93"/>
      <c r="G63" s="93"/>
      <c r="H63" s="93"/>
      <c r="I63" s="128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2.75" customHeight="1">
      <c r="A64" s="93"/>
      <c r="B64" s="93"/>
      <c r="C64" s="93"/>
      <c r="D64" s="93"/>
      <c r="E64" s="93"/>
      <c r="F64" s="93"/>
      <c r="G64" s="93"/>
      <c r="H64" s="93"/>
      <c r="I64" s="128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2.75" customHeight="1">
      <c r="A65" s="93"/>
      <c r="B65" s="93"/>
      <c r="C65" s="93"/>
      <c r="D65" s="93"/>
      <c r="E65" s="93"/>
      <c r="F65" s="93"/>
      <c r="G65" s="93"/>
      <c r="H65" s="93"/>
      <c r="I65" s="128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2.75" customHeight="1">
      <c r="A66" s="93"/>
      <c r="B66" s="93"/>
      <c r="C66" s="93"/>
      <c r="D66" s="93"/>
      <c r="E66" s="93"/>
      <c r="F66" s="93"/>
      <c r="G66" s="93"/>
      <c r="H66" s="93"/>
      <c r="I66" s="128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2.75" customHeight="1">
      <c r="A67" s="93"/>
      <c r="B67" s="93"/>
      <c r="C67" s="93"/>
      <c r="D67" s="93"/>
      <c r="E67" s="93"/>
      <c r="F67" s="93"/>
      <c r="G67" s="93"/>
      <c r="H67" s="93"/>
      <c r="I67" s="128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2.75" customHeight="1">
      <c r="A68" s="93"/>
      <c r="B68" s="93"/>
      <c r="C68" s="93"/>
      <c r="D68" s="93"/>
      <c r="E68" s="93"/>
      <c r="F68" s="93"/>
      <c r="G68" s="93"/>
      <c r="H68" s="93"/>
      <c r="I68" s="128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2.75" customHeight="1">
      <c r="A69" s="93"/>
      <c r="B69" s="93"/>
      <c r="C69" s="93"/>
      <c r="D69" s="93"/>
      <c r="E69" s="93"/>
      <c r="F69" s="93"/>
      <c r="G69" s="93"/>
      <c r="H69" s="93"/>
      <c r="I69" s="128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2.75" customHeight="1">
      <c r="A70" s="93"/>
      <c r="B70" s="93"/>
      <c r="C70" s="93"/>
      <c r="D70" s="93"/>
      <c r="E70" s="93"/>
      <c r="F70" s="93"/>
      <c r="G70" s="93"/>
      <c r="H70" s="93"/>
      <c r="I70" s="128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2.75" customHeight="1">
      <c r="A71" s="93"/>
      <c r="B71" s="93"/>
      <c r="C71" s="93"/>
      <c r="D71" s="93"/>
      <c r="E71" s="93"/>
      <c r="F71" s="93"/>
      <c r="G71" s="93"/>
      <c r="H71" s="93"/>
      <c r="I71" s="128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2.75" customHeight="1">
      <c r="A72" s="93"/>
      <c r="B72" s="93"/>
      <c r="C72" s="93"/>
      <c r="D72" s="93"/>
      <c r="E72" s="93"/>
      <c r="F72" s="93"/>
      <c r="G72" s="93"/>
      <c r="H72" s="93"/>
      <c r="I72" s="128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2.75" customHeight="1">
      <c r="A73" s="93"/>
      <c r="B73" s="93"/>
      <c r="C73" s="93"/>
      <c r="D73" s="93"/>
      <c r="E73" s="93"/>
      <c r="F73" s="93"/>
      <c r="G73" s="93"/>
      <c r="H73" s="93"/>
      <c r="I73" s="128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2.75" customHeight="1">
      <c r="A74" s="93"/>
      <c r="B74" s="93"/>
      <c r="C74" s="93"/>
      <c r="D74" s="93"/>
      <c r="E74" s="93"/>
      <c r="F74" s="93"/>
      <c r="G74" s="93"/>
      <c r="H74" s="93"/>
      <c r="I74" s="128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2.75" customHeight="1">
      <c r="A75" s="93"/>
      <c r="B75" s="93"/>
      <c r="C75" s="93"/>
      <c r="D75" s="93"/>
      <c r="E75" s="93"/>
      <c r="F75" s="93"/>
      <c r="G75" s="93"/>
      <c r="H75" s="93"/>
      <c r="I75" s="128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2.75" customHeight="1">
      <c r="A76" s="93"/>
      <c r="B76" s="93"/>
      <c r="C76" s="93"/>
      <c r="D76" s="93"/>
      <c r="E76" s="93"/>
      <c r="F76" s="93"/>
      <c r="G76" s="93"/>
      <c r="H76" s="93"/>
      <c r="I76" s="128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2.75" customHeight="1">
      <c r="A77" s="93"/>
      <c r="B77" s="93"/>
      <c r="C77" s="93"/>
      <c r="D77" s="93"/>
      <c r="E77" s="93"/>
      <c r="F77" s="93"/>
      <c r="G77" s="93"/>
      <c r="H77" s="93"/>
      <c r="I77" s="128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2.75" customHeight="1">
      <c r="A78" s="93"/>
      <c r="B78" s="93"/>
      <c r="C78" s="93"/>
      <c r="D78" s="93"/>
      <c r="E78" s="93"/>
      <c r="F78" s="93"/>
      <c r="G78" s="93"/>
      <c r="H78" s="93"/>
      <c r="I78" s="128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2.75" customHeight="1">
      <c r="A79" s="93"/>
      <c r="B79" s="93"/>
      <c r="C79" s="93"/>
      <c r="D79" s="93"/>
      <c r="E79" s="93"/>
      <c r="F79" s="93"/>
      <c r="G79" s="93"/>
      <c r="H79" s="93"/>
      <c r="I79" s="128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2.75" customHeight="1">
      <c r="A80" s="93"/>
      <c r="B80" s="93"/>
      <c r="C80" s="93"/>
      <c r="D80" s="93"/>
      <c r="E80" s="93"/>
      <c r="F80" s="93"/>
      <c r="G80" s="93"/>
      <c r="H80" s="93"/>
      <c r="I80" s="128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2.75" customHeight="1">
      <c r="A81" s="93"/>
      <c r="B81" s="93"/>
      <c r="C81" s="93"/>
      <c r="D81" s="93"/>
      <c r="E81" s="93"/>
      <c r="F81" s="93"/>
      <c r="G81" s="93"/>
      <c r="H81" s="93"/>
      <c r="I81" s="128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2.75" customHeight="1">
      <c r="A82" s="93"/>
      <c r="B82" s="93"/>
      <c r="C82" s="93"/>
      <c r="D82" s="93"/>
      <c r="E82" s="93"/>
      <c r="F82" s="93"/>
      <c r="G82" s="93"/>
      <c r="H82" s="93"/>
      <c r="I82" s="128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2.75" customHeight="1">
      <c r="A83" s="93"/>
      <c r="B83" s="93"/>
      <c r="C83" s="93"/>
      <c r="D83" s="93"/>
      <c r="E83" s="93"/>
      <c r="F83" s="93"/>
      <c r="G83" s="93"/>
      <c r="H83" s="93"/>
      <c r="I83" s="128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2.75" customHeight="1">
      <c r="A84" s="93"/>
      <c r="B84" s="93"/>
      <c r="C84" s="93"/>
      <c r="D84" s="93"/>
      <c r="E84" s="93"/>
      <c r="F84" s="93"/>
      <c r="G84" s="93"/>
      <c r="H84" s="93"/>
      <c r="I84" s="128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2.75" customHeight="1">
      <c r="A85" s="93"/>
      <c r="B85" s="93"/>
      <c r="C85" s="93"/>
      <c r="D85" s="93"/>
      <c r="E85" s="93"/>
      <c r="F85" s="93"/>
      <c r="G85" s="93"/>
      <c r="H85" s="93"/>
      <c r="I85" s="128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2.75" customHeight="1">
      <c r="A86" s="93"/>
      <c r="B86" s="93"/>
      <c r="C86" s="93"/>
      <c r="D86" s="93"/>
      <c r="E86" s="93"/>
      <c r="F86" s="93"/>
      <c r="G86" s="93"/>
      <c r="H86" s="93"/>
      <c r="I86" s="128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2.75" customHeight="1">
      <c r="A87" s="93"/>
      <c r="B87" s="93"/>
      <c r="C87" s="93"/>
      <c r="D87" s="93"/>
      <c r="E87" s="93"/>
      <c r="F87" s="93"/>
      <c r="G87" s="93"/>
      <c r="H87" s="93"/>
      <c r="I87" s="128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2.75" customHeight="1">
      <c r="A88" s="93"/>
      <c r="B88" s="93"/>
      <c r="C88" s="93"/>
      <c r="D88" s="93"/>
      <c r="E88" s="93"/>
      <c r="F88" s="93"/>
      <c r="G88" s="93"/>
      <c r="H88" s="93"/>
      <c r="I88" s="128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2.75" customHeight="1">
      <c r="A89" s="93"/>
      <c r="B89" s="93"/>
      <c r="C89" s="93"/>
      <c r="D89" s="93"/>
      <c r="E89" s="93"/>
      <c r="F89" s="93"/>
      <c r="G89" s="93"/>
      <c r="H89" s="93"/>
      <c r="I89" s="128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2.75" customHeight="1">
      <c r="A90" s="93"/>
      <c r="B90" s="93"/>
      <c r="C90" s="93"/>
      <c r="D90" s="93"/>
      <c r="E90" s="93"/>
      <c r="F90" s="93"/>
      <c r="G90" s="93"/>
      <c r="H90" s="93"/>
      <c r="I90" s="128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2.75" customHeight="1">
      <c r="A91" s="93"/>
      <c r="B91" s="93"/>
      <c r="C91" s="93"/>
      <c r="D91" s="93"/>
      <c r="E91" s="93"/>
      <c r="F91" s="93"/>
      <c r="G91" s="93"/>
      <c r="H91" s="93"/>
      <c r="I91" s="128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2.75" customHeight="1">
      <c r="A92" s="93"/>
      <c r="B92" s="93"/>
      <c r="C92" s="93"/>
      <c r="D92" s="93"/>
      <c r="E92" s="93"/>
      <c r="F92" s="93"/>
      <c r="G92" s="93"/>
      <c r="H92" s="93"/>
      <c r="I92" s="128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2.75" customHeight="1">
      <c r="A93" s="93"/>
      <c r="B93" s="93"/>
      <c r="C93" s="93"/>
      <c r="D93" s="93"/>
      <c r="E93" s="93"/>
      <c r="F93" s="93"/>
      <c r="G93" s="93"/>
      <c r="H93" s="93"/>
      <c r="I93" s="128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2.75" customHeight="1">
      <c r="A94" s="93"/>
      <c r="B94" s="93"/>
      <c r="C94" s="93"/>
      <c r="D94" s="93"/>
      <c r="E94" s="93"/>
      <c r="F94" s="93"/>
      <c r="G94" s="93"/>
      <c r="H94" s="93"/>
      <c r="I94" s="128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2.75" customHeight="1">
      <c r="A95" s="93"/>
      <c r="B95" s="93"/>
      <c r="C95" s="93"/>
      <c r="D95" s="93"/>
      <c r="E95" s="93"/>
      <c r="F95" s="93"/>
      <c r="G95" s="93"/>
      <c r="H95" s="93"/>
      <c r="I95" s="128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2.75" customHeight="1">
      <c r="A96" s="93"/>
      <c r="B96" s="93"/>
      <c r="C96" s="93"/>
      <c r="D96" s="93"/>
      <c r="E96" s="93"/>
      <c r="F96" s="93"/>
      <c r="G96" s="93"/>
      <c r="H96" s="93"/>
      <c r="I96" s="128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2.75" customHeight="1">
      <c r="A97" s="93"/>
      <c r="B97" s="93"/>
      <c r="C97" s="93"/>
      <c r="D97" s="93"/>
      <c r="E97" s="93"/>
      <c r="F97" s="93"/>
      <c r="G97" s="93"/>
      <c r="H97" s="93"/>
      <c r="I97" s="128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2.75" customHeight="1">
      <c r="A98" s="93"/>
      <c r="B98" s="93"/>
      <c r="C98" s="93"/>
      <c r="D98" s="93"/>
      <c r="E98" s="93"/>
      <c r="F98" s="93"/>
      <c r="G98" s="93"/>
      <c r="H98" s="93"/>
      <c r="I98" s="128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2.75" customHeight="1">
      <c r="A99" s="93"/>
      <c r="B99" s="93"/>
      <c r="C99" s="93"/>
      <c r="D99" s="93"/>
      <c r="E99" s="93"/>
      <c r="F99" s="93"/>
      <c r="G99" s="93"/>
      <c r="H99" s="93"/>
      <c r="I99" s="128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2.75" customHeight="1">
      <c r="A100" s="93"/>
      <c r="B100" s="93"/>
      <c r="C100" s="93"/>
      <c r="D100" s="93"/>
      <c r="E100" s="93"/>
      <c r="F100" s="93"/>
      <c r="G100" s="93"/>
      <c r="H100" s="93"/>
      <c r="I100" s="128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2.75" customHeight="1">
      <c r="A101" s="93"/>
      <c r="B101" s="93"/>
      <c r="C101" s="93"/>
      <c r="D101" s="93"/>
      <c r="E101" s="93"/>
      <c r="F101" s="93"/>
      <c r="G101" s="93"/>
      <c r="H101" s="93"/>
      <c r="I101" s="128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2.75" customHeight="1">
      <c r="A102" s="93"/>
      <c r="B102" s="93"/>
      <c r="C102" s="93"/>
      <c r="D102" s="93"/>
      <c r="E102" s="93"/>
      <c r="F102" s="93"/>
      <c r="G102" s="93"/>
      <c r="H102" s="93"/>
      <c r="I102" s="128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2.75" customHeight="1">
      <c r="A103" s="93"/>
      <c r="B103" s="93"/>
      <c r="C103" s="93"/>
      <c r="D103" s="93"/>
      <c r="E103" s="93"/>
      <c r="F103" s="93"/>
      <c r="G103" s="93"/>
      <c r="H103" s="93"/>
      <c r="I103" s="128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2.75" customHeight="1">
      <c r="A104" s="93"/>
      <c r="B104" s="93"/>
      <c r="C104" s="93"/>
      <c r="D104" s="93"/>
      <c r="E104" s="93"/>
      <c r="F104" s="93"/>
      <c r="G104" s="93"/>
      <c r="H104" s="93"/>
      <c r="I104" s="128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2.75" customHeight="1">
      <c r="A105" s="93"/>
      <c r="B105" s="93"/>
      <c r="C105" s="93"/>
      <c r="D105" s="93"/>
      <c r="E105" s="93"/>
      <c r="F105" s="93"/>
      <c r="G105" s="93"/>
      <c r="H105" s="93"/>
      <c r="I105" s="128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2.75" customHeight="1">
      <c r="A106" s="93"/>
      <c r="B106" s="93"/>
      <c r="C106" s="93"/>
      <c r="D106" s="93"/>
      <c r="E106" s="93"/>
      <c r="F106" s="93"/>
      <c r="G106" s="93"/>
      <c r="H106" s="93"/>
      <c r="I106" s="128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2.75" customHeight="1">
      <c r="A107" s="93"/>
      <c r="B107" s="93"/>
      <c r="C107" s="93"/>
      <c r="D107" s="93"/>
      <c r="E107" s="93"/>
      <c r="F107" s="93"/>
      <c r="G107" s="93"/>
      <c r="H107" s="93"/>
      <c r="I107" s="128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2.75" customHeight="1">
      <c r="A108" s="93"/>
      <c r="B108" s="93"/>
      <c r="C108" s="93"/>
      <c r="D108" s="93"/>
      <c r="E108" s="93"/>
      <c r="F108" s="93"/>
      <c r="G108" s="93"/>
      <c r="H108" s="93"/>
      <c r="I108" s="128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2.75" customHeight="1">
      <c r="A109" s="93"/>
      <c r="B109" s="93"/>
      <c r="C109" s="93"/>
      <c r="D109" s="93"/>
      <c r="E109" s="93"/>
      <c r="F109" s="93"/>
      <c r="G109" s="93"/>
      <c r="H109" s="93"/>
      <c r="I109" s="128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2.75" customHeight="1">
      <c r="A110" s="93"/>
      <c r="B110" s="93"/>
      <c r="C110" s="93"/>
      <c r="D110" s="93"/>
      <c r="E110" s="93"/>
      <c r="F110" s="93"/>
      <c r="G110" s="93"/>
      <c r="H110" s="93"/>
      <c r="I110" s="128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2.75" customHeight="1">
      <c r="A111" s="93"/>
      <c r="B111" s="93"/>
      <c r="C111" s="93"/>
      <c r="D111" s="93"/>
      <c r="E111" s="93"/>
      <c r="F111" s="93"/>
      <c r="G111" s="93"/>
      <c r="H111" s="93"/>
      <c r="I111" s="128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2.75" customHeight="1">
      <c r="A112" s="93"/>
      <c r="B112" s="93"/>
      <c r="C112" s="93"/>
      <c r="D112" s="93"/>
      <c r="E112" s="93"/>
      <c r="F112" s="93"/>
      <c r="G112" s="93"/>
      <c r="H112" s="93"/>
      <c r="I112" s="128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2.75" customHeight="1">
      <c r="A113" s="93"/>
      <c r="B113" s="93"/>
      <c r="C113" s="93"/>
      <c r="D113" s="93"/>
      <c r="E113" s="93"/>
      <c r="F113" s="93"/>
      <c r="G113" s="93"/>
      <c r="H113" s="93"/>
      <c r="I113" s="128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2.75" customHeight="1">
      <c r="A114" s="93"/>
      <c r="B114" s="93"/>
      <c r="C114" s="93"/>
      <c r="D114" s="93"/>
      <c r="E114" s="93"/>
      <c r="F114" s="93"/>
      <c r="G114" s="93"/>
      <c r="H114" s="93"/>
      <c r="I114" s="128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2.75" customHeight="1">
      <c r="A115" s="93"/>
      <c r="B115" s="93"/>
      <c r="C115" s="93"/>
      <c r="D115" s="93"/>
      <c r="E115" s="93"/>
      <c r="F115" s="93"/>
      <c r="G115" s="93"/>
      <c r="H115" s="93"/>
      <c r="I115" s="128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2.75" customHeight="1">
      <c r="A116" s="93"/>
      <c r="B116" s="93"/>
      <c r="C116" s="93"/>
      <c r="D116" s="93"/>
      <c r="E116" s="93"/>
      <c r="F116" s="93"/>
      <c r="G116" s="93"/>
      <c r="H116" s="93"/>
      <c r="I116" s="128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2.75" customHeight="1">
      <c r="A117" s="93"/>
      <c r="B117" s="93"/>
      <c r="C117" s="93"/>
      <c r="D117" s="93"/>
      <c r="E117" s="93"/>
      <c r="F117" s="93"/>
      <c r="G117" s="93"/>
      <c r="H117" s="93"/>
      <c r="I117" s="128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2.75" customHeight="1">
      <c r="A118" s="93"/>
      <c r="B118" s="93"/>
      <c r="C118" s="93"/>
      <c r="D118" s="93"/>
      <c r="E118" s="93"/>
      <c r="F118" s="93"/>
      <c r="G118" s="93"/>
      <c r="H118" s="93"/>
      <c r="I118" s="128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2.75" customHeight="1">
      <c r="A119" s="93"/>
      <c r="B119" s="93"/>
      <c r="C119" s="93"/>
      <c r="D119" s="93"/>
      <c r="E119" s="93"/>
      <c r="F119" s="93"/>
      <c r="G119" s="93"/>
      <c r="H119" s="93"/>
      <c r="I119" s="128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2.75" customHeight="1">
      <c r="A120" s="93"/>
      <c r="B120" s="93"/>
      <c r="C120" s="93"/>
      <c r="D120" s="93"/>
      <c r="E120" s="93"/>
      <c r="F120" s="93"/>
      <c r="G120" s="93"/>
      <c r="H120" s="93"/>
      <c r="I120" s="128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2.75" customHeight="1">
      <c r="A121" s="93"/>
      <c r="B121" s="93"/>
      <c r="C121" s="93"/>
      <c r="D121" s="93"/>
      <c r="E121" s="93"/>
      <c r="F121" s="93"/>
      <c r="G121" s="93"/>
      <c r="H121" s="93"/>
      <c r="I121" s="128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2.75" customHeight="1">
      <c r="A122" s="93"/>
      <c r="B122" s="93"/>
      <c r="C122" s="93"/>
      <c r="D122" s="93"/>
      <c r="E122" s="93"/>
      <c r="F122" s="93"/>
      <c r="G122" s="93"/>
      <c r="H122" s="93"/>
      <c r="I122" s="128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2.75" customHeight="1">
      <c r="A123" s="93"/>
      <c r="B123" s="93"/>
      <c r="C123" s="93"/>
      <c r="D123" s="93"/>
      <c r="E123" s="93"/>
      <c r="F123" s="93"/>
      <c r="G123" s="93"/>
      <c r="H123" s="93"/>
      <c r="I123" s="128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2.75" customHeight="1">
      <c r="A124" s="93"/>
      <c r="B124" s="93"/>
      <c r="C124" s="93"/>
      <c r="D124" s="93"/>
      <c r="E124" s="93"/>
      <c r="F124" s="93"/>
      <c r="G124" s="93"/>
      <c r="H124" s="93"/>
      <c r="I124" s="128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2.75" customHeight="1">
      <c r="A125" s="93"/>
      <c r="B125" s="93"/>
      <c r="C125" s="93"/>
      <c r="D125" s="93"/>
      <c r="E125" s="93"/>
      <c r="F125" s="93"/>
      <c r="G125" s="93"/>
      <c r="H125" s="93"/>
      <c r="I125" s="128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2.75" customHeight="1">
      <c r="A126" s="93"/>
      <c r="B126" s="93"/>
      <c r="C126" s="93"/>
      <c r="D126" s="93"/>
      <c r="E126" s="93"/>
      <c r="F126" s="93"/>
      <c r="G126" s="93"/>
      <c r="H126" s="93"/>
      <c r="I126" s="128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2.75" customHeight="1">
      <c r="A127" s="93"/>
      <c r="B127" s="93"/>
      <c r="C127" s="93"/>
      <c r="D127" s="93"/>
      <c r="E127" s="93"/>
      <c r="F127" s="93"/>
      <c r="G127" s="93"/>
      <c r="H127" s="93"/>
      <c r="I127" s="128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2.75" customHeight="1">
      <c r="A128" s="93"/>
      <c r="B128" s="93"/>
      <c r="C128" s="93"/>
      <c r="D128" s="93"/>
      <c r="E128" s="93"/>
      <c r="F128" s="93"/>
      <c r="G128" s="93"/>
      <c r="H128" s="93"/>
      <c r="I128" s="128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2.75" customHeight="1">
      <c r="A129" s="93"/>
      <c r="B129" s="93"/>
      <c r="C129" s="93"/>
      <c r="D129" s="93"/>
      <c r="E129" s="93"/>
      <c r="F129" s="93"/>
      <c r="G129" s="93"/>
      <c r="H129" s="93"/>
      <c r="I129" s="128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2.75" customHeight="1">
      <c r="A130" s="93"/>
      <c r="B130" s="93"/>
      <c r="C130" s="93"/>
      <c r="D130" s="93"/>
      <c r="E130" s="93"/>
      <c r="F130" s="93"/>
      <c r="G130" s="93"/>
      <c r="H130" s="93"/>
      <c r="I130" s="128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2.75" customHeight="1">
      <c r="A131" s="93"/>
      <c r="B131" s="93"/>
      <c r="C131" s="93"/>
      <c r="D131" s="93"/>
      <c r="E131" s="93"/>
      <c r="F131" s="93"/>
      <c r="G131" s="93"/>
      <c r="H131" s="93"/>
      <c r="I131" s="128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2.75" customHeight="1">
      <c r="A132" s="93"/>
      <c r="B132" s="93"/>
      <c r="C132" s="93"/>
      <c r="D132" s="93"/>
      <c r="E132" s="93"/>
      <c r="F132" s="93"/>
      <c r="G132" s="93"/>
      <c r="H132" s="93"/>
      <c r="I132" s="128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2.75" customHeight="1">
      <c r="A133" s="93"/>
      <c r="B133" s="93"/>
      <c r="C133" s="93"/>
      <c r="D133" s="93"/>
      <c r="E133" s="93"/>
      <c r="F133" s="93"/>
      <c r="G133" s="93"/>
      <c r="H133" s="93"/>
      <c r="I133" s="128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2.75" customHeight="1">
      <c r="A134" s="93"/>
      <c r="B134" s="93"/>
      <c r="C134" s="93"/>
      <c r="D134" s="93"/>
      <c r="E134" s="93"/>
      <c r="F134" s="93"/>
      <c r="G134" s="93"/>
      <c r="H134" s="93"/>
      <c r="I134" s="128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2.75" customHeight="1">
      <c r="A135" s="93"/>
      <c r="B135" s="93"/>
      <c r="C135" s="93"/>
      <c r="D135" s="93"/>
      <c r="E135" s="93"/>
      <c r="F135" s="93"/>
      <c r="G135" s="93"/>
      <c r="H135" s="93"/>
      <c r="I135" s="128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2.75" customHeight="1">
      <c r="A136" s="93"/>
      <c r="B136" s="93"/>
      <c r="C136" s="93"/>
      <c r="D136" s="93"/>
      <c r="E136" s="93"/>
      <c r="F136" s="93"/>
      <c r="G136" s="93"/>
      <c r="H136" s="93"/>
      <c r="I136" s="128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2.75" customHeight="1">
      <c r="A137" s="93"/>
      <c r="B137" s="93"/>
      <c r="C137" s="93"/>
      <c r="D137" s="93"/>
      <c r="E137" s="93"/>
      <c r="F137" s="93"/>
      <c r="G137" s="93"/>
      <c r="H137" s="93"/>
      <c r="I137" s="128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2.75" customHeight="1">
      <c r="A138" s="93"/>
      <c r="B138" s="93"/>
      <c r="C138" s="93"/>
      <c r="D138" s="93"/>
      <c r="E138" s="93"/>
      <c r="F138" s="93"/>
      <c r="G138" s="93"/>
      <c r="H138" s="93"/>
      <c r="I138" s="128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2.75" customHeight="1">
      <c r="A139" s="93"/>
      <c r="B139" s="93"/>
      <c r="C139" s="93"/>
      <c r="D139" s="93"/>
      <c r="E139" s="93"/>
      <c r="F139" s="93"/>
      <c r="G139" s="93"/>
      <c r="H139" s="93"/>
      <c r="I139" s="128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2.75" customHeight="1">
      <c r="A140" s="93"/>
      <c r="B140" s="93"/>
      <c r="C140" s="93"/>
      <c r="D140" s="93"/>
      <c r="E140" s="93"/>
      <c r="F140" s="93"/>
      <c r="G140" s="93"/>
      <c r="H140" s="93"/>
      <c r="I140" s="128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2.75" customHeight="1">
      <c r="A141" s="93"/>
      <c r="B141" s="93"/>
      <c r="C141" s="93"/>
      <c r="D141" s="93"/>
      <c r="E141" s="93"/>
      <c r="F141" s="93"/>
      <c r="G141" s="93"/>
      <c r="H141" s="93"/>
      <c r="I141" s="128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2.75" customHeight="1">
      <c r="A142" s="93"/>
      <c r="B142" s="93"/>
      <c r="C142" s="93"/>
      <c r="D142" s="93"/>
      <c r="E142" s="93"/>
      <c r="F142" s="93"/>
      <c r="G142" s="93"/>
      <c r="H142" s="93"/>
      <c r="I142" s="128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2.75" customHeight="1">
      <c r="A143" s="93"/>
      <c r="B143" s="93"/>
      <c r="C143" s="93"/>
      <c r="D143" s="93"/>
      <c r="E143" s="93"/>
      <c r="F143" s="93"/>
      <c r="G143" s="93"/>
      <c r="H143" s="93"/>
      <c r="I143" s="128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2.75" customHeight="1">
      <c r="A144" s="93"/>
      <c r="B144" s="93"/>
      <c r="C144" s="93"/>
      <c r="D144" s="93"/>
      <c r="E144" s="93"/>
      <c r="F144" s="93"/>
      <c r="G144" s="93"/>
      <c r="H144" s="93"/>
      <c r="I144" s="128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2.75" customHeight="1">
      <c r="A145" s="93"/>
      <c r="B145" s="93"/>
      <c r="C145" s="93"/>
      <c r="D145" s="93"/>
      <c r="E145" s="93"/>
      <c r="F145" s="93"/>
      <c r="G145" s="93"/>
      <c r="H145" s="93"/>
      <c r="I145" s="128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2.75" customHeight="1">
      <c r="A146" s="93"/>
      <c r="B146" s="93"/>
      <c r="C146" s="93"/>
      <c r="D146" s="93"/>
      <c r="E146" s="93"/>
      <c r="F146" s="93"/>
      <c r="G146" s="93"/>
      <c r="H146" s="93"/>
      <c r="I146" s="128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2.75" customHeight="1">
      <c r="A147" s="93"/>
      <c r="B147" s="93"/>
      <c r="C147" s="93"/>
      <c r="D147" s="93"/>
      <c r="E147" s="93"/>
      <c r="F147" s="93"/>
      <c r="G147" s="93"/>
      <c r="H147" s="93"/>
      <c r="I147" s="128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2.75" customHeight="1">
      <c r="A148" s="93"/>
      <c r="B148" s="93"/>
      <c r="C148" s="93"/>
      <c r="D148" s="93"/>
      <c r="E148" s="93"/>
      <c r="F148" s="93"/>
      <c r="G148" s="93"/>
      <c r="H148" s="93"/>
      <c r="I148" s="128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2.75" customHeight="1">
      <c r="A149" s="93"/>
      <c r="B149" s="93"/>
      <c r="C149" s="93"/>
      <c r="D149" s="93"/>
      <c r="E149" s="93"/>
      <c r="F149" s="93"/>
      <c r="G149" s="93"/>
      <c r="H149" s="93"/>
      <c r="I149" s="128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2.75" customHeight="1">
      <c r="A150" s="93"/>
      <c r="B150" s="93"/>
      <c r="C150" s="93"/>
      <c r="D150" s="93"/>
      <c r="E150" s="93"/>
      <c r="F150" s="93"/>
      <c r="G150" s="93"/>
      <c r="H150" s="93"/>
      <c r="I150" s="128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2.75" customHeight="1">
      <c r="A151" s="93"/>
      <c r="B151" s="93"/>
      <c r="C151" s="93"/>
      <c r="D151" s="93"/>
      <c r="E151" s="93"/>
      <c r="F151" s="93"/>
      <c r="G151" s="93"/>
      <c r="H151" s="93"/>
      <c r="I151" s="128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2.75" customHeight="1">
      <c r="A152" s="93"/>
      <c r="B152" s="93"/>
      <c r="C152" s="93"/>
      <c r="D152" s="93"/>
      <c r="E152" s="93"/>
      <c r="F152" s="93"/>
      <c r="G152" s="93"/>
      <c r="H152" s="93"/>
      <c r="I152" s="128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2.75" customHeight="1">
      <c r="A153" s="93"/>
      <c r="B153" s="93"/>
      <c r="C153" s="93"/>
      <c r="D153" s="93"/>
      <c r="E153" s="93"/>
      <c r="F153" s="93"/>
      <c r="G153" s="93"/>
      <c r="H153" s="93"/>
      <c r="I153" s="128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2.75" customHeight="1">
      <c r="A154" s="93"/>
      <c r="B154" s="93"/>
      <c r="C154" s="93"/>
      <c r="D154" s="93"/>
      <c r="E154" s="93"/>
      <c r="F154" s="93"/>
      <c r="G154" s="93"/>
      <c r="H154" s="93"/>
      <c r="I154" s="128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2.75" customHeight="1">
      <c r="A155" s="93"/>
      <c r="B155" s="93"/>
      <c r="C155" s="93"/>
      <c r="D155" s="93"/>
      <c r="E155" s="93"/>
      <c r="F155" s="93"/>
      <c r="G155" s="93"/>
      <c r="H155" s="93"/>
      <c r="I155" s="128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2.75" customHeight="1">
      <c r="A156" s="93"/>
      <c r="B156" s="93"/>
      <c r="C156" s="93"/>
      <c r="D156" s="93"/>
      <c r="E156" s="93"/>
      <c r="F156" s="93"/>
      <c r="G156" s="93"/>
      <c r="H156" s="93"/>
      <c r="I156" s="128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2.75" customHeight="1">
      <c r="A157" s="93"/>
      <c r="B157" s="93"/>
      <c r="C157" s="93"/>
      <c r="D157" s="93"/>
      <c r="E157" s="93"/>
      <c r="F157" s="93"/>
      <c r="G157" s="93"/>
      <c r="H157" s="93"/>
      <c r="I157" s="128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2.75" customHeight="1">
      <c r="A158" s="93"/>
      <c r="B158" s="93"/>
      <c r="C158" s="93"/>
      <c r="D158" s="93"/>
      <c r="E158" s="93"/>
      <c r="F158" s="93"/>
      <c r="G158" s="93"/>
      <c r="H158" s="93"/>
      <c r="I158" s="128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2.75" customHeight="1">
      <c r="A159" s="93"/>
      <c r="B159" s="93"/>
      <c r="C159" s="93"/>
      <c r="D159" s="93"/>
      <c r="E159" s="93"/>
      <c r="F159" s="93"/>
      <c r="G159" s="93"/>
      <c r="H159" s="93"/>
      <c r="I159" s="128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2.75" customHeight="1">
      <c r="A160" s="93"/>
      <c r="B160" s="93"/>
      <c r="C160" s="93"/>
      <c r="D160" s="93"/>
      <c r="E160" s="93"/>
      <c r="F160" s="93"/>
      <c r="G160" s="93"/>
      <c r="H160" s="93"/>
      <c r="I160" s="128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2.75" customHeight="1">
      <c r="A161" s="93"/>
      <c r="B161" s="93"/>
      <c r="C161" s="93"/>
      <c r="D161" s="93"/>
      <c r="E161" s="93"/>
      <c r="F161" s="93"/>
      <c r="G161" s="93"/>
      <c r="H161" s="93"/>
      <c r="I161" s="128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2.75" customHeight="1">
      <c r="A162" s="93"/>
      <c r="B162" s="93"/>
      <c r="C162" s="93"/>
      <c r="D162" s="93"/>
      <c r="E162" s="93"/>
      <c r="F162" s="93"/>
      <c r="G162" s="93"/>
      <c r="H162" s="93"/>
      <c r="I162" s="128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2.75" customHeight="1">
      <c r="A163" s="93"/>
      <c r="B163" s="93"/>
      <c r="C163" s="93"/>
      <c r="D163" s="93"/>
      <c r="E163" s="93"/>
      <c r="F163" s="93"/>
      <c r="G163" s="93"/>
      <c r="H163" s="93"/>
      <c r="I163" s="128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2.75" customHeight="1">
      <c r="A164" s="93"/>
      <c r="B164" s="93"/>
      <c r="C164" s="93"/>
      <c r="D164" s="93"/>
      <c r="E164" s="93"/>
      <c r="F164" s="93"/>
      <c r="G164" s="93"/>
      <c r="H164" s="93"/>
      <c r="I164" s="128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2.75" customHeight="1">
      <c r="A165" s="93"/>
      <c r="B165" s="93"/>
      <c r="C165" s="93"/>
      <c r="D165" s="93"/>
      <c r="E165" s="93"/>
      <c r="F165" s="93"/>
      <c r="G165" s="93"/>
      <c r="H165" s="93"/>
      <c r="I165" s="128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2.75" customHeight="1">
      <c r="A166" s="93"/>
      <c r="B166" s="93"/>
      <c r="C166" s="93"/>
      <c r="D166" s="93"/>
      <c r="E166" s="93"/>
      <c r="F166" s="93"/>
      <c r="G166" s="93"/>
      <c r="H166" s="93"/>
      <c r="I166" s="128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2.75" customHeight="1">
      <c r="A167" s="93"/>
      <c r="B167" s="93"/>
      <c r="C167" s="93"/>
      <c r="D167" s="93"/>
      <c r="E167" s="93"/>
      <c r="F167" s="93"/>
      <c r="G167" s="93"/>
      <c r="H167" s="93"/>
      <c r="I167" s="128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2.75" customHeight="1">
      <c r="A168" s="93"/>
      <c r="B168" s="93"/>
      <c r="C168" s="93"/>
      <c r="D168" s="93"/>
      <c r="E168" s="93"/>
      <c r="F168" s="93"/>
      <c r="G168" s="93"/>
      <c r="H168" s="93"/>
      <c r="I168" s="128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2.75" customHeight="1">
      <c r="A169" s="93"/>
      <c r="B169" s="93"/>
      <c r="C169" s="93"/>
      <c r="D169" s="93"/>
      <c r="E169" s="93"/>
      <c r="F169" s="93"/>
      <c r="G169" s="93"/>
      <c r="H169" s="93"/>
      <c r="I169" s="128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2.75" customHeight="1">
      <c r="A170" s="93"/>
      <c r="B170" s="93"/>
      <c r="C170" s="93"/>
      <c r="D170" s="93"/>
      <c r="E170" s="93"/>
      <c r="F170" s="93"/>
      <c r="G170" s="93"/>
      <c r="H170" s="93"/>
      <c r="I170" s="128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2.75" customHeight="1">
      <c r="A171" s="93"/>
      <c r="B171" s="93"/>
      <c r="C171" s="93"/>
      <c r="D171" s="93"/>
      <c r="E171" s="93"/>
      <c r="F171" s="93"/>
      <c r="G171" s="93"/>
      <c r="H171" s="93"/>
      <c r="I171" s="128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2.75" customHeight="1">
      <c r="A172" s="93"/>
      <c r="B172" s="93"/>
      <c r="C172" s="93"/>
      <c r="D172" s="93"/>
      <c r="E172" s="93"/>
      <c r="F172" s="93"/>
      <c r="G172" s="93"/>
      <c r="H172" s="93"/>
      <c r="I172" s="128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2.75" customHeight="1">
      <c r="A173" s="93"/>
      <c r="B173" s="93"/>
      <c r="C173" s="93"/>
      <c r="D173" s="93"/>
      <c r="E173" s="93"/>
      <c r="F173" s="93"/>
      <c r="G173" s="93"/>
      <c r="H173" s="93"/>
      <c r="I173" s="128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2.75" customHeight="1">
      <c r="A174" s="93"/>
      <c r="B174" s="93"/>
      <c r="C174" s="93"/>
      <c r="D174" s="93"/>
      <c r="E174" s="93"/>
      <c r="F174" s="93"/>
      <c r="G174" s="93"/>
      <c r="H174" s="93"/>
      <c r="I174" s="128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2.75" customHeight="1">
      <c r="A175" s="93"/>
      <c r="B175" s="93"/>
      <c r="C175" s="93"/>
      <c r="D175" s="93"/>
      <c r="E175" s="93"/>
      <c r="F175" s="93"/>
      <c r="G175" s="93"/>
      <c r="H175" s="93"/>
      <c r="I175" s="128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2.75" customHeight="1">
      <c r="A176" s="93"/>
      <c r="B176" s="93"/>
      <c r="C176" s="93"/>
      <c r="D176" s="93"/>
      <c r="E176" s="93"/>
      <c r="F176" s="93"/>
      <c r="G176" s="93"/>
      <c r="H176" s="93"/>
      <c r="I176" s="128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2.75" customHeight="1">
      <c r="A177" s="93"/>
      <c r="B177" s="93"/>
      <c r="C177" s="93"/>
      <c r="D177" s="93"/>
      <c r="E177" s="93"/>
      <c r="F177" s="93"/>
      <c r="G177" s="93"/>
      <c r="H177" s="93"/>
      <c r="I177" s="128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2.75" customHeight="1">
      <c r="A178" s="93"/>
      <c r="B178" s="93"/>
      <c r="C178" s="93"/>
      <c r="D178" s="93"/>
      <c r="E178" s="93"/>
      <c r="F178" s="93"/>
      <c r="G178" s="93"/>
      <c r="H178" s="93"/>
      <c r="I178" s="128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2.75" customHeight="1">
      <c r="A179" s="93"/>
      <c r="B179" s="93"/>
      <c r="C179" s="93"/>
      <c r="D179" s="93"/>
      <c r="E179" s="93"/>
      <c r="F179" s="93"/>
      <c r="G179" s="93"/>
      <c r="H179" s="93"/>
      <c r="I179" s="128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2.75" customHeight="1">
      <c r="A180" s="93"/>
      <c r="B180" s="93"/>
      <c r="C180" s="93"/>
      <c r="D180" s="93"/>
      <c r="E180" s="93"/>
      <c r="F180" s="93"/>
      <c r="G180" s="93"/>
      <c r="H180" s="93"/>
      <c r="I180" s="128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2.75" customHeight="1">
      <c r="A181" s="93"/>
      <c r="B181" s="93"/>
      <c r="C181" s="93"/>
      <c r="D181" s="93"/>
      <c r="E181" s="93"/>
      <c r="F181" s="93"/>
      <c r="G181" s="93"/>
      <c r="H181" s="93"/>
      <c r="I181" s="128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2.75" customHeight="1">
      <c r="A182" s="93"/>
      <c r="B182" s="93"/>
      <c r="C182" s="93"/>
      <c r="D182" s="93"/>
      <c r="E182" s="93"/>
      <c r="F182" s="93"/>
      <c r="G182" s="93"/>
      <c r="H182" s="93"/>
      <c r="I182" s="128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2.75" customHeight="1">
      <c r="A183" s="93"/>
      <c r="B183" s="93"/>
      <c r="C183" s="93"/>
      <c r="D183" s="93"/>
      <c r="E183" s="93"/>
      <c r="F183" s="93"/>
      <c r="G183" s="93"/>
      <c r="H183" s="93"/>
      <c r="I183" s="128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2.75" customHeight="1">
      <c r="A184" s="93"/>
      <c r="B184" s="93"/>
      <c r="C184" s="93"/>
      <c r="D184" s="93"/>
      <c r="E184" s="93"/>
      <c r="F184" s="93"/>
      <c r="G184" s="93"/>
      <c r="H184" s="93"/>
      <c r="I184" s="128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2.75" customHeight="1">
      <c r="A185" s="93"/>
      <c r="B185" s="93"/>
      <c r="C185" s="93"/>
      <c r="D185" s="93"/>
      <c r="E185" s="93"/>
      <c r="F185" s="93"/>
      <c r="G185" s="93"/>
      <c r="H185" s="93"/>
      <c r="I185" s="128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2.75" customHeight="1">
      <c r="A186" s="93"/>
      <c r="B186" s="93"/>
      <c r="C186" s="93"/>
      <c r="D186" s="93"/>
      <c r="E186" s="93"/>
      <c r="F186" s="93"/>
      <c r="G186" s="93"/>
      <c r="H186" s="93"/>
      <c r="I186" s="128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2.75" customHeight="1">
      <c r="A187" s="93"/>
      <c r="B187" s="93"/>
      <c r="C187" s="93"/>
      <c r="D187" s="93"/>
      <c r="E187" s="93"/>
      <c r="F187" s="93"/>
      <c r="G187" s="93"/>
      <c r="H187" s="93"/>
      <c r="I187" s="128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2.75" customHeight="1">
      <c r="A188" s="93"/>
      <c r="B188" s="93"/>
      <c r="C188" s="93"/>
      <c r="D188" s="93"/>
      <c r="E188" s="93"/>
      <c r="F188" s="93"/>
      <c r="G188" s="93"/>
      <c r="H188" s="93"/>
      <c r="I188" s="128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2.75" customHeight="1">
      <c r="A189" s="93"/>
      <c r="B189" s="93"/>
      <c r="C189" s="93"/>
      <c r="D189" s="93"/>
      <c r="E189" s="93"/>
      <c r="F189" s="93"/>
      <c r="G189" s="93"/>
      <c r="H189" s="93"/>
      <c r="I189" s="128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2.75" customHeight="1">
      <c r="A190" s="93"/>
      <c r="B190" s="93"/>
      <c r="C190" s="93"/>
      <c r="D190" s="93"/>
      <c r="E190" s="93"/>
      <c r="F190" s="93"/>
      <c r="G190" s="93"/>
      <c r="H190" s="93"/>
      <c r="I190" s="128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2.75" customHeight="1">
      <c r="A191" s="93"/>
      <c r="B191" s="93"/>
      <c r="C191" s="93"/>
      <c r="D191" s="93"/>
      <c r="E191" s="93"/>
      <c r="F191" s="93"/>
      <c r="G191" s="93"/>
      <c r="H191" s="93"/>
      <c r="I191" s="128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2.75" customHeight="1">
      <c r="A192" s="93"/>
      <c r="B192" s="93"/>
      <c r="C192" s="93"/>
      <c r="D192" s="93"/>
      <c r="E192" s="93"/>
      <c r="F192" s="93"/>
      <c r="G192" s="93"/>
      <c r="H192" s="93"/>
      <c r="I192" s="128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2.75" customHeight="1">
      <c r="A193" s="93"/>
      <c r="B193" s="93"/>
      <c r="C193" s="93"/>
      <c r="D193" s="93"/>
      <c r="E193" s="93"/>
      <c r="F193" s="93"/>
      <c r="G193" s="93"/>
      <c r="H193" s="93"/>
      <c r="I193" s="128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2.75" customHeight="1">
      <c r="A194" s="93"/>
      <c r="B194" s="93"/>
      <c r="C194" s="93"/>
      <c r="D194" s="93"/>
      <c r="E194" s="93"/>
      <c r="F194" s="93"/>
      <c r="G194" s="93"/>
      <c r="H194" s="93"/>
      <c r="I194" s="128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2.75" customHeight="1">
      <c r="A195" s="93"/>
      <c r="B195" s="93"/>
      <c r="C195" s="93"/>
      <c r="D195" s="93"/>
      <c r="E195" s="93"/>
      <c r="F195" s="93"/>
      <c r="G195" s="93"/>
      <c r="H195" s="93"/>
      <c r="I195" s="128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2.75" customHeight="1">
      <c r="A196" s="93"/>
      <c r="B196" s="93"/>
      <c r="C196" s="93"/>
      <c r="D196" s="93"/>
      <c r="E196" s="93"/>
      <c r="F196" s="93"/>
      <c r="G196" s="93"/>
      <c r="H196" s="93"/>
      <c r="I196" s="128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2.75" customHeight="1">
      <c r="A197" s="93"/>
      <c r="B197" s="93"/>
      <c r="C197" s="93"/>
      <c r="D197" s="93"/>
      <c r="E197" s="93"/>
      <c r="F197" s="93"/>
      <c r="G197" s="93"/>
      <c r="H197" s="93"/>
      <c r="I197" s="128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2.75" customHeight="1">
      <c r="A198" s="93"/>
      <c r="B198" s="93"/>
      <c r="C198" s="93"/>
      <c r="D198" s="93"/>
      <c r="E198" s="93"/>
      <c r="F198" s="93"/>
      <c r="G198" s="93"/>
      <c r="H198" s="93"/>
      <c r="I198" s="128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2.75" customHeight="1">
      <c r="A199" s="93"/>
      <c r="B199" s="93"/>
      <c r="C199" s="93"/>
      <c r="D199" s="93"/>
      <c r="E199" s="93"/>
      <c r="F199" s="93"/>
      <c r="G199" s="93"/>
      <c r="H199" s="93"/>
      <c r="I199" s="128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2.75" customHeight="1">
      <c r="A200" s="93"/>
      <c r="B200" s="93"/>
      <c r="C200" s="93"/>
      <c r="D200" s="93"/>
      <c r="E200" s="93"/>
      <c r="F200" s="93"/>
      <c r="G200" s="93"/>
      <c r="H200" s="93"/>
      <c r="I200" s="128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2.75" customHeight="1">
      <c r="A201" s="93"/>
      <c r="B201" s="93"/>
      <c r="C201" s="93"/>
      <c r="D201" s="93"/>
      <c r="E201" s="93"/>
      <c r="F201" s="93"/>
      <c r="G201" s="93"/>
      <c r="H201" s="93"/>
      <c r="I201" s="128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2.75" customHeight="1">
      <c r="A202" s="93"/>
      <c r="B202" s="93"/>
      <c r="C202" s="93"/>
      <c r="D202" s="93"/>
      <c r="E202" s="93"/>
      <c r="F202" s="93"/>
      <c r="G202" s="93"/>
      <c r="H202" s="93"/>
      <c r="I202" s="128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2.75" customHeight="1">
      <c r="A203" s="93"/>
      <c r="B203" s="93"/>
      <c r="C203" s="93"/>
      <c r="D203" s="93"/>
      <c r="E203" s="93"/>
      <c r="F203" s="93"/>
      <c r="G203" s="93"/>
      <c r="H203" s="93"/>
      <c r="I203" s="128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2.75" customHeight="1">
      <c r="A204" s="93"/>
      <c r="B204" s="93"/>
      <c r="C204" s="93"/>
      <c r="D204" s="93"/>
      <c r="E204" s="93"/>
      <c r="F204" s="93"/>
      <c r="G204" s="93"/>
      <c r="H204" s="93"/>
      <c r="I204" s="128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2.75" customHeight="1">
      <c r="A205" s="93"/>
      <c r="B205" s="93"/>
      <c r="C205" s="93"/>
      <c r="D205" s="93"/>
      <c r="E205" s="93"/>
      <c r="F205" s="93"/>
      <c r="G205" s="93"/>
      <c r="H205" s="93"/>
      <c r="I205" s="128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2.75" customHeight="1">
      <c r="A206" s="93"/>
      <c r="B206" s="93"/>
      <c r="C206" s="93"/>
      <c r="D206" s="93"/>
      <c r="E206" s="93"/>
      <c r="F206" s="93"/>
      <c r="G206" s="93"/>
      <c r="H206" s="93"/>
      <c r="I206" s="128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2.75" customHeight="1">
      <c r="A207" s="93"/>
      <c r="B207" s="93"/>
      <c r="C207" s="93"/>
      <c r="D207" s="93"/>
      <c r="E207" s="93"/>
      <c r="F207" s="93"/>
      <c r="G207" s="93"/>
      <c r="H207" s="93"/>
      <c r="I207" s="128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2.75" customHeight="1">
      <c r="A208" s="93"/>
      <c r="B208" s="93"/>
      <c r="C208" s="93"/>
      <c r="D208" s="93"/>
      <c r="E208" s="93"/>
      <c r="F208" s="93"/>
      <c r="G208" s="93"/>
      <c r="H208" s="93"/>
      <c r="I208" s="128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2.75" customHeight="1">
      <c r="A209" s="93"/>
      <c r="B209" s="93"/>
      <c r="C209" s="93"/>
      <c r="D209" s="93"/>
      <c r="E209" s="93"/>
      <c r="F209" s="93"/>
      <c r="G209" s="93"/>
      <c r="H209" s="93"/>
      <c r="I209" s="128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2.75" customHeight="1">
      <c r="A210" s="93"/>
      <c r="B210" s="93"/>
      <c r="C210" s="93"/>
      <c r="D210" s="93"/>
      <c r="E210" s="93"/>
      <c r="F210" s="93"/>
      <c r="G210" s="93"/>
      <c r="H210" s="93"/>
      <c r="I210" s="128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2.75" customHeight="1">
      <c r="A211" s="93"/>
      <c r="B211" s="93"/>
      <c r="C211" s="93"/>
      <c r="D211" s="93"/>
      <c r="E211" s="93"/>
      <c r="F211" s="93"/>
      <c r="G211" s="93"/>
      <c r="H211" s="93"/>
      <c r="I211" s="128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2.75" customHeight="1">
      <c r="A212" s="93"/>
      <c r="B212" s="93"/>
      <c r="C212" s="93"/>
      <c r="D212" s="93"/>
      <c r="E212" s="93"/>
      <c r="F212" s="93"/>
      <c r="G212" s="93"/>
      <c r="H212" s="93"/>
      <c r="I212" s="128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2.75" customHeight="1">
      <c r="A213" s="93"/>
      <c r="B213" s="93"/>
      <c r="C213" s="93"/>
      <c r="D213" s="93"/>
      <c r="E213" s="93"/>
      <c r="F213" s="93"/>
      <c r="G213" s="93"/>
      <c r="H213" s="93"/>
      <c r="I213" s="128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2.75" customHeight="1">
      <c r="A214" s="93"/>
      <c r="B214" s="93"/>
      <c r="C214" s="93"/>
      <c r="D214" s="93"/>
      <c r="E214" s="93"/>
      <c r="F214" s="93"/>
      <c r="G214" s="93"/>
      <c r="H214" s="93"/>
      <c r="I214" s="128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2.75" customHeight="1">
      <c r="A215" s="93"/>
      <c r="B215" s="93"/>
      <c r="C215" s="93"/>
      <c r="D215" s="93"/>
      <c r="E215" s="93"/>
      <c r="F215" s="93"/>
      <c r="G215" s="93"/>
      <c r="H215" s="93"/>
      <c r="I215" s="128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2.75" customHeight="1">
      <c r="A216" s="93"/>
      <c r="B216" s="93"/>
      <c r="C216" s="93"/>
      <c r="D216" s="93"/>
      <c r="E216" s="93"/>
      <c r="F216" s="93"/>
      <c r="G216" s="93"/>
      <c r="H216" s="93"/>
      <c r="I216" s="128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2.75" customHeight="1">
      <c r="A217" s="93"/>
      <c r="B217" s="93"/>
      <c r="C217" s="93"/>
      <c r="D217" s="93"/>
      <c r="E217" s="93"/>
      <c r="F217" s="93"/>
      <c r="G217" s="93"/>
      <c r="H217" s="93"/>
      <c r="I217" s="128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2.75" customHeight="1">
      <c r="A218" s="93"/>
      <c r="B218" s="93"/>
      <c r="C218" s="93"/>
      <c r="D218" s="93"/>
      <c r="E218" s="93"/>
      <c r="F218" s="93"/>
      <c r="G218" s="93"/>
      <c r="H218" s="93"/>
      <c r="I218" s="128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2.75" customHeight="1">
      <c r="A219" s="93"/>
      <c r="B219" s="93"/>
      <c r="C219" s="93"/>
      <c r="D219" s="93"/>
      <c r="E219" s="93"/>
      <c r="F219" s="93"/>
      <c r="G219" s="93"/>
      <c r="H219" s="93"/>
      <c r="I219" s="128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2.75" customHeight="1">
      <c r="A220" s="93"/>
      <c r="B220" s="93"/>
      <c r="C220" s="93"/>
      <c r="D220" s="93"/>
      <c r="E220" s="93"/>
      <c r="F220" s="93"/>
      <c r="G220" s="93"/>
      <c r="H220" s="93"/>
      <c r="I220" s="128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2.75" customHeight="1">
      <c r="A221" s="93"/>
      <c r="B221" s="93"/>
      <c r="C221" s="93"/>
      <c r="D221" s="93"/>
      <c r="E221" s="93"/>
      <c r="F221" s="93"/>
      <c r="G221" s="93"/>
      <c r="H221" s="93"/>
      <c r="I221" s="128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ht="12.75" customHeight="1">
      <c r="A222" s="93"/>
      <c r="B222" s="93"/>
      <c r="C222" s="93"/>
      <c r="D222" s="93"/>
      <c r="E222" s="93"/>
      <c r="F222" s="93"/>
      <c r="G222" s="93"/>
      <c r="H222" s="93"/>
      <c r="I222" s="128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ht="12.75" customHeight="1">
      <c r="A223" s="93"/>
      <c r="B223" s="93"/>
      <c r="C223" s="93"/>
      <c r="D223" s="93"/>
      <c r="E223" s="93"/>
      <c r="F223" s="93"/>
      <c r="G223" s="93"/>
      <c r="H223" s="93"/>
      <c r="I223" s="128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ht="12.75" customHeight="1">
      <c r="A224" s="93"/>
      <c r="B224" s="93"/>
      <c r="C224" s="93"/>
      <c r="D224" s="93"/>
      <c r="E224" s="93"/>
      <c r="F224" s="93"/>
      <c r="G224" s="93"/>
      <c r="H224" s="93"/>
      <c r="I224" s="128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ht="12.75" customHeight="1">
      <c r="A225" s="93"/>
      <c r="B225" s="93"/>
      <c r="C225" s="93"/>
      <c r="D225" s="93"/>
      <c r="E225" s="93"/>
      <c r="F225" s="93"/>
      <c r="G225" s="93"/>
      <c r="H225" s="93"/>
      <c r="I225" s="128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ht="12.75" customHeight="1">
      <c r="A226" s="93"/>
      <c r="B226" s="93"/>
      <c r="C226" s="93"/>
      <c r="D226" s="93"/>
      <c r="E226" s="93"/>
      <c r="F226" s="93"/>
      <c r="G226" s="93"/>
      <c r="H226" s="93"/>
      <c r="I226" s="128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ht="12.75" customHeight="1">
      <c r="A227" s="93"/>
      <c r="B227" s="93"/>
      <c r="C227" s="93"/>
      <c r="D227" s="93"/>
      <c r="E227" s="93"/>
      <c r="F227" s="93"/>
      <c r="G227" s="93"/>
      <c r="H227" s="93"/>
      <c r="I227" s="128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ht="12.75" customHeight="1">
      <c r="A228" s="93"/>
      <c r="B228" s="93"/>
      <c r="C228" s="93"/>
      <c r="D228" s="93"/>
      <c r="E228" s="93"/>
      <c r="F228" s="93"/>
      <c r="G228" s="93"/>
      <c r="H228" s="93"/>
      <c r="I228" s="128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ht="12.75" customHeight="1">
      <c r="A229" s="93"/>
      <c r="B229" s="93"/>
      <c r="C229" s="93"/>
      <c r="D229" s="93"/>
      <c r="E229" s="93"/>
      <c r="F229" s="93"/>
      <c r="G229" s="93"/>
      <c r="H229" s="93"/>
      <c r="I229" s="128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ht="12.75" customHeight="1">
      <c r="A230" s="93"/>
      <c r="B230" s="93"/>
      <c r="C230" s="93"/>
      <c r="D230" s="93"/>
      <c r="E230" s="93"/>
      <c r="F230" s="93"/>
      <c r="G230" s="93"/>
      <c r="H230" s="93"/>
      <c r="I230" s="128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ht="12.75" customHeight="1">
      <c r="A231" s="93"/>
      <c r="B231" s="93"/>
      <c r="C231" s="93"/>
      <c r="D231" s="93"/>
      <c r="E231" s="93"/>
      <c r="F231" s="93"/>
      <c r="G231" s="93"/>
      <c r="H231" s="93"/>
      <c r="I231" s="128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ht="12.75" customHeight="1">
      <c r="A232" s="93"/>
      <c r="B232" s="93"/>
      <c r="C232" s="93"/>
      <c r="D232" s="93"/>
      <c r="E232" s="93"/>
      <c r="F232" s="93"/>
      <c r="G232" s="93"/>
      <c r="H232" s="93"/>
      <c r="I232" s="128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ht="12.75" customHeight="1">
      <c r="A233" s="93"/>
      <c r="B233" s="93"/>
      <c r="C233" s="93"/>
      <c r="D233" s="93"/>
      <c r="E233" s="93"/>
      <c r="F233" s="93"/>
      <c r="G233" s="93"/>
      <c r="H233" s="93"/>
      <c r="I233" s="128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ht="12.75" customHeight="1">
      <c r="A234" s="93"/>
      <c r="B234" s="93"/>
      <c r="C234" s="93"/>
      <c r="D234" s="93"/>
      <c r="E234" s="93"/>
      <c r="F234" s="93"/>
      <c r="G234" s="93"/>
      <c r="H234" s="93"/>
      <c r="I234" s="128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ht="12.75" customHeight="1">
      <c r="A235" s="93"/>
      <c r="B235" s="93"/>
      <c r="C235" s="93"/>
      <c r="D235" s="93"/>
      <c r="E235" s="93"/>
      <c r="F235" s="93"/>
      <c r="G235" s="93"/>
      <c r="H235" s="93"/>
      <c r="I235" s="128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ht="12.75" customHeight="1">
      <c r="A236" s="93"/>
      <c r="B236" s="93"/>
      <c r="C236" s="93"/>
      <c r="D236" s="93"/>
      <c r="E236" s="93"/>
      <c r="F236" s="93"/>
      <c r="G236" s="93"/>
      <c r="H236" s="93"/>
      <c r="I236" s="128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ht="12.75" customHeight="1">
      <c r="A237" s="93"/>
      <c r="B237" s="93"/>
      <c r="C237" s="93"/>
      <c r="D237" s="93"/>
      <c r="E237" s="93"/>
      <c r="F237" s="93"/>
      <c r="G237" s="93"/>
      <c r="H237" s="93"/>
      <c r="I237" s="128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ht="12.75" customHeight="1">
      <c r="A238" s="93"/>
      <c r="B238" s="93"/>
      <c r="C238" s="93"/>
      <c r="D238" s="93"/>
      <c r="E238" s="93"/>
      <c r="F238" s="93"/>
      <c r="G238" s="93"/>
      <c r="H238" s="93"/>
      <c r="I238" s="128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spans="1:26" ht="12.75" customHeight="1">
      <c r="A239" s="93"/>
      <c r="B239" s="93"/>
      <c r="C239" s="93"/>
      <c r="D239" s="93"/>
      <c r="E239" s="93"/>
      <c r="F239" s="93"/>
      <c r="G239" s="93"/>
      <c r="H239" s="93"/>
      <c r="I239" s="128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spans="1:26" ht="12.75" customHeight="1">
      <c r="A240" s="93"/>
      <c r="B240" s="93"/>
      <c r="C240" s="93"/>
      <c r="D240" s="93"/>
      <c r="E240" s="93"/>
      <c r="F240" s="93"/>
      <c r="G240" s="93"/>
      <c r="H240" s="93"/>
      <c r="I240" s="128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spans="1:26" ht="12.75" customHeight="1">
      <c r="A241" s="93"/>
      <c r="B241" s="93"/>
      <c r="C241" s="93"/>
      <c r="D241" s="93"/>
      <c r="E241" s="93"/>
      <c r="F241" s="93"/>
      <c r="G241" s="93"/>
      <c r="H241" s="93"/>
      <c r="I241" s="128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spans="1:26" ht="12.75" customHeight="1">
      <c r="A242" s="93"/>
      <c r="B242" s="93"/>
      <c r="C242" s="93"/>
      <c r="D242" s="93"/>
      <c r="E242" s="93"/>
      <c r="F242" s="93"/>
      <c r="G242" s="93"/>
      <c r="H242" s="93"/>
      <c r="I242" s="128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spans="1:26" ht="12.75" customHeight="1">
      <c r="A243" s="93"/>
      <c r="B243" s="93"/>
      <c r="C243" s="93"/>
      <c r="D243" s="93"/>
      <c r="E243" s="93"/>
      <c r="F243" s="93"/>
      <c r="G243" s="93"/>
      <c r="H243" s="93"/>
      <c r="I243" s="128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spans="1:26" ht="12.75" customHeight="1">
      <c r="A244" s="93"/>
      <c r="B244" s="93"/>
      <c r="C244" s="93"/>
      <c r="D244" s="93"/>
      <c r="E244" s="93"/>
      <c r="F244" s="93"/>
      <c r="G244" s="93"/>
      <c r="H244" s="93"/>
      <c r="I244" s="128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spans="1:26" ht="12.75" customHeight="1">
      <c r="A245" s="93"/>
      <c r="B245" s="93"/>
      <c r="C245" s="93"/>
      <c r="D245" s="93"/>
      <c r="E245" s="93"/>
      <c r="F245" s="93"/>
      <c r="G245" s="93"/>
      <c r="H245" s="93"/>
      <c r="I245" s="128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spans="1:26" ht="12.75" customHeight="1">
      <c r="A246" s="93"/>
      <c r="B246" s="93"/>
      <c r="C246" s="93"/>
      <c r="D246" s="93"/>
      <c r="E246" s="93"/>
      <c r="F246" s="93"/>
      <c r="G246" s="93"/>
      <c r="H246" s="93"/>
      <c r="I246" s="128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spans="1:26" ht="12.75" customHeight="1">
      <c r="A247" s="93"/>
      <c r="B247" s="93"/>
      <c r="C247" s="93"/>
      <c r="D247" s="93"/>
      <c r="E247" s="93"/>
      <c r="F247" s="93"/>
      <c r="G247" s="93"/>
      <c r="H247" s="93"/>
      <c r="I247" s="128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spans="1:26" ht="12.75" customHeight="1">
      <c r="A248" s="93"/>
      <c r="B248" s="93"/>
      <c r="C248" s="93"/>
      <c r="D248" s="93"/>
      <c r="E248" s="93"/>
      <c r="F248" s="93"/>
      <c r="G248" s="93"/>
      <c r="H248" s="93"/>
      <c r="I248" s="128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spans="1:26" ht="12.75" customHeight="1">
      <c r="A249" s="93"/>
      <c r="B249" s="93"/>
      <c r="C249" s="93"/>
      <c r="D249" s="93"/>
      <c r="E249" s="93"/>
      <c r="F249" s="93"/>
      <c r="G249" s="93"/>
      <c r="H249" s="93"/>
      <c r="I249" s="128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spans="1:26" ht="12.75" customHeight="1">
      <c r="A250" s="93"/>
      <c r="B250" s="93"/>
      <c r="C250" s="93"/>
      <c r="D250" s="93"/>
      <c r="E250" s="93"/>
      <c r="F250" s="93"/>
      <c r="G250" s="93"/>
      <c r="H250" s="93"/>
      <c r="I250" s="128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spans="1:26" ht="12.75" customHeight="1">
      <c r="A251" s="93"/>
      <c r="B251" s="93"/>
      <c r="C251" s="93"/>
      <c r="D251" s="93"/>
      <c r="E251" s="93"/>
      <c r="F251" s="93"/>
      <c r="G251" s="93"/>
      <c r="H251" s="93"/>
      <c r="I251" s="128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spans="1:26" ht="12.75" customHeight="1">
      <c r="A252" s="93"/>
      <c r="B252" s="93"/>
      <c r="C252" s="93"/>
      <c r="D252" s="93"/>
      <c r="E252" s="93"/>
      <c r="F252" s="93"/>
      <c r="G252" s="93"/>
      <c r="H252" s="93"/>
      <c r="I252" s="128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spans="1:26" ht="12.75" customHeight="1">
      <c r="A253" s="93"/>
      <c r="B253" s="93"/>
      <c r="C253" s="93"/>
      <c r="D253" s="93"/>
      <c r="E253" s="93"/>
      <c r="F253" s="93"/>
      <c r="G253" s="93"/>
      <c r="H253" s="93"/>
      <c r="I253" s="128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spans="1:26" ht="12.75" customHeight="1">
      <c r="A254" s="93"/>
      <c r="B254" s="93"/>
      <c r="C254" s="93"/>
      <c r="D254" s="93"/>
      <c r="E254" s="93"/>
      <c r="F254" s="93"/>
      <c r="G254" s="93"/>
      <c r="H254" s="93"/>
      <c r="I254" s="128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spans="1:26" ht="12.75" customHeight="1">
      <c r="A255" s="93"/>
      <c r="B255" s="93"/>
      <c r="C255" s="93"/>
      <c r="D255" s="93"/>
      <c r="E255" s="93"/>
      <c r="F255" s="93"/>
      <c r="G255" s="93"/>
      <c r="H255" s="93"/>
      <c r="I255" s="128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spans="1:26" ht="12.75" customHeight="1">
      <c r="A256" s="93"/>
      <c r="B256" s="93"/>
      <c r="C256" s="93"/>
      <c r="D256" s="93"/>
      <c r="E256" s="93"/>
      <c r="F256" s="93"/>
      <c r="G256" s="93"/>
      <c r="H256" s="93"/>
      <c r="I256" s="128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spans="1:26" ht="12.75" customHeight="1">
      <c r="A257" s="93"/>
      <c r="B257" s="93"/>
      <c r="C257" s="93"/>
      <c r="D257" s="93"/>
      <c r="E257" s="93"/>
      <c r="F257" s="93"/>
      <c r="G257" s="93"/>
      <c r="H257" s="93"/>
      <c r="I257" s="128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spans="1:26" ht="12.75" customHeight="1">
      <c r="A258" s="93"/>
      <c r="B258" s="93"/>
      <c r="C258" s="93"/>
      <c r="D258" s="93"/>
      <c r="E258" s="93"/>
      <c r="F258" s="93"/>
      <c r="G258" s="93"/>
      <c r="H258" s="93"/>
      <c r="I258" s="128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spans="1:26" ht="12.75" customHeight="1">
      <c r="A259" s="93"/>
      <c r="B259" s="93"/>
      <c r="C259" s="93"/>
      <c r="D259" s="93"/>
      <c r="E259" s="93"/>
      <c r="F259" s="93"/>
      <c r="G259" s="93"/>
      <c r="H259" s="93"/>
      <c r="I259" s="128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spans="1:26" ht="12.75" customHeight="1">
      <c r="A260" s="93"/>
      <c r="B260" s="93"/>
      <c r="C260" s="93"/>
      <c r="D260" s="93"/>
      <c r="E260" s="93"/>
      <c r="F260" s="93"/>
      <c r="G260" s="93"/>
      <c r="H260" s="93"/>
      <c r="I260" s="128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spans="1:26" ht="12.75" customHeight="1">
      <c r="A261" s="93"/>
      <c r="B261" s="93"/>
      <c r="C261" s="93"/>
      <c r="D261" s="93"/>
      <c r="E261" s="93"/>
      <c r="F261" s="93"/>
      <c r="G261" s="93"/>
      <c r="H261" s="93"/>
      <c r="I261" s="128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spans="1:26" ht="12.75" customHeight="1">
      <c r="A262" s="93"/>
      <c r="B262" s="93"/>
      <c r="C262" s="93"/>
      <c r="D262" s="93"/>
      <c r="E262" s="93"/>
      <c r="F262" s="93"/>
      <c r="G262" s="93"/>
      <c r="H262" s="93"/>
      <c r="I262" s="128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spans="1:26" ht="12.75" customHeight="1">
      <c r="A263" s="93"/>
      <c r="B263" s="93"/>
      <c r="C263" s="93"/>
      <c r="D263" s="93"/>
      <c r="E263" s="93"/>
      <c r="F263" s="93"/>
      <c r="G263" s="93"/>
      <c r="H263" s="93"/>
      <c r="I263" s="128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spans="1:26" ht="12.75" customHeight="1">
      <c r="A264" s="93"/>
      <c r="B264" s="93"/>
      <c r="C264" s="93"/>
      <c r="D264" s="93"/>
      <c r="E264" s="93"/>
      <c r="F264" s="93"/>
      <c r="G264" s="93"/>
      <c r="H264" s="93"/>
      <c r="I264" s="128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spans="1:26" ht="12.75" customHeight="1">
      <c r="A265" s="93"/>
      <c r="B265" s="93"/>
      <c r="C265" s="93"/>
      <c r="D265" s="93"/>
      <c r="E265" s="93"/>
      <c r="F265" s="93"/>
      <c r="G265" s="93"/>
      <c r="H265" s="93"/>
      <c r="I265" s="128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spans="1:26" ht="12.75" customHeight="1">
      <c r="A266" s="93"/>
      <c r="B266" s="93"/>
      <c r="C266" s="93"/>
      <c r="D266" s="93"/>
      <c r="E266" s="93"/>
      <c r="F266" s="93"/>
      <c r="G266" s="93"/>
      <c r="H266" s="93"/>
      <c r="I266" s="128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spans="1:26" ht="12.75" customHeight="1">
      <c r="A267" s="93"/>
      <c r="B267" s="93"/>
      <c r="C267" s="93"/>
      <c r="D267" s="93"/>
      <c r="E267" s="93"/>
      <c r="F267" s="93"/>
      <c r="G267" s="93"/>
      <c r="H267" s="93"/>
      <c r="I267" s="128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spans="1:26" ht="12.75" customHeight="1">
      <c r="A268" s="93"/>
      <c r="B268" s="93"/>
      <c r="C268" s="93"/>
      <c r="D268" s="93"/>
      <c r="E268" s="93"/>
      <c r="F268" s="93"/>
      <c r="G268" s="93"/>
      <c r="H268" s="93"/>
      <c r="I268" s="128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spans="1:26" ht="12.75" customHeight="1">
      <c r="A269" s="93"/>
      <c r="B269" s="93"/>
      <c r="C269" s="93"/>
      <c r="D269" s="93"/>
      <c r="E269" s="93"/>
      <c r="F269" s="93"/>
      <c r="G269" s="93"/>
      <c r="H269" s="93"/>
      <c r="I269" s="128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spans="1:26" ht="12.75" customHeight="1">
      <c r="A270" s="93"/>
      <c r="B270" s="93"/>
      <c r="C270" s="93"/>
      <c r="D270" s="93"/>
      <c r="E270" s="93"/>
      <c r="F270" s="93"/>
      <c r="G270" s="93"/>
      <c r="H270" s="93"/>
      <c r="I270" s="128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spans="1:26" ht="12.75" customHeight="1">
      <c r="A271" s="93"/>
      <c r="B271" s="93"/>
      <c r="C271" s="93"/>
      <c r="D271" s="93"/>
      <c r="E271" s="93"/>
      <c r="F271" s="93"/>
      <c r="G271" s="93"/>
      <c r="H271" s="93"/>
      <c r="I271" s="128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spans="1:26" ht="12.75" customHeight="1">
      <c r="A272" s="93"/>
      <c r="B272" s="93"/>
      <c r="C272" s="93"/>
      <c r="D272" s="93"/>
      <c r="E272" s="93"/>
      <c r="F272" s="93"/>
      <c r="G272" s="93"/>
      <c r="H272" s="93"/>
      <c r="I272" s="128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spans="1:26" ht="12.75" customHeight="1">
      <c r="A273" s="93"/>
      <c r="B273" s="93"/>
      <c r="C273" s="93"/>
      <c r="D273" s="93"/>
      <c r="E273" s="93"/>
      <c r="F273" s="93"/>
      <c r="G273" s="93"/>
      <c r="H273" s="93"/>
      <c r="I273" s="128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spans="1:26" ht="12.75" customHeight="1">
      <c r="A274" s="93"/>
      <c r="B274" s="93"/>
      <c r="C274" s="93"/>
      <c r="D274" s="93"/>
      <c r="E274" s="93"/>
      <c r="F274" s="93"/>
      <c r="G274" s="93"/>
      <c r="H274" s="93"/>
      <c r="I274" s="128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spans="1:26" ht="12.75" customHeight="1">
      <c r="A275" s="93"/>
      <c r="B275" s="93"/>
      <c r="C275" s="93"/>
      <c r="D275" s="93"/>
      <c r="E275" s="93"/>
      <c r="F275" s="93"/>
      <c r="G275" s="93"/>
      <c r="H275" s="93"/>
      <c r="I275" s="128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spans="1:26" ht="12.75" customHeight="1">
      <c r="A276" s="93"/>
      <c r="B276" s="93"/>
      <c r="C276" s="93"/>
      <c r="D276" s="93"/>
      <c r="E276" s="93"/>
      <c r="F276" s="93"/>
      <c r="G276" s="93"/>
      <c r="H276" s="93"/>
      <c r="I276" s="128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spans="1:26" ht="12.75" customHeight="1">
      <c r="A277" s="93"/>
      <c r="B277" s="93"/>
      <c r="C277" s="93"/>
      <c r="D277" s="93"/>
      <c r="E277" s="93"/>
      <c r="F277" s="93"/>
      <c r="G277" s="93"/>
      <c r="H277" s="93"/>
      <c r="I277" s="128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spans="1:26" ht="12.75" customHeight="1">
      <c r="A278" s="93"/>
      <c r="B278" s="93"/>
      <c r="C278" s="93"/>
      <c r="D278" s="93"/>
      <c r="E278" s="93"/>
      <c r="F278" s="93"/>
      <c r="G278" s="93"/>
      <c r="H278" s="93"/>
      <c r="I278" s="128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spans="1:26" ht="12.75" customHeight="1">
      <c r="A279" s="93"/>
      <c r="B279" s="93"/>
      <c r="C279" s="93"/>
      <c r="D279" s="93"/>
      <c r="E279" s="93"/>
      <c r="F279" s="93"/>
      <c r="G279" s="93"/>
      <c r="H279" s="93"/>
      <c r="I279" s="128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spans="1:26" ht="12.75" customHeight="1">
      <c r="A280" s="93"/>
      <c r="B280" s="93"/>
      <c r="C280" s="93"/>
      <c r="D280" s="93"/>
      <c r="E280" s="93"/>
      <c r="F280" s="93"/>
      <c r="G280" s="93"/>
      <c r="H280" s="93"/>
      <c r="I280" s="128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spans="1:26" ht="12.75" customHeight="1">
      <c r="A281" s="93"/>
      <c r="B281" s="93"/>
      <c r="C281" s="93"/>
      <c r="D281" s="93"/>
      <c r="E281" s="93"/>
      <c r="F281" s="93"/>
      <c r="G281" s="93"/>
      <c r="H281" s="93"/>
      <c r="I281" s="128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spans="1:26" ht="12.75" customHeight="1">
      <c r="A282" s="93"/>
      <c r="B282" s="93"/>
      <c r="C282" s="93"/>
      <c r="D282" s="93"/>
      <c r="E282" s="93"/>
      <c r="F282" s="93"/>
      <c r="G282" s="93"/>
      <c r="H282" s="93"/>
      <c r="I282" s="128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spans="1:26" ht="12.75" customHeight="1">
      <c r="A283" s="93"/>
      <c r="B283" s="93"/>
      <c r="C283" s="93"/>
      <c r="D283" s="93"/>
      <c r="E283" s="93"/>
      <c r="F283" s="93"/>
      <c r="G283" s="93"/>
      <c r="H283" s="93"/>
      <c r="I283" s="128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spans="1:26" ht="12.75" customHeight="1">
      <c r="A284" s="93"/>
      <c r="B284" s="93"/>
      <c r="C284" s="93"/>
      <c r="D284" s="93"/>
      <c r="E284" s="93"/>
      <c r="F284" s="93"/>
      <c r="G284" s="93"/>
      <c r="H284" s="93"/>
      <c r="I284" s="128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spans="1:26" ht="12.75" customHeight="1">
      <c r="A285" s="93"/>
      <c r="B285" s="93"/>
      <c r="C285" s="93"/>
      <c r="D285" s="93"/>
      <c r="E285" s="93"/>
      <c r="F285" s="93"/>
      <c r="G285" s="93"/>
      <c r="H285" s="93"/>
      <c r="I285" s="128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spans="1:26" ht="12.75" customHeight="1">
      <c r="A286" s="93"/>
      <c r="B286" s="93"/>
      <c r="C286" s="93"/>
      <c r="D286" s="93"/>
      <c r="E286" s="93"/>
      <c r="F286" s="93"/>
      <c r="G286" s="93"/>
      <c r="H286" s="93"/>
      <c r="I286" s="128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spans="1:26" ht="12.75" customHeight="1">
      <c r="A287" s="93"/>
      <c r="B287" s="93"/>
      <c r="C287" s="93"/>
      <c r="D287" s="93"/>
      <c r="E287" s="93"/>
      <c r="F287" s="93"/>
      <c r="G287" s="93"/>
      <c r="H287" s="93"/>
      <c r="I287" s="128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spans="1:26" ht="12.75" customHeight="1">
      <c r="A288" s="93"/>
      <c r="B288" s="93"/>
      <c r="C288" s="93"/>
      <c r="D288" s="93"/>
      <c r="E288" s="93"/>
      <c r="F288" s="93"/>
      <c r="G288" s="93"/>
      <c r="H288" s="93"/>
      <c r="I288" s="128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spans="1:26" ht="12.75" customHeight="1">
      <c r="A289" s="93"/>
      <c r="B289" s="93"/>
      <c r="C289" s="93"/>
      <c r="D289" s="93"/>
      <c r="E289" s="93"/>
      <c r="F289" s="93"/>
      <c r="G289" s="93"/>
      <c r="H289" s="93"/>
      <c r="I289" s="128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spans="1:26" ht="12.75" customHeight="1">
      <c r="A290" s="93"/>
      <c r="B290" s="93"/>
      <c r="C290" s="93"/>
      <c r="D290" s="93"/>
      <c r="E290" s="93"/>
      <c r="F290" s="93"/>
      <c r="G290" s="93"/>
      <c r="H290" s="93"/>
      <c r="I290" s="128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spans="1:26" ht="12.75" customHeight="1">
      <c r="A291" s="93"/>
      <c r="B291" s="93"/>
      <c r="C291" s="93"/>
      <c r="D291" s="93"/>
      <c r="E291" s="93"/>
      <c r="F291" s="93"/>
      <c r="G291" s="93"/>
      <c r="H291" s="93"/>
      <c r="I291" s="128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spans="1:26" ht="12.75" customHeight="1">
      <c r="A292" s="93"/>
      <c r="B292" s="93"/>
      <c r="C292" s="93"/>
      <c r="D292" s="93"/>
      <c r="E292" s="93"/>
      <c r="F292" s="93"/>
      <c r="G292" s="93"/>
      <c r="H292" s="93"/>
      <c r="I292" s="128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spans="1:26" ht="12.75" customHeight="1">
      <c r="A293" s="93"/>
      <c r="B293" s="93"/>
      <c r="C293" s="93"/>
      <c r="D293" s="93"/>
      <c r="E293" s="93"/>
      <c r="F293" s="93"/>
      <c r="G293" s="93"/>
      <c r="H293" s="93"/>
      <c r="I293" s="128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spans="1:26" ht="12.75" customHeight="1">
      <c r="A294" s="93"/>
      <c r="B294" s="93"/>
      <c r="C294" s="93"/>
      <c r="D294" s="93"/>
      <c r="E294" s="93"/>
      <c r="F294" s="93"/>
      <c r="G294" s="93"/>
      <c r="H294" s="93"/>
      <c r="I294" s="128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spans="1:26" ht="12.75" customHeight="1">
      <c r="A295" s="93"/>
      <c r="B295" s="93"/>
      <c r="C295" s="93"/>
      <c r="D295" s="93"/>
      <c r="E295" s="93"/>
      <c r="F295" s="93"/>
      <c r="G295" s="93"/>
      <c r="H295" s="93"/>
      <c r="I295" s="128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spans="1:26" ht="12.75" customHeight="1">
      <c r="A296" s="93"/>
      <c r="B296" s="93"/>
      <c r="C296" s="93"/>
      <c r="D296" s="93"/>
      <c r="E296" s="93"/>
      <c r="F296" s="93"/>
      <c r="G296" s="93"/>
      <c r="H296" s="93"/>
      <c r="I296" s="128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spans="1:26" ht="12.75" customHeight="1">
      <c r="A297" s="93"/>
      <c r="B297" s="93"/>
      <c r="C297" s="93"/>
      <c r="D297" s="93"/>
      <c r="E297" s="93"/>
      <c r="F297" s="93"/>
      <c r="G297" s="93"/>
      <c r="H297" s="93"/>
      <c r="I297" s="128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spans="1:26" ht="12.75" customHeight="1">
      <c r="A298" s="93"/>
      <c r="B298" s="93"/>
      <c r="C298" s="93"/>
      <c r="D298" s="93"/>
      <c r="E298" s="93"/>
      <c r="F298" s="93"/>
      <c r="G298" s="93"/>
      <c r="H298" s="93"/>
      <c r="I298" s="128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spans="1:26" ht="12.75" customHeight="1">
      <c r="A299" s="93"/>
      <c r="B299" s="93"/>
      <c r="C299" s="93"/>
      <c r="D299" s="93"/>
      <c r="E299" s="93"/>
      <c r="F299" s="93"/>
      <c r="G299" s="93"/>
      <c r="H299" s="93"/>
      <c r="I299" s="128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spans="1:26" ht="12.75" customHeight="1">
      <c r="A300" s="93"/>
      <c r="B300" s="93"/>
      <c r="C300" s="93"/>
      <c r="D300" s="93"/>
      <c r="E300" s="93"/>
      <c r="F300" s="93"/>
      <c r="G300" s="93"/>
      <c r="H300" s="93"/>
      <c r="I300" s="128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spans="1:26" ht="12.75" customHeight="1">
      <c r="A301" s="93"/>
      <c r="B301" s="93"/>
      <c r="C301" s="93"/>
      <c r="D301" s="93"/>
      <c r="E301" s="93"/>
      <c r="F301" s="93"/>
      <c r="G301" s="93"/>
      <c r="H301" s="93"/>
      <c r="I301" s="128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spans="1:26" ht="12.75" customHeight="1">
      <c r="A302" s="93"/>
      <c r="B302" s="93"/>
      <c r="C302" s="93"/>
      <c r="D302" s="93"/>
      <c r="E302" s="93"/>
      <c r="F302" s="93"/>
      <c r="G302" s="93"/>
      <c r="H302" s="93"/>
      <c r="I302" s="128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spans="1:26" ht="12.75" customHeight="1">
      <c r="A303" s="93"/>
      <c r="B303" s="93"/>
      <c r="C303" s="93"/>
      <c r="D303" s="93"/>
      <c r="E303" s="93"/>
      <c r="F303" s="93"/>
      <c r="G303" s="93"/>
      <c r="H303" s="93"/>
      <c r="I303" s="128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spans="1:26" ht="12.75" customHeight="1">
      <c r="A304" s="93"/>
      <c r="B304" s="93"/>
      <c r="C304" s="93"/>
      <c r="D304" s="93"/>
      <c r="E304" s="93"/>
      <c r="F304" s="93"/>
      <c r="G304" s="93"/>
      <c r="H304" s="93"/>
      <c r="I304" s="128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spans="1:26" ht="12.75" customHeight="1">
      <c r="A305" s="93"/>
      <c r="B305" s="93"/>
      <c r="C305" s="93"/>
      <c r="D305" s="93"/>
      <c r="E305" s="93"/>
      <c r="F305" s="93"/>
      <c r="G305" s="93"/>
      <c r="H305" s="93"/>
      <c r="I305" s="128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spans="1:26" ht="12.75" customHeight="1">
      <c r="A306" s="93"/>
      <c r="B306" s="93"/>
      <c r="C306" s="93"/>
      <c r="D306" s="93"/>
      <c r="E306" s="93"/>
      <c r="F306" s="93"/>
      <c r="G306" s="93"/>
      <c r="H306" s="93"/>
      <c r="I306" s="128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spans="1:26" ht="12.75" customHeight="1">
      <c r="A307" s="93"/>
      <c r="B307" s="93"/>
      <c r="C307" s="93"/>
      <c r="D307" s="93"/>
      <c r="E307" s="93"/>
      <c r="F307" s="93"/>
      <c r="G307" s="93"/>
      <c r="H307" s="93"/>
      <c r="I307" s="128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spans="1:26" ht="12.75" customHeight="1">
      <c r="A308" s="93"/>
      <c r="B308" s="93"/>
      <c r="C308" s="93"/>
      <c r="D308" s="93"/>
      <c r="E308" s="93"/>
      <c r="F308" s="93"/>
      <c r="G308" s="93"/>
      <c r="H308" s="93"/>
      <c r="I308" s="128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spans="1:26" ht="12.75" customHeight="1">
      <c r="A309" s="93"/>
      <c r="B309" s="93"/>
      <c r="C309" s="93"/>
      <c r="D309" s="93"/>
      <c r="E309" s="93"/>
      <c r="F309" s="93"/>
      <c r="G309" s="93"/>
      <c r="H309" s="93"/>
      <c r="I309" s="128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spans="1:26" ht="12.75" customHeight="1">
      <c r="A310" s="93"/>
      <c r="B310" s="93"/>
      <c r="C310" s="93"/>
      <c r="D310" s="93"/>
      <c r="E310" s="93"/>
      <c r="F310" s="93"/>
      <c r="G310" s="93"/>
      <c r="H310" s="93"/>
      <c r="I310" s="128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spans="1:26" ht="12.75" customHeight="1">
      <c r="A311" s="93"/>
      <c r="B311" s="93"/>
      <c r="C311" s="93"/>
      <c r="D311" s="93"/>
      <c r="E311" s="93"/>
      <c r="F311" s="93"/>
      <c r="G311" s="93"/>
      <c r="H311" s="93"/>
      <c r="I311" s="128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spans="1:26" ht="12.75" customHeight="1">
      <c r="A312" s="93"/>
      <c r="B312" s="93"/>
      <c r="C312" s="93"/>
      <c r="D312" s="93"/>
      <c r="E312" s="93"/>
      <c r="F312" s="93"/>
      <c r="G312" s="93"/>
      <c r="H312" s="93"/>
      <c r="I312" s="128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spans="1:26" ht="12.75" customHeight="1">
      <c r="A313" s="93"/>
      <c r="B313" s="93"/>
      <c r="C313" s="93"/>
      <c r="D313" s="93"/>
      <c r="E313" s="93"/>
      <c r="F313" s="93"/>
      <c r="G313" s="93"/>
      <c r="H313" s="93"/>
      <c r="I313" s="128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spans="1:26" ht="12.75" customHeight="1">
      <c r="A314" s="93"/>
      <c r="B314" s="93"/>
      <c r="C314" s="93"/>
      <c r="D314" s="93"/>
      <c r="E314" s="93"/>
      <c r="F314" s="93"/>
      <c r="G314" s="93"/>
      <c r="H314" s="93"/>
      <c r="I314" s="128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spans="1:26" ht="12.75" customHeight="1">
      <c r="A315" s="93"/>
      <c r="B315" s="93"/>
      <c r="C315" s="93"/>
      <c r="D315" s="93"/>
      <c r="E315" s="93"/>
      <c r="F315" s="93"/>
      <c r="G315" s="93"/>
      <c r="H315" s="93"/>
      <c r="I315" s="128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spans="1:26" ht="12.75" customHeight="1">
      <c r="A316" s="93"/>
      <c r="B316" s="93"/>
      <c r="C316" s="93"/>
      <c r="D316" s="93"/>
      <c r="E316" s="93"/>
      <c r="F316" s="93"/>
      <c r="G316" s="93"/>
      <c r="H316" s="93"/>
      <c r="I316" s="128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spans="1:26" ht="12.75" customHeight="1">
      <c r="A317" s="93"/>
      <c r="B317" s="93"/>
      <c r="C317" s="93"/>
      <c r="D317" s="93"/>
      <c r="E317" s="93"/>
      <c r="F317" s="93"/>
      <c r="G317" s="93"/>
      <c r="H317" s="93"/>
      <c r="I317" s="128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spans="1:26" ht="12.75" customHeight="1">
      <c r="A318" s="93"/>
      <c r="B318" s="93"/>
      <c r="C318" s="93"/>
      <c r="D318" s="93"/>
      <c r="E318" s="93"/>
      <c r="F318" s="93"/>
      <c r="G318" s="93"/>
      <c r="H318" s="93"/>
      <c r="I318" s="128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spans="1:26" ht="12.75" customHeight="1">
      <c r="A319" s="93"/>
      <c r="B319" s="93"/>
      <c r="C319" s="93"/>
      <c r="D319" s="93"/>
      <c r="E319" s="93"/>
      <c r="F319" s="93"/>
      <c r="G319" s="93"/>
      <c r="H319" s="93"/>
      <c r="I319" s="128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spans="1:26" ht="12.75" customHeight="1">
      <c r="A320" s="93"/>
      <c r="B320" s="93"/>
      <c r="C320" s="93"/>
      <c r="D320" s="93"/>
      <c r="E320" s="93"/>
      <c r="F320" s="93"/>
      <c r="G320" s="93"/>
      <c r="H320" s="93"/>
      <c r="I320" s="128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spans="1:26" ht="12.75" customHeight="1">
      <c r="A321" s="93"/>
      <c r="B321" s="93"/>
      <c r="C321" s="93"/>
      <c r="D321" s="93"/>
      <c r="E321" s="93"/>
      <c r="F321" s="93"/>
      <c r="G321" s="93"/>
      <c r="H321" s="93"/>
      <c r="I321" s="128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spans="1:26" ht="12.75" customHeight="1">
      <c r="A322" s="93"/>
      <c r="B322" s="93"/>
      <c r="C322" s="93"/>
      <c r="D322" s="93"/>
      <c r="E322" s="93"/>
      <c r="F322" s="93"/>
      <c r="G322" s="93"/>
      <c r="H322" s="93"/>
      <c r="I322" s="128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spans="1:26" ht="12.75" customHeight="1">
      <c r="A323" s="93"/>
      <c r="B323" s="93"/>
      <c r="C323" s="93"/>
      <c r="D323" s="93"/>
      <c r="E323" s="93"/>
      <c r="F323" s="93"/>
      <c r="G323" s="93"/>
      <c r="H323" s="93"/>
      <c r="I323" s="128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spans="1:26" ht="12.75" customHeight="1">
      <c r="A324" s="93"/>
      <c r="B324" s="93"/>
      <c r="C324" s="93"/>
      <c r="D324" s="93"/>
      <c r="E324" s="93"/>
      <c r="F324" s="93"/>
      <c r="G324" s="93"/>
      <c r="H324" s="93"/>
      <c r="I324" s="128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spans="1:26" ht="12.75" customHeight="1">
      <c r="A325" s="93"/>
      <c r="B325" s="93"/>
      <c r="C325" s="93"/>
      <c r="D325" s="93"/>
      <c r="E325" s="93"/>
      <c r="F325" s="93"/>
      <c r="G325" s="93"/>
      <c r="H325" s="93"/>
      <c r="I325" s="128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spans="1:26" ht="12.75" customHeight="1">
      <c r="A326" s="93"/>
      <c r="B326" s="93"/>
      <c r="C326" s="93"/>
      <c r="D326" s="93"/>
      <c r="E326" s="93"/>
      <c r="F326" s="93"/>
      <c r="G326" s="93"/>
      <c r="H326" s="93"/>
      <c r="I326" s="128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spans="1:26" ht="12.75" customHeight="1">
      <c r="A327" s="93"/>
      <c r="B327" s="93"/>
      <c r="C327" s="93"/>
      <c r="D327" s="93"/>
      <c r="E327" s="93"/>
      <c r="F327" s="93"/>
      <c r="G327" s="93"/>
      <c r="H327" s="93"/>
      <c r="I327" s="128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spans="1:26" ht="12.75" customHeight="1">
      <c r="A328" s="93"/>
      <c r="B328" s="93"/>
      <c r="C328" s="93"/>
      <c r="D328" s="93"/>
      <c r="E328" s="93"/>
      <c r="F328" s="93"/>
      <c r="G328" s="93"/>
      <c r="H328" s="93"/>
      <c r="I328" s="128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spans="1:26" ht="12.75" customHeight="1">
      <c r="A329" s="93"/>
      <c r="B329" s="93"/>
      <c r="C329" s="93"/>
      <c r="D329" s="93"/>
      <c r="E329" s="93"/>
      <c r="F329" s="93"/>
      <c r="G329" s="93"/>
      <c r="H329" s="93"/>
      <c r="I329" s="128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spans="1:26" ht="12.75" customHeight="1">
      <c r="A330" s="93"/>
      <c r="B330" s="93"/>
      <c r="C330" s="93"/>
      <c r="D330" s="93"/>
      <c r="E330" s="93"/>
      <c r="F330" s="93"/>
      <c r="G330" s="93"/>
      <c r="H330" s="93"/>
      <c r="I330" s="128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spans="1:26" ht="12.75" customHeight="1">
      <c r="A331" s="93"/>
      <c r="B331" s="93"/>
      <c r="C331" s="93"/>
      <c r="D331" s="93"/>
      <c r="E331" s="93"/>
      <c r="F331" s="93"/>
      <c r="G331" s="93"/>
      <c r="H331" s="93"/>
      <c r="I331" s="128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spans="1:26" ht="12.75" customHeight="1">
      <c r="A332" s="93"/>
      <c r="B332" s="93"/>
      <c r="C332" s="93"/>
      <c r="D332" s="93"/>
      <c r="E332" s="93"/>
      <c r="F332" s="93"/>
      <c r="G332" s="93"/>
      <c r="H332" s="93"/>
      <c r="I332" s="128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spans="1:26" ht="12.75" customHeight="1">
      <c r="A333" s="93"/>
      <c r="B333" s="93"/>
      <c r="C333" s="93"/>
      <c r="D333" s="93"/>
      <c r="E333" s="93"/>
      <c r="F333" s="93"/>
      <c r="G333" s="93"/>
      <c r="H333" s="93"/>
      <c r="I333" s="128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spans="1:26" ht="12.75" customHeight="1">
      <c r="A334" s="93"/>
      <c r="B334" s="93"/>
      <c r="C334" s="93"/>
      <c r="D334" s="93"/>
      <c r="E334" s="93"/>
      <c r="F334" s="93"/>
      <c r="G334" s="93"/>
      <c r="H334" s="93"/>
      <c r="I334" s="128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spans="1:26" ht="12.75" customHeight="1">
      <c r="A335" s="93"/>
      <c r="B335" s="93"/>
      <c r="C335" s="93"/>
      <c r="D335" s="93"/>
      <c r="E335" s="93"/>
      <c r="F335" s="93"/>
      <c r="G335" s="93"/>
      <c r="H335" s="93"/>
      <c r="I335" s="128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spans="1:26" ht="12.75" customHeight="1">
      <c r="A336" s="93"/>
      <c r="B336" s="93"/>
      <c r="C336" s="93"/>
      <c r="D336" s="93"/>
      <c r="E336" s="93"/>
      <c r="F336" s="93"/>
      <c r="G336" s="93"/>
      <c r="H336" s="93"/>
      <c r="I336" s="128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spans="1:26" ht="12.75" customHeight="1">
      <c r="A337" s="93"/>
      <c r="B337" s="93"/>
      <c r="C337" s="93"/>
      <c r="D337" s="93"/>
      <c r="E337" s="93"/>
      <c r="F337" s="93"/>
      <c r="G337" s="93"/>
      <c r="H337" s="93"/>
      <c r="I337" s="128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spans="1:26" ht="12.75" customHeight="1">
      <c r="A338" s="93"/>
      <c r="B338" s="93"/>
      <c r="C338" s="93"/>
      <c r="D338" s="93"/>
      <c r="E338" s="93"/>
      <c r="F338" s="93"/>
      <c r="G338" s="93"/>
      <c r="H338" s="93"/>
      <c r="I338" s="128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spans="1:26" ht="12.75" customHeight="1">
      <c r="A339" s="93"/>
      <c r="B339" s="93"/>
      <c r="C339" s="93"/>
      <c r="D339" s="93"/>
      <c r="E339" s="93"/>
      <c r="F339" s="93"/>
      <c r="G339" s="93"/>
      <c r="H339" s="93"/>
      <c r="I339" s="128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spans="1:26" ht="12.75" customHeight="1">
      <c r="A340" s="93"/>
      <c r="B340" s="93"/>
      <c r="C340" s="93"/>
      <c r="D340" s="93"/>
      <c r="E340" s="93"/>
      <c r="F340" s="93"/>
      <c r="G340" s="93"/>
      <c r="H340" s="93"/>
      <c r="I340" s="128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spans="1:26" ht="12.75" customHeight="1">
      <c r="A341" s="93"/>
      <c r="B341" s="93"/>
      <c r="C341" s="93"/>
      <c r="D341" s="93"/>
      <c r="E341" s="93"/>
      <c r="F341" s="93"/>
      <c r="G341" s="93"/>
      <c r="H341" s="93"/>
      <c r="I341" s="128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spans="1:26" ht="12.75" customHeight="1">
      <c r="A342" s="93"/>
      <c r="B342" s="93"/>
      <c r="C342" s="93"/>
      <c r="D342" s="93"/>
      <c r="E342" s="93"/>
      <c r="F342" s="93"/>
      <c r="G342" s="93"/>
      <c r="H342" s="93"/>
      <c r="I342" s="128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spans="1:26" ht="12.75" customHeight="1">
      <c r="A343" s="93"/>
      <c r="B343" s="93"/>
      <c r="C343" s="93"/>
      <c r="D343" s="93"/>
      <c r="E343" s="93"/>
      <c r="F343" s="93"/>
      <c r="G343" s="93"/>
      <c r="H343" s="93"/>
      <c r="I343" s="128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spans="1:26" ht="12.75" customHeight="1">
      <c r="A344" s="93"/>
      <c r="B344" s="93"/>
      <c r="C344" s="93"/>
      <c r="D344" s="93"/>
      <c r="E344" s="93"/>
      <c r="F344" s="93"/>
      <c r="G344" s="93"/>
      <c r="H344" s="93"/>
      <c r="I344" s="128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spans="1:26" ht="12.75" customHeight="1">
      <c r="A345" s="93"/>
      <c r="B345" s="93"/>
      <c r="C345" s="93"/>
      <c r="D345" s="93"/>
      <c r="E345" s="93"/>
      <c r="F345" s="93"/>
      <c r="G345" s="93"/>
      <c r="H345" s="93"/>
      <c r="I345" s="128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spans="1:26" ht="12.75" customHeight="1">
      <c r="A346" s="93"/>
      <c r="B346" s="93"/>
      <c r="C346" s="93"/>
      <c r="D346" s="93"/>
      <c r="E346" s="93"/>
      <c r="F346" s="93"/>
      <c r="G346" s="93"/>
      <c r="H346" s="93"/>
      <c r="I346" s="128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spans="1:26" ht="12.75" customHeight="1">
      <c r="A347" s="93"/>
      <c r="B347" s="93"/>
      <c r="C347" s="93"/>
      <c r="D347" s="93"/>
      <c r="E347" s="93"/>
      <c r="F347" s="93"/>
      <c r="G347" s="93"/>
      <c r="H347" s="93"/>
      <c r="I347" s="128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spans="1:26" ht="12.75" customHeight="1">
      <c r="A348" s="93"/>
      <c r="B348" s="93"/>
      <c r="C348" s="93"/>
      <c r="D348" s="93"/>
      <c r="E348" s="93"/>
      <c r="F348" s="93"/>
      <c r="G348" s="93"/>
      <c r="H348" s="93"/>
      <c r="I348" s="128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spans="1:26" ht="12.75" customHeight="1">
      <c r="A349" s="93"/>
      <c r="B349" s="93"/>
      <c r="C349" s="93"/>
      <c r="D349" s="93"/>
      <c r="E349" s="93"/>
      <c r="F349" s="93"/>
      <c r="G349" s="93"/>
      <c r="H349" s="93"/>
      <c r="I349" s="128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spans="1:26" ht="12.75" customHeight="1">
      <c r="A350" s="93"/>
      <c r="B350" s="93"/>
      <c r="C350" s="93"/>
      <c r="D350" s="93"/>
      <c r="E350" s="93"/>
      <c r="F350" s="93"/>
      <c r="G350" s="93"/>
      <c r="H350" s="93"/>
      <c r="I350" s="128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spans="1:26" ht="12.75" customHeight="1">
      <c r="A351" s="93"/>
      <c r="B351" s="93"/>
      <c r="C351" s="93"/>
      <c r="D351" s="93"/>
      <c r="E351" s="93"/>
      <c r="F351" s="93"/>
      <c r="G351" s="93"/>
      <c r="H351" s="93"/>
      <c r="I351" s="128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spans="1:26" ht="12.75" customHeight="1">
      <c r="A352" s="93"/>
      <c r="B352" s="93"/>
      <c r="C352" s="93"/>
      <c r="D352" s="93"/>
      <c r="E352" s="93"/>
      <c r="F352" s="93"/>
      <c r="G352" s="93"/>
      <c r="H352" s="93"/>
      <c r="I352" s="128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spans="1:26" ht="12.75" customHeight="1">
      <c r="A353" s="93"/>
      <c r="B353" s="93"/>
      <c r="C353" s="93"/>
      <c r="D353" s="93"/>
      <c r="E353" s="93"/>
      <c r="F353" s="93"/>
      <c r="G353" s="93"/>
      <c r="H353" s="93"/>
      <c r="I353" s="128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spans="1:26" ht="12.75" customHeight="1">
      <c r="A354" s="93"/>
      <c r="B354" s="93"/>
      <c r="C354" s="93"/>
      <c r="D354" s="93"/>
      <c r="E354" s="93"/>
      <c r="F354" s="93"/>
      <c r="G354" s="93"/>
      <c r="H354" s="93"/>
      <c r="I354" s="128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spans="1:26" ht="12.75" customHeight="1">
      <c r="A355" s="93"/>
      <c r="B355" s="93"/>
      <c r="C355" s="93"/>
      <c r="D355" s="93"/>
      <c r="E355" s="93"/>
      <c r="F355" s="93"/>
      <c r="G355" s="93"/>
      <c r="H355" s="93"/>
      <c r="I355" s="128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spans="1:26" ht="12.75" customHeight="1">
      <c r="A356" s="93"/>
      <c r="B356" s="93"/>
      <c r="C356" s="93"/>
      <c r="D356" s="93"/>
      <c r="E356" s="93"/>
      <c r="F356" s="93"/>
      <c r="G356" s="93"/>
      <c r="H356" s="93"/>
      <c r="I356" s="128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spans="1:26" ht="12.75" customHeight="1">
      <c r="A357" s="93"/>
      <c r="B357" s="93"/>
      <c r="C357" s="93"/>
      <c r="D357" s="93"/>
      <c r="E357" s="93"/>
      <c r="F357" s="93"/>
      <c r="G357" s="93"/>
      <c r="H357" s="93"/>
      <c r="I357" s="128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spans="1:26" ht="12.75" customHeight="1">
      <c r="A358" s="93"/>
      <c r="B358" s="93"/>
      <c r="C358" s="93"/>
      <c r="D358" s="93"/>
      <c r="E358" s="93"/>
      <c r="F358" s="93"/>
      <c r="G358" s="93"/>
      <c r="H358" s="93"/>
      <c r="I358" s="128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spans="1:26" ht="12.75" customHeight="1">
      <c r="A359" s="93"/>
      <c r="B359" s="93"/>
      <c r="C359" s="93"/>
      <c r="D359" s="93"/>
      <c r="E359" s="93"/>
      <c r="F359" s="93"/>
      <c r="G359" s="93"/>
      <c r="H359" s="93"/>
      <c r="I359" s="128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spans="1:26" ht="12.75" customHeight="1">
      <c r="A360" s="93"/>
      <c r="B360" s="93"/>
      <c r="C360" s="93"/>
      <c r="D360" s="93"/>
      <c r="E360" s="93"/>
      <c r="F360" s="93"/>
      <c r="G360" s="93"/>
      <c r="H360" s="93"/>
      <c r="I360" s="128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spans="1:26" ht="12.75" customHeight="1">
      <c r="A361" s="93"/>
      <c r="B361" s="93"/>
      <c r="C361" s="93"/>
      <c r="D361" s="93"/>
      <c r="E361" s="93"/>
      <c r="F361" s="93"/>
      <c r="G361" s="93"/>
      <c r="H361" s="93"/>
      <c r="I361" s="128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spans="1:26" ht="12.75" customHeight="1">
      <c r="A362" s="93"/>
      <c r="B362" s="93"/>
      <c r="C362" s="93"/>
      <c r="D362" s="93"/>
      <c r="E362" s="93"/>
      <c r="F362" s="93"/>
      <c r="G362" s="93"/>
      <c r="H362" s="93"/>
      <c r="I362" s="128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spans="1:26" ht="12.75" customHeight="1">
      <c r="A363" s="93"/>
      <c r="B363" s="93"/>
      <c r="C363" s="93"/>
      <c r="D363" s="93"/>
      <c r="E363" s="93"/>
      <c r="F363" s="93"/>
      <c r="G363" s="93"/>
      <c r="H363" s="93"/>
      <c r="I363" s="128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spans="1:26" ht="12.75" customHeight="1">
      <c r="A364" s="93"/>
      <c r="B364" s="93"/>
      <c r="C364" s="93"/>
      <c r="D364" s="93"/>
      <c r="E364" s="93"/>
      <c r="F364" s="93"/>
      <c r="G364" s="93"/>
      <c r="H364" s="93"/>
      <c r="I364" s="128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spans="1:26" ht="12.75" customHeight="1">
      <c r="A365" s="93"/>
      <c r="B365" s="93"/>
      <c r="C365" s="93"/>
      <c r="D365" s="93"/>
      <c r="E365" s="93"/>
      <c r="F365" s="93"/>
      <c r="G365" s="93"/>
      <c r="H365" s="93"/>
      <c r="I365" s="128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spans="1:26" ht="12.75" customHeight="1">
      <c r="A366" s="93"/>
      <c r="B366" s="93"/>
      <c r="C366" s="93"/>
      <c r="D366" s="93"/>
      <c r="E366" s="93"/>
      <c r="F366" s="93"/>
      <c r="G366" s="93"/>
      <c r="H366" s="93"/>
      <c r="I366" s="128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spans="1:26" ht="12.75" customHeight="1">
      <c r="A367" s="93"/>
      <c r="B367" s="93"/>
      <c r="C367" s="93"/>
      <c r="D367" s="93"/>
      <c r="E367" s="93"/>
      <c r="F367" s="93"/>
      <c r="G367" s="93"/>
      <c r="H367" s="93"/>
      <c r="I367" s="128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spans="1:26" ht="12.75" customHeight="1">
      <c r="A368" s="93"/>
      <c r="B368" s="93"/>
      <c r="C368" s="93"/>
      <c r="D368" s="93"/>
      <c r="E368" s="93"/>
      <c r="F368" s="93"/>
      <c r="G368" s="93"/>
      <c r="H368" s="93"/>
      <c r="I368" s="128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spans="1:26" ht="12.75" customHeight="1">
      <c r="A369" s="93"/>
      <c r="B369" s="93"/>
      <c r="C369" s="93"/>
      <c r="D369" s="93"/>
      <c r="E369" s="93"/>
      <c r="F369" s="93"/>
      <c r="G369" s="93"/>
      <c r="H369" s="93"/>
      <c r="I369" s="128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spans="1:26" ht="12.75" customHeight="1">
      <c r="A370" s="93"/>
      <c r="B370" s="93"/>
      <c r="C370" s="93"/>
      <c r="D370" s="93"/>
      <c r="E370" s="93"/>
      <c r="F370" s="93"/>
      <c r="G370" s="93"/>
      <c r="H370" s="93"/>
      <c r="I370" s="128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spans="1:26" ht="12.75" customHeight="1">
      <c r="A371" s="93"/>
      <c r="B371" s="93"/>
      <c r="C371" s="93"/>
      <c r="D371" s="93"/>
      <c r="E371" s="93"/>
      <c r="F371" s="93"/>
      <c r="G371" s="93"/>
      <c r="H371" s="93"/>
      <c r="I371" s="128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spans="1:26" ht="12.75" customHeight="1">
      <c r="A372" s="93"/>
      <c r="B372" s="93"/>
      <c r="C372" s="93"/>
      <c r="D372" s="93"/>
      <c r="E372" s="93"/>
      <c r="F372" s="93"/>
      <c r="G372" s="93"/>
      <c r="H372" s="93"/>
      <c r="I372" s="128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spans="1:26" ht="12.75" customHeight="1">
      <c r="A373" s="93"/>
      <c r="B373" s="93"/>
      <c r="C373" s="93"/>
      <c r="D373" s="93"/>
      <c r="E373" s="93"/>
      <c r="F373" s="93"/>
      <c r="G373" s="93"/>
      <c r="H373" s="93"/>
      <c r="I373" s="128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spans="1:26" ht="12.75" customHeight="1">
      <c r="A374" s="93"/>
      <c r="B374" s="93"/>
      <c r="C374" s="93"/>
      <c r="D374" s="93"/>
      <c r="E374" s="93"/>
      <c r="F374" s="93"/>
      <c r="G374" s="93"/>
      <c r="H374" s="93"/>
      <c r="I374" s="128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spans="1:26" ht="12.75" customHeight="1">
      <c r="A375" s="93"/>
      <c r="B375" s="93"/>
      <c r="C375" s="93"/>
      <c r="D375" s="93"/>
      <c r="E375" s="93"/>
      <c r="F375" s="93"/>
      <c r="G375" s="93"/>
      <c r="H375" s="93"/>
      <c r="I375" s="128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spans="1:26" ht="12.75" customHeight="1">
      <c r="A376" s="93"/>
      <c r="B376" s="93"/>
      <c r="C376" s="93"/>
      <c r="D376" s="93"/>
      <c r="E376" s="93"/>
      <c r="F376" s="93"/>
      <c r="G376" s="93"/>
      <c r="H376" s="93"/>
      <c r="I376" s="128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spans="1:26" ht="12.75" customHeight="1">
      <c r="A377" s="93"/>
      <c r="B377" s="93"/>
      <c r="C377" s="93"/>
      <c r="D377" s="93"/>
      <c r="E377" s="93"/>
      <c r="F377" s="93"/>
      <c r="G377" s="93"/>
      <c r="H377" s="93"/>
      <c r="I377" s="128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spans="1:26" ht="12.75" customHeight="1">
      <c r="A378" s="93"/>
      <c r="B378" s="93"/>
      <c r="C378" s="93"/>
      <c r="D378" s="93"/>
      <c r="E378" s="93"/>
      <c r="F378" s="93"/>
      <c r="G378" s="93"/>
      <c r="H378" s="93"/>
      <c r="I378" s="128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spans="1:26" ht="12.75" customHeight="1">
      <c r="A379" s="93"/>
      <c r="B379" s="93"/>
      <c r="C379" s="93"/>
      <c r="D379" s="93"/>
      <c r="E379" s="93"/>
      <c r="F379" s="93"/>
      <c r="G379" s="93"/>
      <c r="H379" s="93"/>
      <c r="I379" s="128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spans="1:26" ht="12.75" customHeight="1">
      <c r="A380" s="93"/>
      <c r="B380" s="93"/>
      <c r="C380" s="93"/>
      <c r="D380" s="93"/>
      <c r="E380" s="93"/>
      <c r="F380" s="93"/>
      <c r="G380" s="93"/>
      <c r="H380" s="93"/>
      <c r="I380" s="128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spans="1:26" ht="12.75" customHeight="1">
      <c r="A381" s="93"/>
      <c r="B381" s="93"/>
      <c r="C381" s="93"/>
      <c r="D381" s="93"/>
      <c r="E381" s="93"/>
      <c r="F381" s="93"/>
      <c r="G381" s="93"/>
      <c r="H381" s="93"/>
      <c r="I381" s="128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spans="1:26" ht="12.75" customHeight="1">
      <c r="A382" s="93"/>
      <c r="B382" s="93"/>
      <c r="C382" s="93"/>
      <c r="D382" s="93"/>
      <c r="E382" s="93"/>
      <c r="F382" s="93"/>
      <c r="G382" s="93"/>
      <c r="H382" s="93"/>
      <c r="I382" s="128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spans="1:26" ht="12.75" customHeight="1">
      <c r="A383" s="93"/>
      <c r="B383" s="93"/>
      <c r="C383" s="93"/>
      <c r="D383" s="93"/>
      <c r="E383" s="93"/>
      <c r="F383" s="93"/>
      <c r="G383" s="93"/>
      <c r="H383" s="93"/>
      <c r="I383" s="128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spans="1:26" ht="12.75" customHeight="1">
      <c r="A384" s="93"/>
      <c r="B384" s="93"/>
      <c r="C384" s="93"/>
      <c r="D384" s="93"/>
      <c r="E384" s="93"/>
      <c r="F384" s="93"/>
      <c r="G384" s="93"/>
      <c r="H384" s="93"/>
      <c r="I384" s="128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spans="1:26" ht="12.75" customHeight="1">
      <c r="A385" s="93"/>
      <c r="B385" s="93"/>
      <c r="C385" s="93"/>
      <c r="D385" s="93"/>
      <c r="E385" s="93"/>
      <c r="F385" s="93"/>
      <c r="G385" s="93"/>
      <c r="H385" s="93"/>
      <c r="I385" s="128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spans="1:26" ht="12.75" customHeight="1">
      <c r="A386" s="93"/>
      <c r="B386" s="93"/>
      <c r="C386" s="93"/>
      <c r="D386" s="93"/>
      <c r="E386" s="93"/>
      <c r="F386" s="93"/>
      <c r="G386" s="93"/>
      <c r="H386" s="93"/>
      <c r="I386" s="128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spans="1:26" ht="12.75" customHeight="1">
      <c r="A387" s="93"/>
      <c r="B387" s="93"/>
      <c r="C387" s="93"/>
      <c r="D387" s="93"/>
      <c r="E387" s="93"/>
      <c r="F387" s="93"/>
      <c r="G387" s="93"/>
      <c r="H387" s="93"/>
      <c r="I387" s="128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spans="1:26" ht="12.75" customHeight="1">
      <c r="A388" s="93"/>
      <c r="B388" s="93"/>
      <c r="C388" s="93"/>
      <c r="D388" s="93"/>
      <c r="E388" s="93"/>
      <c r="F388" s="93"/>
      <c r="G388" s="93"/>
      <c r="H388" s="93"/>
      <c r="I388" s="128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spans="1:26" ht="12.75" customHeight="1">
      <c r="A389" s="93"/>
      <c r="B389" s="93"/>
      <c r="C389" s="93"/>
      <c r="D389" s="93"/>
      <c r="E389" s="93"/>
      <c r="F389" s="93"/>
      <c r="G389" s="93"/>
      <c r="H389" s="93"/>
      <c r="I389" s="128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spans="1:26" ht="12.75" customHeight="1">
      <c r="A390" s="93"/>
      <c r="B390" s="93"/>
      <c r="C390" s="93"/>
      <c r="D390" s="93"/>
      <c r="E390" s="93"/>
      <c r="F390" s="93"/>
      <c r="G390" s="93"/>
      <c r="H390" s="93"/>
      <c r="I390" s="128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spans="1:26" ht="12.75" customHeight="1">
      <c r="A391" s="93"/>
      <c r="B391" s="93"/>
      <c r="C391" s="93"/>
      <c r="D391" s="93"/>
      <c r="E391" s="93"/>
      <c r="F391" s="93"/>
      <c r="G391" s="93"/>
      <c r="H391" s="93"/>
      <c r="I391" s="128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spans="1:26" ht="12.75" customHeight="1">
      <c r="A392" s="93"/>
      <c r="B392" s="93"/>
      <c r="C392" s="93"/>
      <c r="D392" s="93"/>
      <c r="E392" s="93"/>
      <c r="F392" s="93"/>
      <c r="G392" s="93"/>
      <c r="H392" s="93"/>
      <c r="I392" s="128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spans="1:26" ht="12.75" customHeight="1">
      <c r="A393" s="93"/>
      <c r="B393" s="93"/>
      <c r="C393" s="93"/>
      <c r="D393" s="93"/>
      <c r="E393" s="93"/>
      <c r="F393" s="93"/>
      <c r="G393" s="93"/>
      <c r="H393" s="93"/>
      <c r="I393" s="128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spans="1:26" ht="12.75" customHeight="1">
      <c r="A394" s="93"/>
      <c r="B394" s="93"/>
      <c r="C394" s="93"/>
      <c r="D394" s="93"/>
      <c r="E394" s="93"/>
      <c r="F394" s="93"/>
      <c r="G394" s="93"/>
      <c r="H394" s="93"/>
      <c r="I394" s="128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spans="1:26" ht="12.75" customHeight="1">
      <c r="A395" s="93"/>
      <c r="B395" s="93"/>
      <c r="C395" s="93"/>
      <c r="D395" s="93"/>
      <c r="E395" s="93"/>
      <c r="F395" s="93"/>
      <c r="G395" s="93"/>
      <c r="H395" s="93"/>
      <c r="I395" s="128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spans="1:26" ht="12.75" customHeight="1">
      <c r="A396" s="93"/>
      <c r="B396" s="93"/>
      <c r="C396" s="93"/>
      <c r="D396" s="93"/>
      <c r="E396" s="93"/>
      <c r="F396" s="93"/>
      <c r="G396" s="93"/>
      <c r="H396" s="93"/>
      <c r="I396" s="128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spans="1:26" ht="12.75" customHeight="1">
      <c r="A397" s="93"/>
      <c r="B397" s="93"/>
      <c r="C397" s="93"/>
      <c r="D397" s="93"/>
      <c r="E397" s="93"/>
      <c r="F397" s="93"/>
      <c r="G397" s="93"/>
      <c r="H397" s="93"/>
      <c r="I397" s="128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spans="1:26" ht="12.75" customHeight="1">
      <c r="A398" s="93"/>
      <c r="B398" s="93"/>
      <c r="C398" s="93"/>
      <c r="D398" s="93"/>
      <c r="E398" s="93"/>
      <c r="F398" s="93"/>
      <c r="G398" s="93"/>
      <c r="H398" s="93"/>
      <c r="I398" s="128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spans="1:26" ht="12.75" customHeight="1">
      <c r="A399" s="93"/>
      <c r="B399" s="93"/>
      <c r="C399" s="93"/>
      <c r="D399" s="93"/>
      <c r="E399" s="93"/>
      <c r="F399" s="93"/>
      <c r="G399" s="93"/>
      <c r="H399" s="93"/>
      <c r="I399" s="128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spans="1:26" ht="12.75" customHeight="1">
      <c r="A400" s="93"/>
      <c r="B400" s="93"/>
      <c r="C400" s="93"/>
      <c r="D400" s="93"/>
      <c r="E400" s="93"/>
      <c r="F400" s="93"/>
      <c r="G400" s="93"/>
      <c r="H400" s="93"/>
      <c r="I400" s="128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ht="12.75" customHeight="1">
      <c r="A401" s="93"/>
      <c r="B401" s="93"/>
      <c r="C401" s="93"/>
      <c r="D401" s="93"/>
      <c r="E401" s="93"/>
      <c r="F401" s="93"/>
      <c r="G401" s="93"/>
      <c r="H401" s="93"/>
      <c r="I401" s="128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ht="12.75" customHeight="1">
      <c r="A402" s="93"/>
      <c r="B402" s="93"/>
      <c r="C402" s="93"/>
      <c r="D402" s="93"/>
      <c r="E402" s="93"/>
      <c r="F402" s="93"/>
      <c r="G402" s="93"/>
      <c r="H402" s="93"/>
      <c r="I402" s="128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ht="12.75" customHeight="1">
      <c r="A403" s="93"/>
      <c r="B403" s="93"/>
      <c r="C403" s="93"/>
      <c r="D403" s="93"/>
      <c r="E403" s="93"/>
      <c r="F403" s="93"/>
      <c r="G403" s="93"/>
      <c r="H403" s="93"/>
      <c r="I403" s="128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ht="12.75" customHeight="1">
      <c r="A404" s="93"/>
      <c r="B404" s="93"/>
      <c r="C404" s="93"/>
      <c r="D404" s="93"/>
      <c r="E404" s="93"/>
      <c r="F404" s="93"/>
      <c r="G404" s="93"/>
      <c r="H404" s="93"/>
      <c r="I404" s="128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ht="12.75" customHeight="1">
      <c r="A405" s="93"/>
      <c r="B405" s="93"/>
      <c r="C405" s="93"/>
      <c r="D405" s="93"/>
      <c r="E405" s="93"/>
      <c r="F405" s="93"/>
      <c r="G405" s="93"/>
      <c r="H405" s="93"/>
      <c r="I405" s="128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ht="12.75" customHeight="1">
      <c r="A406" s="93"/>
      <c r="B406" s="93"/>
      <c r="C406" s="93"/>
      <c r="D406" s="93"/>
      <c r="E406" s="93"/>
      <c r="F406" s="93"/>
      <c r="G406" s="93"/>
      <c r="H406" s="93"/>
      <c r="I406" s="128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ht="12.75" customHeight="1">
      <c r="A407" s="93"/>
      <c r="B407" s="93"/>
      <c r="C407" s="93"/>
      <c r="D407" s="93"/>
      <c r="E407" s="93"/>
      <c r="F407" s="93"/>
      <c r="G407" s="93"/>
      <c r="H407" s="93"/>
      <c r="I407" s="128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12.75" customHeight="1">
      <c r="A408" s="93"/>
      <c r="B408" s="93"/>
      <c r="C408" s="93"/>
      <c r="D408" s="93"/>
      <c r="E408" s="93"/>
      <c r="F408" s="93"/>
      <c r="G408" s="93"/>
      <c r="H408" s="93"/>
      <c r="I408" s="128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ht="12.75" customHeight="1">
      <c r="A409" s="93"/>
      <c r="B409" s="93"/>
      <c r="C409" s="93"/>
      <c r="D409" s="93"/>
      <c r="E409" s="93"/>
      <c r="F409" s="93"/>
      <c r="G409" s="93"/>
      <c r="H409" s="93"/>
      <c r="I409" s="128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12.75" customHeight="1">
      <c r="A410" s="93"/>
      <c r="B410" s="93"/>
      <c r="C410" s="93"/>
      <c r="D410" s="93"/>
      <c r="E410" s="93"/>
      <c r="F410" s="93"/>
      <c r="G410" s="93"/>
      <c r="H410" s="93"/>
      <c r="I410" s="128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spans="1:26" ht="12.75" customHeight="1">
      <c r="A411" s="93"/>
      <c r="B411" s="93"/>
      <c r="C411" s="93"/>
      <c r="D411" s="93"/>
      <c r="E411" s="93"/>
      <c r="F411" s="93"/>
      <c r="G411" s="93"/>
      <c r="H411" s="93"/>
      <c r="I411" s="128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spans="1:26" ht="12.75" customHeight="1">
      <c r="A412" s="93"/>
      <c r="B412" s="93"/>
      <c r="C412" s="93"/>
      <c r="D412" s="93"/>
      <c r="E412" s="93"/>
      <c r="F412" s="93"/>
      <c r="G412" s="93"/>
      <c r="H412" s="93"/>
      <c r="I412" s="128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spans="1:26" ht="12.75" customHeight="1">
      <c r="A413" s="93"/>
      <c r="B413" s="93"/>
      <c r="C413" s="93"/>
      <c r="D413" s="93"/>
      <c r="E413" s="93"/>
      <c r="F413" s="93"/>
      <c r="G413" s="93"/>
      <c r="H413" s="93"/>
      <c r="I413" s="128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spans="1:26" ht="12.75" customHeight="1">
      <c r="A414" s="93"/>
      <c r="B414" s="93"/>
      <c r="C414" s="93"/>
      <c r="D414" s="93"/>
      <c r="E414" s="93"/>
      <c r="F414" s="93"/>
      <c r="G414" s="93"/>
      <c r="H414" s="93"/>
      <c r="I414" s="128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spans="1:26" ht="12.75" customHeight="1">
      <c r="A415" s="93"/>
      <c r="B415" s="93"/>
      <c r="C415" s="93"/>
      <c r="D415" s="93"/>
      <c r="E415" s="93"/>
      <c r="F415" s="93"/>
      <c r="G415" s="93"/>
      <c r="H415" s="93"/>
      <c r="I415" s="128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spans="1:26" ht="12.75" customHeight="1">
      <c r="A416" s="93"/>
      <c r="B416" s="93"/>
      <c r="C416" s="93"/>
      <c r="D416" s="93"/>
      <c r="E416" s="93"/>
      <c r="F416" s="93"/>
      <c r="G416" s="93"/>
      <c r="H416" s="93"/>
      <c r="I416" s="128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spans="1:26" ht="12.75" customHeight="1">
      <c r="A417" s="93"/>
      <c r="B417" s="93"/>
      <c r="C417" s="93"/>
      <c r="D417" s="93"/>
      <c r="E417" s="93"/>
      <c r="F417" s="93"/>
      <c r="G417" s="93"/>
      <c r="H417" s="93"/>
      <c r="I417" s="128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spans="1:26" ht="12.75" customHeight="1">
      <c r="A418" s="93"/>
      <c r="B418" s="93"/>
      <c r="C418" s="93"/>
      <c r="D418" s="93"/>
      <c r="E418" s="93"/>
      <c r="F418" s="93"/>
      <c r="G418" s="93"/>
      <c r="H418" s="93"/>
      <c r="I418" s="128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spans="1:26" ht="12.75" customHeight="1">
      <c r="A419" s="93"/>
      <c r="B419" s="93"/>
      <c r="C419" s="93"/>
      <c r="D419" s="93"/>
      <c r="E419" s="93"/>
      <c r="F419" s="93"/>
      <c r="G419" s="93"/>
      <c r="H419" s="93"/>
      <c r="I419" s="128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spans="1:26" ht="12.75" customHeight="1">
      <c r="A420" s="93"/>
      <c r="B420" s="93"/>
      <c r="C420" s="93"/>
      <c r="D420" s="93"/>
      <c r="E420" s="93"/>
      <c r="F420" s="93"/>
      <c r="G420" s="93"/>
      <c r="H420" s="93"/>
      <c r="I420" s="128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spans="1:26" ht="12.75" customHeight="1">
      <c r="A421" s="93"/>
      <c r="B421" s="93"/>
      <c r="C421" s="93"/>
      <c r="D421" s="93"/>
      <c r="E421" s="93"/>
      <c r="F421" s="93"/>
      <c r="G421" s="93"/>
      <c r="H421" s="93"/>
      <c r="I421" s="128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spans="1:26" ht="12.75" customHeight="1">
      <c r="A422" s="93"/>
      <c r="B422" s="93"/>
      <c r="C422" s="93"/>
      <c r="D422" s="93"/>
      <c r="E422" s="93"/>
      <c r="F422" s="93"/>
      <c r="G422" s="93"/>
      <c r="H422" s="93"/>
      <c r="I422" s="128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spans="1:26" ht="12.75" customHeight="1">
      <c r="A423" s="93"/>
      <c r="B423" s="93"/>
      <c r="C423" s="93"/>
      <c r="D423" s="93"/>
      <c r="E423" s="93"/>
      <c r="F423" s="93"/>
      <c r="G423" s="93"/>
      <c r="H423" s="93"/>
      <c r="I423" s="128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spans="1:26" ht="12.75" customHeight="1">
      <c r="A424" s="93"/>
      <c r="B424" s="93"/>
      <c r="C424" s="93"/>
      <c r="D424" s="93"/>
      <c r="E424" s="93"/>
      <c r="F424" s="93"/>
      <c r="G424" s="93"/>
      <c r="H424" s="93"/>
      <c r="I424" s="128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spans="1:26" ht="12.75" customHeight="1">
      <c r="A425" s="93"/>
      <c r="B425" s="93"/>
      <c r="C425" s="93"/>
      <c r="D425" s="93"/>
      <c r="E425" s="93"/>
      <c r="F425" s="93"/>
      <c r="G425" s="93"/>
      <c r="H425" s="93"/>
      <c r="I425" s="128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spans="1:26" ht="12.75" customHeight="1">
      <c r="A426" s="93"/>
      <c r="B426" s="93"/>
      <c r="C426" s="93"/>
      <c r="D426" s="93"/>
      <c r="E426" s="93"/>
      <c r="F426" s="93"/>
      <c r="G426" s="93"/>
      <c r="H426" s="93"/>
      <c r="I426" s="128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spans="1:26" ht="12.75" customHeight="1">
      <c r="A427" s="93"/>
      <c r="B427" s="93"/>
      <c r="C427" s="93"/>
      <c r="D427" s="93"/>
      <c r="E427" s="93"/>
      <c r="F427" s="93"/>
      <c r="G427" s="93"/>
      <c r="H427" s="93"/>
      <c r="I427" s="128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spans="1:26" ht="12.75" customHeight="1">
      <c r="A428" s="93"/>
      <c r="B428" s="93"/>
      <c r="C428" s="93"/>
      <c r="D428" s="93"/>
      <c r="E428" s="93"/>
      <c r="F428" s="93"/>
      <c r="G428" s="93"/>
      <c r="H428" s="93"/>
      <c r="I428" s="128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spans="1:26" ht="12.75" customHeight="1">
      <c r="A429" s="93"/>
      <c r="B429" s="93"/>
      <c r="C429" s="93"/>
      <c r="D429" s="93"/>
      <c r="E429" s="93"/>
      <c r="F429" s="93"/>
      <c r="G429" s="93"/>
      <c r="H429" s="93"/>
      <c r="I429" s="128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spans="1:26" ht="12.75" customHeight="1">
      <c r="A430" s="93"/>
      <c r="B430" s="93"/>
      <c r="C430" s="93"/>
      <c r="D430" s="93"/>
      <c r="E430" s="93"/>
      <c r="F430" s="93"/>
      <c r="G430" s="93"/>
      <c r="H430" s="93"/>
      <c r="I430" s="128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spans="1:26" ht="12.75" customHeight="1">
      <c r="A431" s="93"/>
      <c r="B431" s="93"/>
      <c r="C431" s="93"/>
      <c r="D431" s="93"/>
      <c r="E431" s="93"/>
      <c r="F431" s="93"/>
      <c r="G431" s="93"/>
      <c r="H431" s="93"/>
      <c r="I431" s="128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spans="1:26" ht="12.75" customHeight="1">
      <c r="A432" s="93"/>
      <c r="B432" s="93"/>
      <c r="C432" s="93"/>
      <c r="D432" s="93"/>
      <c r="E432" s="93"/>
      <c r="F432" s="93"/>
      <c r="G432" s="93"/>
      <c r="H432" s="93"/>
      <c r="I432" s="128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spans="1:26" ht="12.75" customHeight="1">
      <c r="A433" s="93"/>
      <c r="B433" s="93"/>
      <c r="C433" s="93"/>
      <c r="D433" s="93"/>
      <c r="E433" s="93"/>
      <c r="F433" s="93"/>
      <c r="G433" s="93"/>
      <c r="H433" s="93"/>
      <c r="I433" s="128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spans="1:26" ht="12.75" customHeight="1">
      <c r="A434" s="93"/>
      <c r="B434" s="93"/>
      <c r="C434" s="93"/>
      <c r="D434" s="93"/>
      <c r="E434" s="93"/>
      <c r="F434" s="93"/>
      <c r="G434" s="93"/>
      <c r="H434" s="93"/>
      <c r="I434" s="128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spans="1:26" ht="12.75" customHeight="1">
      <c r="A435" s="93"/>
      <c r="B435" s="93"/>
      <c r="C435" s="93"/>
      <c r="D435" s="93"/>
      <c r="E435" s="93"/>
      <c r="F435" s="93"/>
      <c r="G435" s="93"/>
      <c r="H435" s="93"/>
      <c r="I435" s="128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spans="1:26" ht="12.75" customHeight="1">
      <c r="A436" s="93"/>
      <c r="B436" s="93"/>
      <c r="C436" s="93"/>
      <c r="D436" s="93"/>
      <c r="E436" s="93"/>
      <c r="F436" s="93"/>
      <c r="G436" s="93"/>
      <c r="H436" s="93"/>
      <c r="I436" s="128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spans="1:26" ht="12.75" customHeight="1">
      <c r="A437" s="93"/>
      <c r="B437" s="93"/>
      <c r="C437" s="93"/>
      <c r="D437" s="93"/>
      <c r="E437" s="93"/>
      <c r="F437" s="93"/>
      <c r="G437" s="93"/>
      <c r="H437" s="93"/>
      <c r="I437" s="128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spans="1:26" ht="12.75" customHeight="1">
      <c r="A438" s="93"/>
      <c r="B438" s="93"/>
      <c r="C438" s="93"/>
      <c r="D438" s="93"/>
      <c r="E438" s="93"/>
      <c r="F438" s="93"/>
      <c r="G438" s="93"/>
      <c r="H438" s="93"/>
      <c r="I438" s="128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spans="1:26" ht="12.75" customHeight="1">
      <c r="A439" s="93"/>
      <c r="B439" s="93"/>
      <c r="C439" s="93"/>
      <c r="D439" s="93"/>
      <c r="E439" s="93"/>
      <c r="F439" s="93"/>
      <c r="G439" s="93"/>
      <c r="H439" s="93"/>
      <c r="I439" s="128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spans="1:26" ht="12.75" customHeight="1">
      <c r="A440" s="93"/>
      <c r="B440" s="93"/>
      <c r="C440" s="93"/>
      <c r="D440" s="93"/>
      <c r="E440" s="93"/>
      <c r="F440" s="93"/>
      <c r="G440" s="93"/>
      <c r="H440" s="93"/>
      <c r="I440" s="128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spans="1:26" ht="12.75" customHeight="1">
      <c r="A441" s="93"/>
      <c r="B441" s="93"/>
      <c r="C441" s="93"/>
      <c r="D441" s="93"/>
      <c r="E441" s="93"/>
      <c r="F441" s="93"/>
      <c r="G441" s="93"/>
      <c r="H441" s="93"/>
      <c r="I441" s="128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spans="1:26" ht="12.75" customHeight="1">
      <c r="A442" s="93"/>
      <c r="B442" s="93"/>
      <c r="C442" s="93"/>
      <c r="D442" s="93"/>
      <c r="E442" s="93"/>
      <c r="F442" s="93"/>
      <c r="G442" s="93"/>
      <c r="H442" s="93"/>
      <c r="I442" s="128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spans="1:26" ht="12.75" customHeight="1">
      <c r="A443" s="93"/>
      <c r="B443" s="93"/>
      <c r="C443" s="93"/>
      <c r="D443" s="93"/>
      <c r="E443" s="93"/>
      <c r="F443" s="93"/>
      <c r="G443" s="93"/>
      <c r="H443" s="93"/>
      <c r="I443" s="128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spans="1:26" ht="12.75" customHeight="1">
      <c r="A444" s="93"/>
      <c r="B444" s="93"/>
      <c r="C444" s="93"/>
      <c r="D444" s="93"/>
      <c r="E444" s="93"/>
      <c r="F444" s="93"/>
      <c r="G444" s="93"/>
      <c r="H444" s="93"/>
      <c r="I444" s="128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spans="1:26" ht="12.75" customHeight="1">
      <c r="A445" s="93"/>
      <c r="B445" s="93"/>
      <c r="C445" s="93"/>
      <c r="D445" s="93"/>
      <c r="E445" s="93"/>
      <c r="F445" s="93"/>
      <c r="G445" s="93"/>
      <c r="H445" s="93"/>
      <c r="I445" s="128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spans="1:26" ht="12.75" customHeight="1">
      <c r="A446" s="93"/>
      <c r="B446" s="93"/>
      <c r="C446" s="93"/>
      <c r="D446" s="93"/>
      <c r="E446" s="93"/>
      <c r="F446" s="93"/>
      <c r="G446" s="93"/>
      <c r="H446" s="93"/>
      <c r="I446" s="128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spans="1:26" ht="12.75" customHeight="1">
      <c r="A447" s="93"/>
      <c r="B447" s="93"/>
      <c r="C447" s="93"/>
      <c r="D447" s="93"/>
      <c r="E447" s="93"/>
      <c r="F447" s="93"/>
      <c r="G447" s="93"/>
      <c r="H447" s="93"/>
      <c r="I447" s="128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spans="1:26" ht="12.75" customHeight="1">
      <c r="A448" s="93"/>
      <c r="B448" s="93"/>
      <c r="C448" s="93"/>
      <c r="D448" s="93"/>
      <c r="E448" s="93"/>
      <c r="F448" s="93"/>
      <c r="G448" s="93"/>
      <c r="H448" s="93"/>
      <c r="I448" s="128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spans="1:26" ht="12.75" customHeight="1">
      <c r="A449" s="93"/>
      <c r="B449" s="93"/>
      <c r="C449" s="93"/>
      <c r="D449" s="93"/>
      <c r="E449" s="93"/>
      <c r="F449" s="93"/>
      <c r="G449" s="93"/>
      <c r="H449" s="93"/>
      <c r="I449" s="128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spans="1:26" ht="12.75" customHeight="1">
      <c r="A450" s="93"/>
      <c r="B450" s="93"/>
      <c r="C450" s="93"/>
      <c r="D450" s="93"/>
      <c r="E450" s="93"/>
      <c r="F450" s="93"/>
      <c r="G450" s="93"/>
      <c r="H450" s="93"/>
      <c r="I450" s="128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spans="1:26" ht="12.75" customHeight="1">
      <c r="A451" s="93"/>
      <c r="B451" s="93"/>
      <c r="C451" s="93"/>
      <c r="D451" s="93"/>
      <c r="E451" s="93"/>
      <c r="F451" s="93"/>
      <c r="G451" s="93"/>
      <c r="H451" s="93"/>
      <c r="I451" s="128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spans="1:26" ht="12.75" customHeight="1">
      <c r="A452" s="93"/>
      <c r="B452" s="93"/>
      <c r="C452" s="93"/>
      <c r="D452" s="93"/>
      <c r="E452" s="93"/>
      <c r="F452" s="93"/>
      <c r="G452" s="93"/>
      <c r="H452" s="93"/>
      <c r="I452" s="128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spans="1:26" ht="12.75" customHeight="1">
      <c r="A453" s="93"/>
      <c r="B453" s="93"/>
      <c r="C453" s="93"/>
      <c r="D453" s="93"/>
      <c r="E453" s="93"/>
      <c r="F453" s="93"/>
      <c r="G453" s="93"/>
      <c r="H453" s="93"/>
      <c r="I453" s="128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spans="1:26" ht="12.75" customHeight="1">
      <c r="A454" s="93"/>
      <c r="B454" s="93"/>
      <c r="C454" s="93"/>
      <c r="D454" s="93"/>
      <c r="E454" s="93"/>
      <c r="F454" s="93"/>
      <c r="G454" s="93"/>
      <c r="H454" s="93"/>
      <c r="I454" s="128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spans="1:26" ht="12.75" customHeight="1">
      <c r="A455" s="93"/>
      <c r="B455" s="93"/>
      <c r="C455" s="93"/>
      <c r="D455" s="93"/>
      <c r="E455" s="93"/>
      <c r="F455" s="93"/>
      <c r="G455" s="93"/>
      <c r="H455" s="93"/>
      <c r="I455" s="128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spans="1:26" ht="12.75" customHeight="1">
      <c r="A456" s="93"/>
      <c r="B456" s="93"/>
      <c r="C456" s="93"/>
      <c r="D456" s="93"/>
      <c r="E456" s="93"/>
      <c r="F456" s="93"/>
      <c r="G456" s="93"/>
      <c r="H456" s="93"/>
      <c r="I456" s="128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spans="1:26" ht="12.75" customHeight="1">
      <c r="A457" s="93"/>
      <c r="B457" s="93"/>
      <c r="C457" s="93"/>
      <c r="D457" s="93"/>
      <c r="E457" s="93"/>
      <c r="F457" s="93"/>
      <c r="G457" s="93"/>
      <c r="H457" s="93"/>
      <c r="I457" s="128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spans="1:26" ht="12.75" customHeight="1">
      <c r="A458" s="93"/>
      <c r="B458" s="93"/>
      <c r="C458" s="93"/>
      <c r="D458" s="93"/>
      <c r="E458" s="93"/>
      <c r="F458" s="93"/>
      <c r="G458" s="93"/>
      <c r="H458" s="93"/>
      <c r="I458" s="128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spans="1:26" ht="12.75" customHeight="1">
      <c r="A459" s="93"/>
      <c r="B459" s="93"/>
      <c r="C459" s="93"/>
      <c r="D459" s="93"/>
      <c r="E459" s="93"/>
      <c r="F459" s="93"/>
      <c r="G459" s="93"/>
      <c r="H459" s="93"/>
      <c r="I459" s="128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spans="1:26" ht="12.75" customHeight="1">
      <c r="A460" s="93"/>
      <c r="B460" s="93"/>
      <c r="C460" s="93"/>
      <c r="D460" s="93"/>
      <c r="E460" s="93"/>
      <c r="F460" s="93"/>
      <c r="G460" s="93"/>
      <c r="H460" s="93"/>
      <c r="I460" s="128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spans="1:26" ht="12.75" customHeight="1">
      <c r="A461" s="93"/>
      <c r="B461" s="93"/>
      <c r="C461" s="93"/>
      <c r="D461" s="93"/>
      <c r="E461" s="93"/>
      <c r="F461" s="93"/>
      <c r="G461" s="93"/>
      <c r="H461" s="93"/>
      <c r="I461" s="128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spans="1:26" ht="12.75" customHeight="1">
      <c r="A462" s="93"/>
      <c r="B462" s="93"/>
      <c r="C462" s="93"/>
      <c r="D462" s="93"/>
      <c r="E462" s="93"/>
      <c r="F462" s="93"/>
      <c r="G462" s="93"/>
      <c r="H462" s="93"/>
      <c r="I462" s="128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spans="1:26" ht="12.75" customHeight="1">
      <c r="A463" s="93"/>
      <c r="B463" s="93"/>
      <c r="C463" s="93"/>
      <c r="D463" s="93"/>
      <c r="E463" s="93"/>
      <c r="F463" s="93"/>
      <c r="G463" s="93"/>
      <c r="H463" s="93"/>
      <c r="I463" s="128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spans="1:26" ht="12.75" customHeight="1">
      <c r="A464" s="93"/>
      <c r="B464" s="93"/>
      <c r="C464" s="93"/>
      <c r="D464" s="93"/>
      <c r="E464" s="93"/>
      <c r="F464" s="93"/>
      <c r="G464" s="93"/>
      <c r="H464" s="93"/>
      <c r="I464" s="128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spans="1:26" ht="12.75" customHeight="1">
      <c r="A465" s="93"/>
      <c r="B465" s="93"/>
      <c r="C465" s="93"/>
      <c r="D465" s="93"/>
      <c r="E465" s="93"/>
      <c r="F465" s="93"/>
      <c r="G465" s="93"/>
      <c r="H465" s="93"/>
      <c r="I465" s="128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spans="1:26" ht="12.75" customHeight="1">
      <c r="A466" s="93"/>
      <c r="B466" s="93"/>
      <c r="C466" s="93"/>
      <c r="D466" s="93"/>
      <c r="E466" s="93"/>
      <c r="F466" s="93"/>
      <c r="G466" s="93"/>
      <c r="H466" s="93"/>
      <c r="I466" s="128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spans="1:26" ht="12.75" customHeight="1">
      <c r="A467" s="93"/>
      <c r="B467" s="93"/>
      <c r="C467" s="93"/>
      <c r="D467" s="93"/>
      <c r="E467" s="93"/>
      <c r="F467" s="93"/>
      <c r="G467" s="93"/>
      <c r="H467" s="93"/>
      <c r="I467" s="128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spans="1:26" ht="12.75" customHeight="1">
      <c r="A468" s="93"/>
      <c r="B468" s="93"/>
      <c r="C468" s="93"/>
      <c r="D468" s="93"/>
      <c r="E468" s="93"/>
      <c r="F468" s="93"/>
      <c r="G468" s="93"/>
      <c r="H468" s="93"/>
      <c r="I468" s="128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spans="1:26" ht="12.75" customHeight="1">
      <c r="A469" s="93"/>
      <c r="B469" s="93"/>
      <c r="C469" s="93"/>
      <c r="D469" s="93"/>
      <c r="E469" s="93"/>
      <c r="F469" s="93"/>
      <c r="G469" s="93"/>
      <c r="H469" s="93"/>
      <c r="I469" s="128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spans="1:26" ht="12.75" customHeight="1">
      <c r="A470" s="93"/>
      <c r="B470" s="93"/>
      <c r="C470" s="93"/>
      <c r="D470" s="93"/>
      <c r="E470" s="93"/>
      <c r="F470" s="93"/>
      <c r="G470" s="93"/>
      <c r="H470" s="93"/>
      <c r="I470" s="128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spans="1:26" ht="12.75" customHeight="1">
      <c r="A471" s="93"/>
      <c r="B471" s="93"/>
      <c r="C471" s="93"/>
      <c r="D471" s="93"/>
      <c r="E471" s="93"/>
      <c r="F471" s="93"/>
      <c r="G471" s="93"/>
      <c r="H471" s="93"/>
      <c r="I471" s="128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spans="1:26" ht="12.75" customHeight="1">
      <c r="A472" s="93"/>
      <c r="B472" s="93"/>
      <c r="C472" s="93"/>
      <c r="D472" s="93"/>
      <c r="E472" s="93"/>
      <c r="F472" s="93"/>
      <c r="G472" s="93"/>
      <c r="H472" s="93"/>
      <c r="I472" s="128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spans="1:26" ht="12.75" customHeight="1">
      <c r="A473" s="93"/>
      <c r="B473" s="93"/>
      <c r="C473" s="93"/>
      <c r="D473" s="93"/>
      <c r="E473" s="93"/>
      <c r="F473" s="93"/>
      <c r="G473" s="93"/>
      <c r="H473" s="93"/>
      <c r="I473" s="128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spans="1:26" ht="12.75" customHeight="1">
      <c r="A474" s="93"/>
      <c r="B474" s="93"/>
      <c r="C474" s="93"/>
      <c r="D474" s="93"/>
      <c r="E474" s="93"/>
      <c r="F474" s="93"/>
      <c r="G474" s="93"/>
      <c r="H474" s="93"/>
      <c r="I474" s="128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spans="1:26" ht="12.75" customHeight="1">
      <c r="A475" s="93"/>
      <c r="B475" s="93"/>
      <c r="C475" s="93"/>
      <c r="D475" s="93"/>
      <c r="E475" s="93"/>
      <c r="F475" s="93"/>
      <c r="G475" s="93"/>
      <c r="H475" s="93"/>
      <c r="I475" s="128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spans="1:26" ht="12.75" customHeight="1">
      <c r="A476" s="93"/>
      <c r="B476" s="93"/>
      <c r="C476" s="93"/>
      <c r="D476" s="93"/>
      <c r="E476" s="93"/>
      <c r="F476" s="93"/>
      <c r="G476" s="93"/>
      <c r="H476" s="93"/>
      <c r="I476" s="128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spans="1:26" ht="12.75" customHeight="1">
      <c r="A477" s="93"/>
      <c r="B477" s="93"/>
      <c r="C477" s="93"/>
      <c r="D477" s="93"/>
      <c r="E477" s="93"/>
      <c r="F477" s="93"/>
      <c r="G477" s="93"/>
      <c r="H477" s="93"/>
      <c r="I477" s="128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spans="1:26" ht="12.75" customHeight="1">
      <c r="A478" s="93"/>
      <c r="B478" s="93"/>
      <c r="C478" s="93"/>
      <c r="D478" s="93"/>
      <c r="E478" s="93"/>
      <c r="F478" s="93"/>
      <c r="G478" s="93"/>
      <c r="H478" s="93"/>
      <c r="I478" s="128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spans="1:26" ht="12.75" customHeight="1">
      <c r="A479" s="93"/>
      <c r="B479" s="93"/>
      <c r="C479" s="93"/>
      <c r="D479" s="93"/>
      <c r="E479" s="93"/>
      <c r="F479" s="93"/>
      <c r="G479" s="93"/>
      <c r="H479" s="93"/>
      <c r="I479" s="128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spans="1:26" ht="12.75" customHeight="1">
      <c r="A480" s="93"/>
      <c r="B480" s="93"/>
      <c r="C480" s="93"/>
      <c r="D480" s="93"/>
      <c r="E480" s="93"/>
      <c r="F480" s="93"/>
      <c r="G480" s="93"/>
      <c r="H480" s="93"/>
      <c r="I480" s="128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spans="1:26" ht="12.75" customHeight="1">
      <c r="A481" s="93"/>
      <c r="B481" s="93"/>
      <c r="C481" s="93"/>
      <c r="D481" s="93"/>
      <c r="E481" s="93"/>
      <c r="F481" s="93"/>
      <c r="G481" s="93"/>
      <c r="H481" s="93"/>
      <c r="I481" s="128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spans="1:26" ht="12.75" customHeight="1">
      <c r="A482" s="93"/>
      <c r="B482" s="93"/>
      <c r="C482" s="93"/>
      <c r="D482" s="93"/>
      <c r="E482" s="93"/>
      <c r="F482" s="93"/>
      <c r="G482" s="93"/>
      <c r="H482" s="93"/>
      <c r="I482" s="128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spans="1:26" ht="12.75" customHeight="1">
      <c r="A483" s="93"/>
      <c r="B483" s="93"/>
      <c r="C483" s="93"/>
      <c r="D483" s="93"/>
      <c r="E483" s="93"/>
      <c r="F483" s="93"/>
      <c r="G483" s="93"/>
      <c r="H483" s="93"/>
      <c r="I483" s="128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spans="1:26" ht="12.75" customHeight="1">
      <c r="A484" s="93"/>
      <c r="B484" s="93"/>
      <c r="C484" s="93"/>
      <c r="D484" s="93"/>
      <c r="E484" s="93"/>
      <c r="F484" s="93"/>
      <c r="G484" s="93"/>
      <c r="H484" s="93"/>
      <c r="I484" s="128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spans="1:26" ht="12.75" customHeight="1">
      <c r="A485" s="93"/>
      <c r="B485" s="93"/>
      <c r="C485" s="93"/>
      <c r="D485" s="93"/>
      <c r="E485" s="93"/>
      <c r="F485" s="93"/>
      <c r="G485" s="93"/>
      <c r="H485" s="93"/>
      <c r="I485" s="128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spans="1:26" ht="12.75" customHeight="1">
      <c r="A486" s="93"/>
      <c r="B486" s="93"/>
      <c r="C486" s="93"/>
      <c r="D486" s="93"/>
      <c r="E486" s="93"/>
      <c r="F486" s="93"/>
      <c r="G486" s="93"/>
      <c r="H486" s="93"/>
      <c r="I486" s="128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spans="1:26" ht="12.75" customHeight="1">
      <c r="A487" s="93"/>
      <c r="B487" s="93"/>
      <c r="C487" s="93"/>
      <c r="D487" s="93"/>
      <c r="E487" s="93"/>
      <c r="F487" s="93"/>
      <c r="G487" s="93"/>
      <c r="H487" s="93"/>
      <c r="I487" s="128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spans="1:26" ht="12.75" customHeight="1">
      <c r="A488" s="93"/>
      <c r="B488" s="93"/>
      <c r="C488" s="93"/>
      <c r="D488" s="93"/>
      <c r="E488" s="93"/>
      <c r="F488" s="93"/>
      <c r="G488" s="93"/>
      <c r="H488" s="93"/>
      <c r="I488" s="128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spans="1:26" ht="12.75" customHeight="1">
      <c r="A489" s="93"/>
      <c r="B489" s="93"/>
      <c r="C489" s="93"/>
      <c r="D489" s="93"/>
      <c r="E489" s="93"/>
      <c r="F489" s="93"/>
      <c r="G489" s="93"/>
      <c r="H489" s="93"/>
      <c r="I489" s="128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spans="1:26" ht="12.75" customHeight="1">
      <c r="A490" s="93"/>
      <c r="B490" s="93"/>
      <c r="C490" s="93"/>
      <c r="D490" s="93"/>
      <c r="E490" s="93"/>
      <c r="F490" s="93"/>
      <c r="G490" s="93"/>
      <c r="H490" s="93"/>
      <c r="I490" s="128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spans="1:26" ht="12.75" customHeight="1">
      <c r="A491" s="93"/>
      <c r="B491" s="93"/>
      <c r="C491" s="93"/>
      <c r="D491" s="93"/>
      <c r="E491" s="93"/>
      <c r="F491" s="93"/>
      <c r="G491" s="93"/>
      <c r="H491" s="93"/>
      <c r="I491" s="128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spans="1:26" ht="12.75" customHeight="1">
      <c r="A492" s="93"/>
      <c r="B492" s="93"/>
      <c r="C492" s="93"/>
      <c r="D492" s="93"/>
      <c r="E492" s="93"/>
      <c r="F492" s="93"/>
      <c r="G492" s="93"/>
      <c r="H492" s="93"/>
      <c r="I492" s="128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spans="1:26" ht="12.75" customHeight="1">
      <c r="A493" s="93"/>
      <c r="B493" s="93"/>
      <c r="C493" s="93"/>
      <c r="D493" s="93"/>
      <c r="E493" s="93"/>
      <c r="F493" s="93"/>
      <c r="G493" s="93"/>
      <c r="H493" s="93"/>
      <c r="I493" s="128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spans="1:26" ht="12.75" customHeight="1">
      <c r="A494" s="93"/>
      <c r="B494" s="93"/>
      <c r="C494" s="93"/>
      <c r="D494" s="93"/>
      <c r="E494" s="93"/>
      <c r="F494" s="93"/>
      <c r="G494" s="93"/>
      <c r="H494" s="93"/>
      <c r="I494" s="128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spans="1:26" ht="12.75" customHeight="1">
      <c r="A495" s="93"/>
      <c r="B495" s="93"/>
      <c r="C495" s="93"/>
      <c r="D495" s="93"/>
      <c r="E495" s="93"/>
      <c r="F495" s="93"/>
      <c r="G495" s="93"/>
      <c r="H495" s="93"/>
      <c r="I495" s="128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spans="1:26" ht="12.75" customHeight="1">
      <c r="A496" s="93"/>
      <c r="B496" s="93"/>
      <c r="C496" s="93"/>
      <c r="D496" s="93"/>
      <c r="E496" s="93"/>
      <c r="F496" s="93"/>
      <c r="G496" s="93"/>
      <c r="H496" s="93"/>
      <c r="I496" s="128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spans="1:26" ht="12.75" customHeight="1">
      <c r="A497" s="93"/>
      <c r="B497" s="93"/>
      <c r="C497" s="93"/>
      <c r="D497" s="93"/>
      <c r="E497" s="93"/>
      <c r="F497" s="93"/>
      <c r="G497" s="93"/>
      <c r="H497" s="93"/>
      <c r="I497" s="128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spans="1:26" ht="12.75" customHeight="1">
      <c r="A498" s="93"/>
      <c r="B498" s="93"/>
      <c r="C498" s="93"/>
      <c r="D498" s="93"/>
      <c r="E498" s="93"/>
      <c r="F498" s="93"/>
      <c r="G498" s="93"/>
      <c r="H498" s="93"/>
      <c r="I498" s="128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spans="1:26" ht="12.75" customHeight="1">
      <c r="A499" s="93"/>
      <c r="B499" s="93"/>
      <c r="C499" s="93"/>
      <c r="D499" s="93"/>
      <c r="E499" s="93"/>
      <c r="F499" s="93"/>
      <c r="G499" s="93"/>
      <c r="H499" s="93"/>
      <c r="I499" s="128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spans="1:26" ht="12.75" customHeight="1">
      <c r="A500" s="93"/>
      <c r="B500" s="93"/>
      <c r="C500" s="93"/>
      <c r="D500" s="93"/>
      <c r="E500" s="93"/>
      <c r="F500" s="93"/>
      <c r="G500" s="93"/>
      <c r="H500" s="93"/>
      <c r="I500" s="128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spans="1:26" ht="12.75" customHeight="1">
      <c r="A501" s="93"/>
      <c r="B501" s="93"/>
      <c r="C501" s="93"/>
      <c r="D501" s="93"/>
      <c r="E501" s="93"/>
      <c r="F501" s="93"/>
      <c r="G501" s="93"/>
      <c r="H501" s="93"/>
      <c r="I501" s="128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spans="1:26" ht="12.75" customHeight="1">
      <c r="A502" s="93"/>
      <c r="B502" s="93"/>
      <c r="C502" s="93"/>
      <c r="D502" s="93"/>
      <c r="E502" s="93"/>
      <c r="F502" s="93"/>
      <c r="G502" s="93"/>
      <c r="H502" s="93"/>
      <c r="I502" s="128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spans="1:26" ht="12.75" customHeight="1">
      <c r="A503" s="93"/>
      <c r="B503" s="93"/>
      <c r="C503" s="93"/>
      <c r="D503" s="93"/>
      <c r="E503" s="93"/>
      <c r="F503" s="93"/>
      <c r="G503" s="93"/>
      <c r="H503" s="93"/>
      <c r="I503" s="128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spans="1:26" ht="12.75" customHeight="1">
      <c r="A504" s="93"/>
      <c r="B504" s="93"/>
      <c r="C504" s="93"/>
      <c r="D504" s="93"/>
      <c r="E504" s="93"/>
      <c r="F504" s="93"/>
      <c r="G504" s="93"/>
      <c r="H504" s="93"/>
      <c r="I504" s="128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spans="1:26" ht="12.75" customHeight="1">
      <c r="A505" s="93"/>
      <c r="B505" s="93"/>
      <c r="C505" s="93"/>
      <c r="D505" s="93"/>
      <c r="E505" s="93"/>
      <c r="F505" s="93"/>
      <c r="G505" s="93"/>
      <c r="H505" s="93"/>
      <c r="I505" s="128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spans="1:26" ht="12.75" customHeight="1">
      <c r="A506" s="93"/>
      <c r="B506" s="93"/>
      <c r="C506" s="93"/>
      <c r="D506" s="93"/>
      <c r="E506" s="93"/>
      <c r="F506" s="93"/>
      <c r="G506" s="93"/>
      <c r="H506" s="93"/>
      <c r="I506" s="128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spans="1:26" ht="12.75" customHeight="1">
      <c r="A507" s="93"/>
      <c r="B507" s="93"/>
      <c r="C507" s="93"/>
      <c r="D507" s="93"/>
      <c r="E507" s="93"/>
      <c r="F507" s="93"/>
      <c r="G507" s="93"/>
      <c r="H507" s="93"/>
      <c r="I507" s="128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spans="1:26" ht="12.75" customHeight="1">
      <c r="A508" s="93"/>
      <c r="B508" s="93"/>
      <c r="C508" s="93"/>
      <c r="D508" s="93"/>
      <c r="E508" s="93"/>
      <c r="F508" s="93"/>
      <c r="G508" s="93"/>
      <c r="H508" s="93"/>
      <c r="I508" s="128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spans="1:26" ht="12.75" customHeight="1">
      <c r="A509" s="93"/>
      <c r="B509" s="93"/>
      <c r="C509" s="93"/>
      <c r="D509" s="93"/>
      <c r="E509" s="93"/>
      <c r="F509" s="93"/>
      <c r="G509" s="93"/>
      <c r="H509" s="93"/>
      <c r="I509" s="128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spans="1:26" ht="12.75" customHeight="1">
      <c r="A510" s="93"/>
      <c r="B510" s="93"/>
      <c r="C510" s="93"/>
      <c r="D510" s="93"/>
      <c r="E510" s="93"/>
      <c r="F510" s="93"/>
      <c r="G510" s="93"/>
      <c r="H510" s="93"/>
      <c r="I510" s="128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spans="1:26" ht="12.75" customHeight="1">
      <c r="A511" s="93"/>
      <c r="B511" s="93"/>
      <c r="C511" s="93"/>
      <c r="D511" s="93"/>
      <c r="E511" s="93"/>
      <c r="F511" s="93"/>
      <c r="G511" s="93"/>
      <c r="H511" s="93"/>
      <c r="I511" s="128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spans="1:26" ht="12.75" customHeight="1">
      <c r="A512" s="93"/>
      <c r="B512" s="93"/>
      <c r="C512" s="93"/>
      <c r="D512" s="93"/>
      <c r="E512" s="93"/>
      <c r="F512" s="93"/>
      <c r="G512" s="93"/>
      <c r="H512" s="93"/>
      <c r="I512" s="128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spans="1:26" ht="12.75" customHeight="1">
      <c r="A513" s="93"/>
      <c r="B513" s="93"/>
      <c r="C513" s="93"/>
      <c r="D513" s="93"/>
      <c r="E513" s="93"/>
      <c r="F513" s="93"/>
      <c r="G513" s="93"/>
      <c r="H513" s="93"/>
      <c r="I513" s="128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spans="1:26" ht="12.75" customHeight="1">
      <c r="A514" s="93"/>
      <c r="B514" s="93"/>
      <c r="C514" s="93"/>
      <c r="D514" s="93"/>
      <c r="E514" s="93"/>
      <c r="F514" s="93"/>
      <c r="G514" s="93"/>
      <c r="H514" s="93"/>
      <c r="I514" s="128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spans="1:26" ht="12.75" customHeight="1">
      <c r="A515" s="93"/>
      <c r="B515" s="93"/>
      <c r="C515" s="93"/>
      <c r="D515" s="93"/>
      <c r="E515" s="93"/>
      <c r="F515" s="93"/>
      <c r="G515" s="93"/>
      <c r="H515" s="93"/>
      <c r="I515" s="128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spans="1:26" ht="12.75" customHeight="1">
      <c r="A516" s="93"/>
      <c r="B516" s="93"/>
      <c r="C516" s="93"/>
      <c r="D516" s="93"/>
      <c r="E516" s="93"/>
      <c r="F516" s="93"/>
      <c r="G516" s="93"/>
      <c r="H516" s="93"/>
      <c r="I516" s="128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spans="1:26" ht="12.75" customHeight="1">
      <c r="A517" s="93"/>
      <c r="B517" s="93"/>
      <c r="C517" s="93"/>
      <c r="D517" s="93"/>
      <c r="E517" s="93"/>
      <c r="F517" s="93"/>
      <c r="G517" s="93"/>
      <c r="H517" s="93"/>
      <c r="I517" s="128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spans="1:26" ht="12.75" customHeight="1">
      <c r="A518" s="93"/>
      <c r="B518" s="93"/>
      <c r="C518" s="93"/>
      <c r="D518" s="93"/>
      <c r="E518" s="93"/>
      <c r="F518" s="93"/>
      <c r="G518" s="93"/>
      <c r="H518" s="93"/>
      <c r="I518" s="128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spans="1:26" ht="12.75" customHeight="1">
      <c r="A519" s="93"/>
      <c r="B519" s="93"/>
      <c r="C519" s="93"/>
      <c r="D519" s="93"/>
      <c r="E519" s="93"/>
      <c r="F519" s="93"/>
      <c r="G519" s="93"/>
      <c r="H519" s="93"/>
      <c r="I519" s="128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spans="1:26" ht="12.75" customHeight="1">
      <c r="A520" s="93"/>
      <c r="B520" s="93"/>
      <c r="C520" s="93"/>
      <c r="D520" s="93"/>
      <c r="E520" s="93"/>
      <c r="F520" s="93"/>
      <c r="G520" s="93"/>
      <c r="H520" s="93"/>
      <c r="I520" s="128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spans="1:26" ht="12.75" customHeight="1">
      <c r="A521" s="93"/>
      <c r="B521" s="93"/>
      <c r="C521" s="93"/>
      <c r="D521" s="93"/>
      <c r="E521" s="93"/>
      <c r="F521" s="93"/>
      <c r="G521" s="93"/>
      <c r="H521" s="93"/>
      <c r="I521" s="128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spans="1:26" ht="12.75" customHeight="1">
      <c r="A522" s="93"/>
      <c r="B522" s="93"/>
      <c r="C522" s="93"/>
      <c r="D522" s="93"/>
      <c r="E522" s="93"/>
      <c r="F522" s="93"/>
      <c r="G522" s="93"/>
      <c r="H522" s="93"/>
      <c r="I522" s="128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spans="1:26" ht="12.75" customHeight="1">
      <c r="A523" s="93"/>
      <c r="B523" s="93"/>
      <c r="C523" s="93"/>
      <c r="D523" s="93"/>
      <c r="E523" s="93"/>
      <c r="F523" s="93"/>
      <c r="G523" s="93"/>
      <c r="H523" s="93"/>
      <c r="I523" s="128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spans="1:26" ht="12.75" customHeight="1">
      <c r="A524" s="93"/>
      <c r="B524" s="93"/>
      <c r="C524" s="93"/>
      <c r="D524" s="93"/>
      <c r="E524" s="93"/>
      <c r="F524" s="93"/>
      <c r="G524" s="93"/>
      <c r="H524" s="93"/>
      <c r="I524" s="128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spans="1:26" ht="12.75" customHeight="1">
      <c r="A525" s="93"/>
      <c r="B525" s="93"/>
      <c r="C525" s="93"/>
      <c r="D525" s="93"/>
      <c r="E525" s="93"/>
      <c r="F525" s="93"/>
      <c r="G525" s="93"/>
      <c r="H525" s="93"/>
      <c r="I525" s="128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spans="1:26" ht="12.75" customHeight="1">
      <c r="A526" s="93"/>
      <c r="B526" s="93"/>
      <c r="C526" s="93"/>
      <c r="D526" s="93"/>
      <c r="E526" s="93"/>
      <c r="F526" s="93"/>
      <c r="G526" s="93"/>
      <c r="H526" s="93"/>
      <c r="I526" s="128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spans="1:26" ht="12.75" customHeight="1">
      <c r="A527" s="93"/>
      <c r="B527" s="93"/>
      <c r="C527" s="93"/>
      <c r="D527" s="93"/>
      <c r="E527" s="93"/>
      <c r="F527" s="93"/>
      <c r="G527" s="93"/>
      <c r="H527" s="93"/>
      <c r="I527" s="128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spans="1:26" ht="12.75" customHeight="1">
      <c r="A528" s="93"/>
      <c r="B528" s="93"/>
      <c r="C528" s="93"/>
      <c r="D528" s="93"/>
      <c r="E528" s="93"/>
      <c r="F528" s="93"/>
      <c r="G528" s="93"/>
      <c r="H528" s="93"/>
      <c r="I528" s="128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spans="1:26" ht="12.75" customHeight="1">
      <c r="A529" s="93"/>
      <c r="B529" s="93"/>
      <c r="C529" s="93"/>
      <c r="D529" s="93"/>
      <c r="E529" s="93"/>
      <c r="F529" s="93"/>
      <c r="G529" s="93"/>
      <c r="H529" s="93"/>
      <c r="I529" s="128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spans="1:26" ht="12.75" customHeight="1">
      <c r="A530" s="93"/>
      <c r="B530" s="93"/>
      <c r="C530" s="93"/>
      <c r="D530" s="93"/>
      <c r="E530" s="93"/>
      <c r="F530" s="93"/>
      <c r="G530" s="93"/>
      <c r="H530" s="93"/>
      <c r="I530" s="128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spans="1:26" ht="12.75" customHeight="1">
      <c r="A531" s="93"/>
      <c r="B531" s="93"/>
      <c r="C531" s="93"/>
      <c r="D531" s="93"/>
      <c r="E531" s="93"/>
      <c r="F531" s="93"/>
      <c r="G531" s="93"/>
      <c r="H531" s="93"/>
      <c r="I531" s="128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spans="1:26" ht="12.75" customHeight="1">
      <c r="A532" s="93"/>
      <c r="B532" s="93"/>
      <c r="C532" s="93"/>
      <c r="D532" s="93"/>
      <c r="E532" s="93"/>
      <c r="F532" s="93"/>
      <c r="G532" s="93"/>
      <c r="H532" s="93"/>
      <c r="I532" s="128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spans="1:26" ht="12.75" customHeight="1">
      <c r="A533" s="93"/>
      <c r="B533" s="93"/>
      <c r="C533" s="93"/>
      <c r="D533" s="93"/>
      <c r="E533" s="93"/>
      <c r="F533" s="93"/>
      <c r="G533" s="93"/>
      <c r="H533" s="93"/>
      <c r="I533" s="128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spans="1:26" ht="12.75" customHeight="1">
      <c r="A534" s="93"/>
      <c r="B534" s="93"/>
      <c r="C534" s="93"/>
      <c r="D534" s="93"/>
      <c r="E534" s="93"/>
      <c r="F534" s="93"/>
      <c r="G534" s="93"/>
      <c r="H534" s="93"/>
      <c r="I534" s="128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spans="1:26" ht="12.75" customHeight="1">
      <c r="A535" s="93"/>
      <c r="B535" s="93"/>
      <c r="C535" s="93"/>
      <c r="D535" s="93"/>
      <c r="E535" s="93"/>
      <c r="F535" s="93"/>
      <c r="G535" s="93"/>
      <c r="H535" s="93"/>
      <c r="I535" s="128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spans="1:26" ht="12.75" customHeight="1">
      <c r="A536" s="93"/>
      <c r="B536" s="93"/>
      <c r="C536" s="93"/>
      <c r="D536" s="93"/>
      <c r="E536" s="93"/>
      <c r="F536" s="93"/>
      <c r="G536" s="93"/>
      <c r="H536" s="93"/>
      <c r="I536" s="128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spans="1:26" ht="12.75" customHeight="1">
      <c r="A537" s="93"/>
      <c r="B537" s="93"/>
      <c r="C537" s="93"/>
      <c r="D537" s="93"/>
      <c r="E537" s="93"/>
      <c r="F537" s="93"/>
      <c r="G537" s="93"/>
      <c r="H537" s="93"/>
      <c r="I537" s="128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spans="1:26" ht="12.75" customHeight="1">
      <c r="A538" s="93"/>
      <c r="B538" s="93"/>
      <c r="C538" s="93"/>
      <c r="D538" s="93"/>
      <c r="E538" s="93"/>
      <c r="F538" s="93"/>
      <c r="G538" s="93"/>
      <c r="H538" s="93"/>
      <c r="I538" s="128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spans="1:26" ht="12.75" customHeight="1">
      <c r="A539" s="93"/>
      <c r="B539" s="93"/>
      <c r="C539" s="93"/>
      <c r="D539" s="93"/>
      <c r="E539" s="93"/>
      <c r="F539" s="93"/>
      <c r="G539" s="93"/>
      <c r="H539" s="93"/>
      <c r="I539" s="128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spans="1:26" ht="12.75" customHeight="1">
      <c r="A540" s="93"/>
      <c r="B540" s="93"/>
      <c r="C540" s="93"/>
      <c r="D540" s="93"/>
      <c r="E540" s="93"/>
      <c r="F540" s="93"/>
      <c r="G540" s="93"/>
      <c r="H540" s="93"/>
      <c r="I540" s="128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spans="1:26" ht="12.75" customHeight="1">
      <c r="A541" s="93"/>
      <c r="B541" s="93"/>
      <c r="C541" s="93"/>
      <c r="D541" s="93"/>
      <c r="E541" s="93"/>
      <c r="F541" s="93"/>
      <c r="G541" s="93"/>
      <c r="H541" s="93"/>
      <c r="I541" s="128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spans="1:26" ht="12.75" customHeight="1">
      <c r="A542" s="93"/>
      <c r="B542" s="93"/>
      <c r="C542" s="93"/>
      <c r="D542" s="93"/>
      <c r="E542" s="93"/>
      <c r="F542" s="93"/>
      <c r="G542" s="93"/>
      <c r="H542" s="93"/>
      <c r="I542" s="128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spans="1:26" ht="12.75" customHeight="1">
      <c r="A543" s="93"/>
      <c r="B543" s="93"/>
      <c r="C543" s="93"/>
      <c r="D543" s="93"/>
      <c r="E543" s="93"/>
      <c r="F543" s="93"/>
      <c r="G543" s="93"/>
      <c r="H543" s="93"/>
      <c r="I543" s="128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spans="1:26" ht="12.75" customHeight="1">
      <c r="A544" s="93"/>
      <c r="B544" s="93"/>
      <c r="C544" s="93"/>
      <c r="D544" s="93"/>
      <c r="E544" s="93"/>
      <c r="F544" s="93"/>
      <c r="G544" s="93"/>
      <c r="H544" s="93"/>
      <c r="I544" s="128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spans="1:26" ht="12.75" customHeight="1">
      <c r="A545" s="93"/>
      <c r="B545" s="93"/>
      <c r="C545" s="93"/>
      <c r="D545" s="93"/>
      <c r="E545" s="93"/>
      <c r="F545" s="93"/>
      <c r="G545" s="93"/>
      <c r="H545" s="93"/>
      <c r="I545" s="128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spans="1:26" ht="12.75" customHeight="1">
      <c r="A546" s="93"/>
      <c r="B546" s="93"/>
      <c r="C546" s="93"/>
      <c r="D546" s="93"/>
      <c r="E546" s="93"/>
      <c r="F546" s="93"/>
      <c r="G546" s="93"/>
      <c r="H546" s="93"/>
      <c r="I546" s="128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spans="1:26" ht="12.75" customHeight="1">
      <c r="A547" s="93"/>
      <c r="B547" s="93"/>
      <c r="C547" s="93"/>
      <c r="D547" s="93"/>
      <c r="E547" s="93"/>
      <c r="F547" s="93"/>
      <c r="G547" s="93"/>
      <c r="H547" s="93"/>
      <c r="I547" s="128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spans="1:26" ht="12.75" customHeight="1">
      <c r="A548" s="93"/>
      <c r="B548" s="93"/>
      <c r="C548" s="93"/>
      <c r="D548" s="93"/>
      <c r="E548" s="93"/>
      <c r="F548" s="93"/>
      <c r="G548" s="93"/>
      <c r="H548" s="93"/>
      <c r="I548" s="128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spans="1:26" ht="12.75" customHeight="1">
      <c r="A549" s="93"/>
      <c r="B549" s="93"/>
      <c r="C549" s="93"/>
      <c r="D549" s="93"/>
      <c r="E549" s="93"/>
      <c r="F549" s="93"/>
      <c r="G549" s="93"/>
      <c r="H549" s="93"/>
      <c r="I549" s="128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spans="1:26" ht="12.75" customHeight="1">
      <c r="A550" s="93"/>
      <c r="B550" s="93"/>
      <c r="C550" s="93"/>
      <c r="D550" s="93"/>
      <c r="E550" s="93"/>
      <c r="F550" s="93"/>
      <c r="G550" s="93"/>
      <c r="H550" s="93"/>
      <c r="I550" s="128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spans="1:26" ht="12.75" customHeight="1">
      <c r="A551" s="93"/>
      <c r="B551" s="93"/>
      <c r="C551" s="93"/>
      <c r="D551" s="93"/>
      <c r="E551" s="93"/>
      <c r="F551" s="93"/>
      <c r="G551" s="93"/>
      <c r="H551" s="93"/>
      <c r="I551" s="128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spans="1:26" ht="12.75" customHeight="1">
      <c r="A552" s="93"/>
      <c r="B552" s="93"/>
      <c r="C552" s="93"/>
      <c r="D552" s="93"/>
      <c r="E552" s="93"/>
      <c r="F552" s="93"/>
      <c r="G552" s="93"/>
      <c r="H552" s="93"/>
      <c r="I552" s="128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spans="1:26" ht="12.75" customHeight="1">
      <c r="A553" s="93"/>
      <c r="B553" s="93"/>
      <c r="C553" s="93"/>
      <c r="D553" s="93"/>
      <c r="E553" s="93"/>
      <c r="F553" s="93"/>
      <c r="G553" s="93"/>
      <c r="H553" s="93"/>
      <c r="I553" s="128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spans="1:26" ht="12.75" customHeight="1">
      <c r="A554" s="93"/>
      <c r="B554" s="93"/>
      <c r="C554" s="93"/>
      <c r="D554" s="93"/>
      <c r="E554" s="93"/>
      <c r="F554" s="93"/>
      <c r="G554" s="93"/>
      <c r="H554" s="93"/>
      <c r="I554" s="128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spans="1:26" ht="12.75" customHeight="1">
      <c r="A555" s="93"/>
      <c r="B555" s="93"/>
      <c r="C555" s="93"/>
      <c r="D555" s="93"/>
      <c r="E555" s="93"/>
      <c r="F555" s="93"/>
      <c r="G555" s="93"/>
      <c r="H555" s="93"/>
      <c r="I555" s="128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spans="1:26" ht="12.75" customHeight="1">
      <c r="A556" s="93"/>
      <c r="B556" s="93"/>
      <c r="C556" s="93"/>
      <c r="D556" s="93"/>
      <c r="E556" s="93"/>
      <c r="F556" s="93"/>
      <c r="G556" s="93"/>
      <c r="H556" s="93"/>
      <c r="I556" s="128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spans="1:26" ht="12.75" customHeight="1">
      <c r="A557" s="93"/>
      <c r="B557" s="93"/>
      <c r="C557" s="93"/>
      <c r="D557" s="93"/>
      <c r="E557" s="93"/>
      <c r="F557" s="93"/>
      <c r="G557" s="93"/>
      <c r="H557" s="93"/>
      <c r="I557" s="128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spans="1:26" ht="12.75" customHeight="1">
      <c r="A558" s="93"/>
      <c r="B558" s="93"/>
      <c r="C558" s="93"/>
      <c r="D558" s="93"/>
      <c r="E558" s="93"/>
      <c r="F558" s="93"/>
      <c r="G558" s="93"/>
      <c r="H558" s="93"/>
      <c r="I558" s="128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spans="1:26" ht="12.75" customHeight="1">
      <c r="A559" s="93"/>
      <c r="B559" s="93"/>
      <c r="C559" s="93"/>
      <c r="D559" s="93"/>
      <c r="E559" s="93"/>
      <c r="F559" s="93"/>
      <c r="G559" s="93"/>
      <c r="H559" s="93"/>
      <c r="I559" s="128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spans="1:26" ht="12.75" customHeight="1">
      <c r="A560" s="93"/>
      <c r="B560" s="93"/>
      <c r="C560" s="93"/>
      <c r="D560" s="93"/>
      <c r="E560" s="93"/>
      <c r="F560" s="93"/>
      <c r="G560" s="93"/>
      <c r="H560" s="93"/>
      <c r="I560" s="128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spans="1:26" ht="12.75" customHeight="1">
      <c r="A561" s="93"/>
      <c r="B561" s="93"/>
      <c r="C561" s="93"/>
      <c r="D561" s="93"/>
      <c r="E561" s="93"/>
      <c r="F561" s="93"/>
      <c r="G561" s="93"/>
      <c r="H561" s="93"/>
      <c r="I561" s="128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spans="1:26" ht="12.75" customHeight="1">
      <c r="A562" s="93"/>
      <c r="B562" s="93"/>
      <c r="C562" s="93"/>
      <c r="D562" s="93"/>
      <c r="E562" s="93"/>
      <c r="F562" s="93"/>
      <c r="G562" s="93"/>
      <c r="H562" s="93"/>
      <c r="I562" s="128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spans="1:26" ht="12.75" customHeight="1">
      <c r="A563" s="93"/>
      <c r="B563" s="93"/>
      <c r="C563" s="93"/>
      <c r="D563" s="93"/>
      <c r="E563" s="93"/>
      <c r="F563" s="93"/>
      <c r="G563" s="93"/>
      <c r="H563" s="93"/>
      <c r="I563" s="128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spans="1:26" ht="12.75" customHeight="1">
      <c r="A564" s="93"/>
      <c r="B564" s="93"/>
      <c r="C564" s="93"/>
      <c r="D564" s="93"/>
      <c r="E564" s="93"/>
      <c r="F564" s="93"/>
      <c r="G564" s="93"/>
      <c r="H564" s="93"/>
      <c r="I564" s="128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spans="1:26" ht="12.75" customHeight="1">
      <c r="A565" s="93"/>
      <c r="B565" s="93"/>
      <c r="C565" s="93"/>
      <c r="D565" s="93"/>
      <c r="E565" s="93"/>
      <c r="F565" s="93"/>
      <c r="G565" s="93"/>
      <c r="H565" s="93"/>
      <c r="I565" s="128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spans="1:26" ht="12.75" customHeight="1">
      <c r="A566" s="93"/>
      <c r="B566" s="93"/>
      <c r="C566" s="93"/>
      <c r="D566" s="93"/>
      <c r="E566" s="93"/>
      <c r="F566" s="93"/>
      <c r="G566" s="93"/>
      <c r="H566" s="93"/>
      <c r="I566" s="128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spans="1:26" ht="12.75" customHeight="1">
      <c r="A567" s="93"/>
      <c r="B567" s="93"/>
      <c r="C567" s="93"/>
      <c r="D567" s="93"/>
      <c r="E567" s="93"/>
      <c r="F567" s="93"/>
      <c r="G567" s="93"/>
      <c r="H567" s="93"/>
      <c r="I567" s="128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spans="1:26" ht="12.75" customHeight="1">
      <c r="A568" s="93"/>
      <c r="B568" s="93"/>
      <c r="C568" s="93"/>
      <c r="D568" s="93"/>
      <c r="E568" s="93"/>
      <c r="F568" s="93"/>
      <c r="G568" s="93"/>
      <c r="H568" s="93"/>
      <c r="I568" s="128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spans="1:26" ht="12.75" customHeight="1">
      <c r="A569" s="93"/>
      <c r="B569" s="93"/>
      <c r="C569" s="93"/>
      <c r="D569" s="93"/>
      <c r="E569" s="93"/>
      <c r="F569" s="93"/>
      <c r="G569" s="93"/>
      <c r="H569" s="93"/>
      <c r="I569" s="128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spans="1:26" ht="12.75" customHeight="1">
      <c r="A570" s="93"/>
      <c r="B570" s="93"/>
      <c r="C570" s="93"/>
      <c r="D570" s="93"/>
      <c r="E570" s="93"/>
      <c r="F570" s="93"/>
      <c r="G570" s="93"/>
      <c r="H570" s="93"/>
      <c r="I570" s="128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spans="1:26" ht="12.75" customHeight="1">
      <c r="A571" s="93"/>
      <c r="B571" s="93"/>
      <c r="C571" s="93"/>
      <c r="D571" s="93"/>
      <c r="E571" s="93"/>
      <c r="F571" s="93"/>
      <c r="G571" s="93"/>
      <c r="H571" s="93"/>
      <c r="I571" s="128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spans="1:26" ht="12.75" customHeight="1">
      <c r="A572" s="93"/>
      <c r="B572" s="93"/>
      <c r="C572" s="93"/>
      <c r="D572" s="93"/>
      <c r="E572" s="93"/>
      <c r="F572" s="93"/>
      <c r="G572" s="93"/>
      <c r="H572" s="93"/>
      <c r="I572" s="128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spans="1:26" ht="12.75" customHeight="1">
      <c r="A573" s="93"/>
      <c r="B573" s="93"/>
      <c r="C573" s="93"/>
      <c r="D573" s="93"/>
      <c r="E573" s="93"/>
      <c r="F573" s="93"/>
      <c r="G573" s="93"/>
      <c r="H573" s="93"/>
      <c r="I573" s="128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spans="1:26" ht="12.75" customHeight="1">
      <c r="A574" s="93"/>
      <c r="B574" s="93"/>
      <c r="C574" s="93"/>
      <c r="D574" s="93"/>
      <c r="E574" s="93"/>
      <c r="F574" s="93"/>
      <c r="G574" s="93"/>
      <c r="H574" s="93"/>
      <c r="I574" s="128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</row>
    <row r="575" spans="1:26" ht="12.75" customHeight="1">
      <c r="A575" s="93"/>
      <c r="B575" s="93"/>
      <c r="C575" s="93"/>
      <c r="D575" s="93"/>
      <c r="E575" s="93"/>
      <c r="F575" s="93"/>
      <c r="G575" s="93"/>
      <c r="H575" s="93"/>
      <c r="I575" s="128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</row>
    <row r="576" spans="1:26" ht="12.75" customHeight="1">
      <c r="A576" s="93"/>
      <c r="B576" s="93"/>
      <c r="C576" s="93"/>
      <c r="D576" s="93"/>
      <c r="E576" s="93"/>
      <c r="F576" s="93"/>
      <c r="G576" s="93"/>
      <c r="H576" s="93"/>
      <c r="I576" s="128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</row>
    <row r="577" spans="1:26" ht="12.75" customHeight="1">
      <c r="A577" s="93"/>
      <c r="B577" s="93"/>
      <c r="C577" s="93"/>
      <c r="D577" s="93"/>
      <c r="E577" s="93"/>
      <c r="F577" s="93"/>
      <c r="G577" s="93"/>
      <c r="H577" s="93"/>
      <c r="I577" s="128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</row>
    <row r="578" spans="1:26" ht="12.75" customHeight="1">
      <c r="A578" s="93"/>
      <c r="B578" s="93"/>
      <c r="C578" s="93"/>
      <c r="D578" s="93"/>
      <c r="E578" s="93"/>
      <c r="F578" s="93"/>
      <c r="G578" s="93"/>
      <c r="H578" s="93"/>
      <c r="I578" s="128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</row>
    <row r="579" spans="1:26" ht="12.75" customHeight="1">
      <c r="A579" s="93"/>
      <c r="B579" s="93"/>
      <c r="C579" s="93"/>
      <c r="D579" s="93"/>
      <c r="E579" s="93"/>
      <c r="F579" s="93"/>
      <c r="G579" s="93"/>
      <c r="H579" s="93"/>
      <c r="I579" s="128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</row>
    <row r="580" spans="1:26" ht="12.75" customHeight="1">
      <c r="A580" s="93"/>
      <c r="B580" s="93"/>
      <c r="C580" s="93"/>
      <c r="D580" s="93"/>
      <c r="E580" s="93"/>
      <c r="F580" s="93"/>
      <c r="G580" s="93"/>
      <c r="H580" s="93"/>
      <c r="I580" s="128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</row>
    <row r="581" spans="1:26" ht="12.75" customHeight="1">
      <c r="A581" s="93"/>
      <c r="B581" s="93"/>
      <c r="C581" s="93"/>
      <c r="D581" s="93"/>
      <c r="E581" s="93"/>
      <c r="F581" s="93"/>
      <c r="G581" s="93"/>
      <c r="H581" s="93"/>
      <c r="I581" s="128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</row>
    <row r="582" spans="1:26" ht="12.75" customHeight="1">
      <c r="A582" s="93"/>
      <c r="B582" s="93"/>
      <c r="C582" s="93"/>
      <c r="D582" s="93"/>
      <c r="E582" s="93"/>
      <c r="F582" s="93"/>
      <c r="G582" s="93"/>
      <c r="H582" s="93"/>
      <c r="I582" s="128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</row>
    <row r="583" spans="1:26" ht="12.75" customHeight="1">
      <c r="A583" s="93"/>
      <c r="B583" s="93"/>
      <c r="C583" s="93"/>
      <c r="D583" s="93"/>
      <c r="E583" s="93"/>
      <c r="F583" s="93"/>
      <c r="G583" s="93"/>
      <c r="H583" s="93"/>
      <c r="I583" s="128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</row>
    <row r="584" spans="1:26" ht="12.75" customHeight="1">
      <c r="A584" s="93"/>
      <c r="B584" s="93"/>
      <c r="C584" s="93"/>
      <c r="D584" s="93"/>
      <c r="E584" s="93"/>
      <c r="F584" s="93"/>
      <c r="G584" s="93"/>
      <c r="H584" s="93"/>
      <c r="I584" s="128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</row>
    <row r="585" spans="1:26" ht="12.75" customHeight="1">
      <c r="A585" s="93"/>
      <c r="B585" s="93"/>
      <c r="C585" s="93"/>
      <c r="D585" s="93"/>
      <c r="E585" s="93"/>
      <c r="F585" s="93"/>
      <c r="G585" s="93"/>
      <c r="H585" s="93"/>
      <c r="I585" s="128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</row>
    <row r="586" spans="1:26" ht="12.75" customHeight="1">
      <c r="A586" s="93"/>
      <c r="B586" s="93"/>
      <c r="C586" s="93"/>
      <c r="D586" s="93"/>
      <c r="E586" s="93"/>
      <c r="F586" s="93"/>
      <c r="G586" s="93"/>
      <c r="H586" s="93"/>
      <c r="I586" s="128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</row>
    <row r="587" spans="1:26" ht="12.75" customHeight="1">
      <c r="A587" s="93"/>
      <c r="B587" s="93"/>
      <c r="C587" s="93"/>
      <c r="D587" s="93"/>
      <c r="E587" s="93"/>
      <c r="F587" s="93"/>
      <c r="G587" s="93"/>
      <c r="H587" s="93"/>
      <c r="I587" s="128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</row>
    <row r="588" spans="1:26" ht="12.75" customHeight="1">
      <c r="A588" s="93"/>
      <c r="B588" s="93"/>
      <c r="C588" s="93"/>
      <c r="D588" s="93"/>
      <c r="E588" s="93"/>
      <c r="F588" s="93"/>
      <c r="G588" s="93"/>
      <c r="H588" s="93"/>
      <c r="I588" s="128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</row>
    <row r="589" spans="1:26" ht="12.75" customHeight="1">
      <c r="A589" s="93"/>
      <c r="B589" s="93"/>
      <c r="C589" s="93"/>
      <c r="D589" s="93"/>
      <c r="E589" s="93"/>
      <c r="F589" s="93"/>
      <c r="G589" s="93"/>
      <c r="H589" s="93"/>
      <c r="I589" s="128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</row>
    <row r="590" spans="1:26" ht="12.75" customHeight="1">
      <c r="A590" s="93"/>
      <c r="B590" s="93"/>
      <c r="C590" s="93"/>
      <c r="D590" s="93"/>
      <c r="E590" s="93"/>
      <c r="F590" s="93"/>
      <c r="G590" s="93"/>
      <c r="H590" s="93"/>
      <c r="I590" s="128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</row>
    <row r="591" spans="1:26" ht="12.75" customHeight="1">
      <c r="A591" s="93"/>
      <c r="B591" s="93"/>
      <c r="C591" s="93"/>
      <c r="D591" s="93"/>
      <c r="E591" s="93"/>
      <c r="F591" s="93"/>
      <c r="G591" s="93"/>
      <c r="H591" s="93"/>
      <c r="I591" s="128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</row>
    <row r="592" spans="1:26" ht="12.75" customHeight="1">
      <c r="A592" s="93"/>
      <c r="B592" s="93"/>
      <c r="C592" s="93"/>
      <c r="D592" s="93"/>
      <c r="E592" s="93"/>
      <c r="F592" s="93"/>
      <c r="G592" s="93"/>
      <c r="H592" s="93"/>
      <c r="I592" s="128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</row>
    <row r="593" spans="1:26" ht="12.75" customHeight="1">
      <c r="A593" s="93"/>
      <c r="B593" s="93"/>
      <c r="C593" s="93"/>
      <c r="D593" s="93"/>
      <c r="E593" s="93"/>
      <c r="F593" s="93"/>
      <c r="G593" s="93"/>
      <c r="H593" s="93"/>
      <c r="I593" s="128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</row>
    <row r="594" spans="1:26" ht="12.75" customHeight="1">
      <c r="A594" s="93"/>
      <c r="B594" s="93"/>
      <c r="C594" s="93"/>
      <c r="D594" s="93"/>
      <c r="E594" s="93"/>
      <c r="F594" s="93"/>
      <c r="G594" s="93"/>
      <c r="H594" s="93"/>
      <c r="I594" s="128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</row>
    <row r="595" spans="1:26" ht="12.75" customHeight="1">
      <c r="A595" s="93"/>
      <c r="B595" s="93"/>
      <c r="C595" s="93"/>
      <c r="D595" s="93"/>
      <c r="E595" s="93"/>
      <c r="F595" s="93"/>
      <c r="G595" s="93"/>
      <c r="H595" s="93"/>
      <c r="I595" s="128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</row>
    <row r="596" spans="1:26" ht="12.75" customHeight="1">
      <c r="A596" s="93"/>
      <c r="B596" s="93"/>
      <c r="C596" s="93"/>
      <c r="D596" s="93"/>
      <c r="E596" s="93"/>
      <c r="F596" s="93"/>
      <c r="G596" s="93"/>
      <c r="H596" s="93"/>
      <c r="I596" s="128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</row>
    <row r="597" spans="1:26" ht="12.75" customHeight="1">
      <c r="A597" s="93"/>
      <c r="B597" s="93"/>
      <c r="C597" s="93"/>
      <c r="D597" s="93"/>
      <c r="E597" s="93"/>
      <c r="F597" s="93"/>
      <c r="G597" s="93"/>
      <c r="H597" s="93"/>
      <c r="I597" s="128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</row>
    <row r="598" spans="1:26" ht="12.75" customHeight="1">
      <c r="A598" s="93"/>
      <c r="B598" s="93"/>
      <c r="C598" s="93"/>
      <c r="D598" s="93"/>
      <c r="E598" s="93"/>
      <c r="F598" s="93"/>
      <c r="G598" s="93"/>
      <c r="H598" s="93"/>
      <c r="I598" s="128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</row>
    <row r="599" spans="1:26" ht="12.75" customHeight="1">
      <c r="A599" s="93"/>
      <c r="B599" s="93"/>
      <c r="C599" s="93"/>
      <c r="D599" s="93"/>
      <c r="E599" s="93"/>
      <c r="F599" s="93"/>
      <c r="G599" s="93"/>
      <c r="H599" s="93"/>
      <c r="I599" s="128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</row>
    <row r="600" spans="1:26" ht="12.75" customHeight="1">
      <c r="A600" s="93"/>
      <c r="B600" s="93"/>
      <c r="C600" s="93"/>
      <c r="D600" s="93"/>
      <c r="E600" s="93"/>
      <c r="F600" s="93"/>
      <c r="G600" s="93"/>
      <c r="H600" s="93"/>
      <c r="I600" s="128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</row>
    <row r="601" spans="1:26" ht="12.75" customHeight="1">
      <c r="A601" s="93"/>
      <c r="B601" s="93"/>
      <c r="C601" s="93"/>
      <c r="D601" s="93"/>
      <c r="E601" s="93"/>
      <c r="F601" s="93"/>
      <c r="G601" s="93"/>
      <c r="H601" s="93"/>
      <c r="I601" s="128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</row>
    <row r="602" spans="1:26" ht="12.75" customHeight="1">
      <c r="A602" s="93"/>
      <c r="B602" s="93"/>
      <c r="C602" s="93"/>
      <c r="D602" s="93"/>
      <c r="E602" s="93"/>
      <c r="F602" s="93"/>
      <c r="G602" s="93"/>
      <c r="H602" s="93"/>
      <c r="I602" s="128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</row>
    <row r="603" spans="1:26" ht="12.75" customHeight="1">
      <c r="A603" s="93"/>
      <c r="B603" s="93"/>
      <c r="C603" s="93"/>
      <c r="D603" s="93"/>
      <c r="E603" s="93"/>
      <c r="F603" s="93"/>
      <c r="G603" s="93"/>
      <c r="H603" s="93"/>
      <c r="I603" s="128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</row>
    <row r="604" spans="1:26" ht="12.75" customHeight="1">
      <c r="A604" s="93"/>
      <c r="B604" s="93"/>
      <c r="C604" s="93"/>
      <c r="D604" s="93"/>
      <c r="E604" s="93"/>
      <c r="F604" s="93"/>
      <c r="G604" s="93"/>
      <c r="H604" s="93"/>
      <c r="I604" s="128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</row>
    <row r="605" spans="1:26" ht="12.75" customHeight="1">
      <c r="A605" s="93"/>
      <c r="B605" s="93"/>
      <c r="C605" s="93"/>
      <c r="D605" s="93"/>
      <c r="E605" s="93"/>
      <c r="F605" s="93"/>
      <c r="G605" s="93"/>
      <c r="H605" s="93"/>
      <c r="I605" s="128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</row>
    <row r="606" spans="1:26" ht="12.75" customHeight="1">
      <c r="A606" s="93"/>
      <c r="B606" s="93"/>
      <c r="C606" s="93"/>
      <c r="D606" s="93"/>
      <c r="E606" s="93"/>
      <c r="F606" s="93"/>
      <c r="G606" s="93"/>
      <c r="H606" s="93"/>
      <c r="I606" s="128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</row>
    <row r="607" spans="1:26" ht="12.75" customHeight="1">
      <c r="A607" s="93"/>
      <c r="B607" s="93"/>
      <c r="C607" s="93"/>
      <c r="D607" s="93"/>
      <c r="E607" s="93"/>
      <c r="F607" s="93"/>
      <c r="G607" s="93"/>
      <c r="H607" s="93"/>
      <c r="I607" s="128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</row>
    <row r="608" spans="1:26" ht="12.75" customHeight="1">
      <c r="A608" s="93"/>
      <c r="B608" s="93"/>
      <c r="C608" s="93"/>
      <c r="D608" s="93"/>
      <c r="E608" s="93"/>
      <c r="F608" s="93"/>
      <c r="G608" s="93"/>
      <c r="H608" s="93"/>
      <c r="I608" s="128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</row>
    <row r="609" spans="1:26" ht="12.75" customHeight="1">
      <c r="A609" s="93"/>
      <c r="B609" s="93"/>
      <c r="C609" s="93"/>
      <c r="D609" s="93"/>
      <c r="E609" s="93"/>
      <c r="F609" s="93"/>
      <c r="G609" s="93"/>
      <c r="H609" s="93"/>
      <c r="I609" s="128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</row>
    <row r="610" spans="1:26" ht="12.75" customHeight="1">
      <c r="A610" s="93"/>
      <c r="B610" s="93"/>
      <c r="C610" s="93"/>
      <c r="D610" s="93"/>
      <c r="E610" s="93"/>
      <c r="F610" s="93"/>
      <c r="G610" s="93"/>
      <c r="H610" s="93"/>
      <c r="I610" s="128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</row>
    <row r="611" spans="1:26" ht="12.75" customHeight="1">
      <c r="A611" s="93"/>
      <c r="B611" s="93"/>
      <c r="C611" s="93"/>
      <c r="D611" s="93"/>
      <c r="E611" s="93"/>
      <c r="F611" s="93"/>
      <c r="G611" s="93"/>
      <c r="H611" s="93"/>
      <c r="I611" s="128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</row>
    <row r="612" spans="1:26" ht="12.75" customHeight="1">
      <c r="A612" s="93"/>
      <c r="B612" s="93"/>
      <c r="C612" s="93"/>
      <c r="D612" s="93"/>
      <c r="E612" s="93"/>
      <c r="F612" s="93"/>
      <c r="G612" s="93"/>
      <c r="H612" s="93"/>
      <c r="I612" s="128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</row>
    <row r="613" spans="1:26" ht="12.75" customHeight="1">
      <c r="A613" s="93"/>
      <c r="B613" s="93"/>
      <c r="C613" s="93"/>
      <c r="D613" s="93"/>
      <c r="E613" s="93"/>
      <c r="F613" s="93"/>
      <c r="G613" s="93"/>
      <c r="H613" s="93"/>
      <c r="I613" s="128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</row>
    <row r="614" spans="1:26" ht="12.75" customHeight="1">
      <c r="A614" s="93"/>
      <c r="B614" s="93"/>
      <c r="C614" s="93"/>
      <c r="D614" s="93"/>
      <c r="E614" s="93"/>
      <c r="F614" s="93"/>
      <c r="G614" s="93"/>
      <c r="H614" s="93"/>
      <c r="I614" s="128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</row>
    <row r="615" spans="1:26" ht="12.75" customHeight="1">
      <c r="A615" s="93"/>
      <c r="B615" s="93"/>
      <c r="C615" s="93"/>
      <c r="D615" s="93"/>
      <c r="E615" s="93"/>
      <c r="F615" s="93"/>
      <c r="G615" s="93"/>
      <c r="H615" s="93"/>
      <c r="I615" s="128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</row>
    <row r="616" spans="1:26" ht="12.75" customHeight="1">
      <c r="A616" s="93"/>
      <c r="B616" s="93"/>
      <c r="C616" s="93"/>
      <c r="D616" s="93"/>
      <c r="E616" s="93"/>
      <c r="F616" s="93"/>
      <c r="G616" s="93"/>
      <c r="H616" s="93"/>
      <c r="I616" s="128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</row>
    <row r="617" spans="1:26" ht="12.75" customHeight="1">
      <c r="A617" s="93"/>
      <c r="B617" s="93"/>
      <c r="C617" s="93"/>
      <c r="D617" s="93"/>
      <c r="E617" s="93"/>
      <c r="F617" s="93"/>
      <c r="G617" s="93"/>
      <c r="H617" s="93"/>
      <c r="I617" s="128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</row>
    <row r="618" spans="1:26" ht="12.75" customHeight="1">
      <c r="A618" s="93"/>
      <c r="B618" s="93"/>
      <c r="C618" s="93"/>
      <c r="D618" s="93"/>
      <c r="E618" s="93"/>
      <c r="F618" s="93"/>
      <c r="G618" s="93"/>
      <c r="H618" s="93"/>
      <c r="I618" s="128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</row>
    <row r="619" spans="1:26" ht="12.75" customHeight="1">
      <c r="A619" s="93"/>
      <c r="B619" s="93"/>
      <c r="C619" s="93"/>
      <c r="D619" s="93"/>
      <c r="E619" s="93"/>
      <c r="F619" s="93"/>
      <c r="G619" s="93"/>
      <c r="H619" s="93"/>
      <c r="I619" s="128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</row>
    <row r="620" spans="1:26" ht="12.75" customHeight="1">
      <c r="A620" s="93"/>
      <c r="B620" s="93"/>
      <c r="C620" s="93"/>
      <c r="D620" s="93"/>
      <c r="E620" s="93"/>
      <c r="F620" s="93"/>
      <c r="G620" s="93"/>
      <c r="H620" s="93"/>
      <c r="I620" s="128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</row>
    <row r="621" spans="1:26" ht="12.75" customHeight="1">
      <c r="A621" s="93"/>
      <c r="B621" s="93"/>
      <c r="C621" s="93"/>
      <c r="D621" s="93"/>
      <c r="E621" s="93"/>
      <c r="F621" s="93"/>
      <c r="G621" s="93"/>
      <c r="H621" s="93"/>
      <c r="I621" s="128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</row>
    <row r="622" spans="1:26" ht="12.75" customHeight="1">
      <c r="A622" s="93"/>
      <c r="B622" s="93"/>
      <c r="C622" s="93"/>
      <c r="D622" s="93"/>
      <c r="E622" s="93"/>
      <c r="F622" s="93"/>
      <c r="G622" s="93"/>
      <c r="H622" s="93"/>
      <c r="I622" s="128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</row>
    <row r="623" spans="1:26" ht="12.75" customHeight="1">
      <c r="A623" s="93"/>
      <c r="B623" s="93"/>
      <c r="C623" s="93"/>
      <c r="D623" s="93"/>
      <c r="E623" s="93"/>
      <c r="F623" s="93"/>
      <c r="G623" s="93"/>
      <c r="H623" s="93"/>
      <c r="I623" s="128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</row>
    <row r="624" spans="1:26" ht="12.75" customHeight="1">
      <c r="A624" s="93"/>
      <c r="B624" s="93"/>
      <c r="C624" s="93"/>
      <c r="D624" s="93"/>
      <c r="E624" s="93"/>
      <c r="F624" s="93"/>
      <c r="G624" s="93"/>
      <c r="H624" s="93"/>
      <c r="I624" s="128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</row>
    <row r="625" spans="1:26" ht="12.75" customHeight="1">
      <c r="A625" s="93"/>
      <c r="B625" s="93"/>
      <c r="C625" s="93"/>
      <c r="D625" s="93"/>
      <c r="E625" s="93"/>
      <c r="F625" s="93"/>
      <c r="G625" s="93"/>
      <c r="H625" s="93"/>
      <c r="I625" s="128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</row>
    <row r="626" spans="1:26" ht="12.75" customHeight="1">
      <c r="A626" s="93"/>
      <c r="B626" s="93"/>
      <c r="C626" s="93"/>
      <c r="D626" s="93"/>
      <c r="E626" s="93"/>
      <c r="F626" s="93"/>
      <c r="G626" s="93"/>
      <c r="H626" s="93"/>
      <c r="I626" s="128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</row>
    <row r="627" spans="1:26" ht="12.75" customHeight="1">
      <c r="A627" s="93"/>
      <c r="B627" s="93"/>
      <c r="C627" s="93"/>
      <c r="D627" s="93"/>
      <c r="E627" s="93"/>
      <c r="F627" s="93"/>
      <c r="G627" s="93"/>
      <c r="H627" s="93"/>
      <c r="I627" s="128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</row>
    <row r="628" spans="1:26" ht="12.75" customHeight="1">
      <c r="A628" s="93"/>
      <c r="B628" s="93"/>
      <c r="C628" s="93"/>
      <c r="D628" s="93"/>
      <c r="E628" s="93"/>
      <c r="F628" s="93"/>
      <c r="G628" s="93"/>
      <c r="H628" s="93"/>
      <c r="I628" s="128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</row>
    <row r="629" spans="1:26" ht="12.75" customHeight="1">
      <c r="A629" s="93"/>
      <c r="B629" s="93"/>
      <c r="C629" s="93"/>
      <c r="D629" s="93"/>
      <c r="E629" s="93"/>
      <c r="F629" s="93"/>
      <c r="G629" s="93"/>
      <c r="H629" s="93"/>
      <c r="I629" s="128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</row>
    <row r="630" spans="1:26" ht="12.75" customHeight="1">
      <c r="A630" s="93"/>
      <c r="B630" s="93"/>
      <c r="C630" s="93"/>
      <c r="D630" s="93"/>
      <c r="E630" s="93"/>
      <c r="F630" s="93"/>
      <c r="G630" s="93"/>
      <c r="H630" s="93"/>
      <c r="I630" s="128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</row>
    <row r="631" spans="1:26" ht="12.75" customHeight="1">
      <c r="A631" s="93"/>
      <c r="B631" s="93"/>
      <c r="C631" s="93"/>
      <c r="D631" s="93"/>
      <c r="E631" s="93"/>
      <c r="F631" s="93"/>
      <c r="G631" s="93"/>
      <c r="H631" s="93"/>
      <c r="I631" s="128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</row>
    <row r="632" spans="1:26" ht="12.75" customHeight="1">
      <c r="A632" s="93"/>
      <c r="B632" s="93"/>
      <c r="C632" s="93"/>
      <c r="D632" s="93"/>
      <c r="E632" s="93"/>
      <c r="F632" s="93"/>
      <c r="G632" s="93"/>
      <c r="H632" s="93"/>
      <c r="I632" s="128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</row>
    <row r="633" spans="1:26" ht="12.75" customHeight="1">
      <c r="A633" s="93"/>
      <c r="B633" s="93"/>
      <c r="C633" s="93"/>
      <c r="D633" s="93"/>
      <c r="E633" s="93"/>
      <c r="F633" s="93"/>
      <c r="G633" s="93"/>
      <c r="H633" s="93"/>
      <c r="I633" s="128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</row>
    <row r="634" spans="1:26" ht="12.75" customHeight="1">
      <c r="A634" s="93"/>
      <c r="B634" s="93"/>
      <c r="C634" s="93"/>
      <c r="D634" s="93"/>
      <c r="E634" s="93"/>
      <c r="F634" s="93"/>
      <c r="G634" s="93"/>
      <c r="H634" s="93"/>
      <c r="I634" s="128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</row>
    <row r="635" spans="1:26" ht="12.75" customHeight="1">
      <c r="A635" s="93"/>
      <c r="B635" s="93"/>
      <c r="C635" s="93"/>
      <c r="D635" s="93"/>
      <c r="E635" s="93"/>
      <c r="F635" s="93"/>
      <c r="G635" s="93"/>
      <c r="H635" s="93"/>
      <c r="I635" s="128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</row>
    <row r="636" spans="1:26" ht="12.75" customHeight="1">
      <c r="A636" s="93"/>
      <c r="B636" s="93"/>
      <c r="C636" s="93"/>
      <c r="D636" s="93"/>
      <c r="E636" s="93"/>
      <c r="F636" s="93"/>
      <c r="G636" s="93"/>
      <c r="H636" s="93"/>
      <c r="I636" s="128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</row>
    <row r="637" spans="1:26" ht="12.75" customHeight="1">
      <c r="A637" s="93"/>
      <c r="B637" s="93"/>
      <c r="C637" s="93"/>
      <c r="D637" s="93"/>
      <c r="E637" s="93"/>
      <c r="F637" s="93"/>
      <c r="G637" s="93"/>
      <c r="H637" s="93"/>
      <c r="I637" s="128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</row>
    <row r="638" spans="1:26" ht="12.75" customHeight="1">
      <c r="A638" s="93"/>
      <c r="B638" s="93"/>
      <c r="C638" s="93"/>
      <c r="D638" s="93"/>
      <c r="E638" s="93"/>
      <c r="F638" s="93"/>
      <c r="G638" s="93"/>
      <c r="H638" s="93"/>
      <c r="I638" s="128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</row>
    <row r="639" spans="1:26" ht="12.75" customHeight="1">
      <c r="A639" s="93"/>
      <c r="B639" s="93"/>
      <c r="C639" s="93"/>
      <c r="D639" s="93"/>
      <c r="E639" s="93"/>
      <c r="F639" s="93"/>
      <c r="G639" s="93"/>
      <c r="H639" s="93"/>
      <c r="I639" s="128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</row>
    <row r="640" spans="1:26" ht="12.75" customHeight="1">
      <c r="A640" s="93"/>
      <c r="B640" s="93"/>
      <c r="C640" s="93"/>
      <c r="D640" s="93"/>
      <c r="E640" s="93"/>
      <c r="F640" s="93"/>
      <c r="G640" s="93"/>
      <c r="H640" s="93"/>
      <c r="I640" s="128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</row>
    <row r="641" spans="1:26" ht="12.75" customHeight="1">
      <c r="A641" s="93"/>
      <c r="B641" s="93"/>
      <c r="C641" s="93"/>
      <c r="D641" s="93"/>
      <c r="E641" s="93"/>
      <c r="F641" s="93"/>
      <c r="G641" s="93"/>
      <c r="H641" s="93"/>
      <c r="I641" s="128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</row>
    <row r="642" spans="1:26" ht="12.75" customHeight="1">
      <c r="A642" s="93"/>
      <c r="B642" s="93"/>
      <c r="C642" s="93"/>
      <c r="D642" s="93"/>
      <c r="E642" s="93"/>
      <c r="F642" s="93"/>
      <c r="G642" s="93"/>
      <c r="H642" s="93"/>
      <c r="I642" s="128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</row>
    <row r="643" spans="1:26" ht="12.75" customHeight="1">
      <c r="A643" s="93"/>
      <c r="B643" s="93"/>
      <c r="C643" s="93"/>
      <c r="D643" s="93"/>
      <c r="E643" s="93"/>
      <c r="F643" s="93"/>
      <c r="G643" s="93"/>
      <c r="H643" s="93"/>
      <c r="I643" s="128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</row>
    <row r="644" spans="1:26" ht="12.75" customHeight="1">
      <c r="A644" s="93"/>
      <c r="B644" s="93"/>
      <c r="C644" s="93"/>
      <c r="D644" s="93"/>
      <c r="E644" s="93"/>
      <c r="F644" s="93"/>
      <c r="G644" s="93"/>
      <c r="H644" s="93"/>
      <c r="I644" s="128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</row>
    <row r="645" spans="1:26" ht="12.75" customHeight="1">
      <c r="A645" s="93"/>
      <c r="B645" s="93"/>
      <c r="C645" s="93"/>
      <c r="D645" s="93"/>
      <c r="E645" s="93"/>
      <c r="F645" s="93"/>
      <c r="G645" s="93"/>
      <c r="H645" s="93"/>
      <c r="I645" s="128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</row>
    <row r="646" spans="1:26" ht="12.75" customHeight="1">
      <c r="A646" s="93"/>
      <c r="B646" s="93"/>
      <c r="C646" s="93"/>
      <c r="D646" s="93"/>
      <c r="E646" s="93"/>
      <c r="F646" s="93"/>
      <c r="G646" s="93"/>
      <c r="H646" s="93"/>
      <c r="I646" s="128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</row>
    <row r="647" spans="1:26" ht="12.75" customHeight="1">
      <c r="A647" s="93"/>
      <c r="B647" s="93"/>
      <c r="C647" s="93"/>
      <c r="D647" s="93"/>
      <c r="E647" s="93"/>
      <c r="F647" s="93"/>
      <c r="G647" s="93"/>
      <c r="H647" s="93"/>
      <c r="I647" s="128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</row>
    <row r="648" spans="1:26" ht="12.75" customHeight="1">
      <c r="A648" s="93"/>
      <c r="B648" s="93"/>
      <c r="C648" s="93"/>
      <c r="D648" s="93"/>
      <c r="E648" s="93"/>
      <c r="F648" s="93"/>
      <c r="G648" s="93"/>
      <c r="H648" s="93"/>
      <c r="I648" s="128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</row>
    <row r="649" spans="1:26" ht="12.75" customHeight="1">
      <c r="A649" s="93"/>
      <c r="B649" s="93"/>
      <c r="C649" s="93"/>
      <c r="D649" s="93"/>
      <c r="E649" s="93"/>
      <c r="F649" s="93"/>
      <c r="G649" s="93"/>
      <c r="H649" s="93"/>
      <c r="I649" s="128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</row>
    <row r="650" spans="1:26" ht="12.75" customHeight="1">
      <c r="A650" s="93"/>
      <c r="B650" s="93"/>
      <c r="C650" s="93"/>
      <c r="D650" s="93"/>
      <c r="E650" s="93"/>
      <c r="F650" s="93"/>
      <c r="G650" s="93"/>
      <c r="H650" s="93"/>
      <c r="I650" s="128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</row>
    <row r="651" spans="1:26" ht="12.75" customHeight="1">
      <c r="A651" s="93"/>
      <c r="B651" s="93"/>
      <c r="C651" s="93"/>
      <c r="D651" s="93"/>
      <c r="E651" s="93"/>
      <c r="F651" s="93"/>
      <c r="G651" s="93"/>
      <c r="H651" s="93"/>
      <c r="I651" s="128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</row>
    <row r="652" spans="1:26" ht="12.75" customHeight="1">
      <c r="A652" s="93"/>
      <c r="B652" s="93"/>
      <c r="C652" s="93"/>
      <c r="D652" s="93"/>
      <c r="E652" s="93"/>
      <c r="F652" s="93"/>
      <c r="G652" s="93"/>
      <c r="H652" s="93"/>
      <c r="I652" s="128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</row>
    <row r="653" spans="1:26" ht="12.75" customHeight="1">
      <c r="A653" s="93"/>
      <c r="B653" s="93"/>
      <c r="C653" s="93"/>
      <c r="D653" s="93"/>
      <c r="E653" s="93"/>
      <c r="F653" s="93"/>
      <c r="G653" s="93"/>
      <c r="H653" s="93"/>
      <c r="I653" s="128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</row>
    <row r="654" spans="1:26" ht="12.75" customHeight="1">
      <c r="A654" s="93"/>
      <c r="B654" s="93"/>
      <c r="C654" s="93"/>
      <c r="D654" s="93"/>
      <c r="E654" s="93"/>
      <c r="F654" s="93"/>
      <c r="G654" s="93"/>
      <c r="H654" s="93"/>
      <c r="I654" s="128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</row>
    <row r="655" spans="1:26" ht="12.75" customHeight="1">
      <c r="A655" s="93"/>
      <c r="B655" s="93"/>
      <c r="C655" s="93"/>
      <c r="D655" s="93"/>
      <c r="E655" s="93"/>
      <c r="F655" s="93"/>
      <c r="G655" s="93"/>
      <c r="H655" s="93"/>
      <c r="I655" s="128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</row>
    <row r="656" spans="1:26" ht="12.75" customHeight="1">
      <c r="A656" s="93"/>
      <c r="B656" s="93"/>
      <c r="C656" s="93"/>
      <c r="D656" s="93"/>
      <c r="E656" s="93"/>
      <c r="F656" s="93"/>
      <c r="G656" s="93"/>
      <c r="H656" s="93"/>
      <c r="I656" s="128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</row>
    <row r="657" spans="1:26" ht="12.75" customHeight="1">
      <c r="A657" s="93"/>
      <c r="B657" s="93"/>
      <c r="C657" s="93"/>
      <c r="D657" s="93"/>
      <c r="E657" s="93"/>
      <c r="F657" s="93"/>
      <c r="G657" s="93"/>
      <c r="H657" s="93"/>
      <c r="I657" s="128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</row>
    <row r="658" spans="1:26" ht="12.75" customHeight="1">
      <c r="A658" s="93"/>
      <c r="B658" s="93"/>
      <c r="C658" s="93"/>
      <c r="D658" s="93"/>
      <c r="E658" s="93"/>
      <c r="F658" s="93"/>
      <c r="G658" s="93"/>
      <c r="H658" s="93"/>
      <c r="I658" s="128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</row>
    <row r="659" spans="1:26" ht="12.75" customHeight="1">
      <c r="A659" s="93"/>
      <c r="B659" s="93"/>
      <c r="C659" s="93"/>
      <c r="D659" s="93"/>
      <c r="E659" s="93"/>
      <c r="F659" s="93"/>
      <c r="G659" s="93"/>
      <c r="H659" s="93"/>
      <c r="I659" s="128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</row>
    <row r="660" spans="1:26" ht="12.75" customHeight="1">
      <c r="A660" s="93"/>
      <c r="B660" s="93"/>
      <c r="C660" s="93"/>
      <c r="D660" s="93"/>
      <c r="E660" s="93"/>
      <c r="F660" s="93"/>
      <c r="G660" s="93"/>
      <c r="H660" s="93"/>
      <c r="I660" s="128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</row>
    <row r="661" spans="1:26" ht="12.75" customHeight="1">
      <c r="A661" s="93"/>
      <c r="B661" s="93"/>
      <c r="C661" s="93"/>
      <c r="D661" s="93"/>
      <c r="E661" s="93"/>
      <c r="F661" s="93"/>
      <c r="G661" s="93"/>
      <c r="H661" s="93"/>
      <c r="I661" s="128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</row>
    <row r="662" spans="1:26" ht="12.75" customHeight="1">
      <c r="A662" s="93"/>
      <c r="B662" s="93"/>
      <c r="C662" s="93"/>
      <c r="D662" s="93"/>
      <c r="E662" s="93"/>
      <c r="F662" s="93"/>
      <c r="G662" s="93"/>
      <c r="H662" s="93"/>
      <c r="I662" s="128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</row>
    <row r="663" spans="1:26" ht="12.75" customHeight="1">
      <c r="A663" s="93"/>
      <c r="B663" s="93"/>
      <c r="C663" s="93"/>
      <c r="D663" s="93"/>
      <c r="E663" s="93"/>
      <c r="F663" s="93"/>
      <c r="G663" s="93"/>
      <c r="H663" s="93"/>
      <c r="I663" s="128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</row>
    <row r="664" spans="1:26" ht="12.75" customHeight="1">
      <c r="A664" s="93"/>
      <c r="B664" s="93"/>
      <c r="C664" s="93"/>
      <c r="D664" s="93"/>
      <c r="E664" s="93"/>
      <c r="F664" s="93"/>
      <c r="G664" s="93"/>
      <c r="H664" s="93"/>
      <c r="I664" s="128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</row>
    <row r="665" spans="1:26" ht="12.75" customHeight="1">
      <c r="A665" s="93"/>
      <c r="B665" s="93"/>
      <c r="C665" s="93"/>
      <c r="D665" s="93"/>
      <c r="E665" s="93"/>
      <c r="F665" s="93"/>
      <c r="G665" s="93"/>
      <c r="H665" s="93"/>
      <c r="I665" s="128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</row>
    <row r="666" spans="1:26" ht="12.75" customHeight="1">
      <c r="A666" s="93"/>
      <c r="B666" s="93"/>
      <c r="C666" s="93"/>
      <c r="D666" s="93"/>
      <c r="E666" s="93"/>
      <c r="F666" s="93"/>
      <c r="G666" s="93"/>
      <c r="H666" s="93"/>
      <c r="I666" s="128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</row>
    <row r="667" spans="1:26" ht="12.75" customHeight="1">
      <c r="A667" s="93"/>
      <c r="B667" s="93"/>
      <c r="C667" s="93"/>
      <c r="D667" s="93"/>
      <c r="E667" s="93"/>
      <c r="F667" s="93"/>
      <c r="G667" s="93"/>
      <c r="H667" s="93"/>
      <c r="I667" s="128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</row>
    <row r="668" spans="1:26" ht="12.75" customHeight="1">
      <c r="A668" s="93"/>
      <c r="B668" s="93"/>
      <c r="C668" s="93"/>
      <c r="D668" s="93"/>
      <c r="E668" s="93"/>
      <c r="F668" s="93"/>
      <c r="G668" s="93"/>
      <c r="H668" s="93"/>
      <c r="I668" s="128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</row>
    <row r="669" spans="1:26" ht="12.75" customHeight="1">
      <c r="A669" s="93"/>
      <c r="B669" s="93"/>
      <c r="C669" s="93"/>
      <c r="D669" s="93"/>
      <c r="E669" s="93"/>
      <c r="F669" s="93"/>
      <c r="G669" s="93"/>
      <c r="H669" s="93"/>
      <c r="I669" s="128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</row>
    <row r="670" spans="1:26" ht="12.75" customHeight="1">
      <c r="A670" s="93"/>
      <c r="B670" s="93"/>
      <c r="C670" s="93"/>
      <c r="D670" s="93"/>
      <c r="E670" s="93"/>
      <c r="F670" s="93"/>
      <c r="G670" s="93"/>
      <c r="H670" s="93"/>
      <c r="I670" s="128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</row>
    <row r="671" spans="1:26" ht="12.75" customHeight="1">
      <c r="A671" s="93"/>
      <c r="B671" s="93"/>
      <c r="C671" s="93"/>
      <c r="D671" s="93"/>
      <c r="E671" s="93"/>
      <c r="F671" s="93"/>
      <c r="G671" s="93"/>
      <c r="H671" s="93"/>
      <c r="I671" s="128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</row>
    <row r="672" spans="1:26" ht="12.75" customHeight="1">
      <c r="A672" s="93"/>
      <c r="B672" s="93"/>
      <c r="C672" s="93"/>
      <c r="D672" s="93"/>
      <c r="E672" s="93"/>
      <c r="F672" s="93"/>
      <c r="G672" s="93"/>
      <c r="H672" s="93"/>
      <c r="I672" s="128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</row>
    <row r="673" spans="1:26" ht="12.75" customHeight="1">
      <c r="A673" s="93"/>
      <c r="B673" s="93"/>
      <c r="C673" s="93"/>
      <c r="D673" s="93"/>
      <c r="E673" s="93"/>
      <c r="F673" s="93"/>
      <c r="G673" s="93"/>
      <c r="H673" s="93"/>
      <c r="I673" s="128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</row>
    <row r="674" spans="1:26" ht="12.75" customHeight="1">
      <c r="A674" s="93"/>
      <c r="B674" s="93"/>
      <c r="C674" s="93"/>
      <c r="D674" s="93"/>
      <c r="E674" s="93"/>
      <c r="F674" s="93"/>
      <c r="G674" s="93"/>
      <c r="H674" s="93"/>
      <c r="I674" s="128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</row>
    <row r="675" spans="1:26" ht="12.75" customHeight="1">
      <c r="A675" s="93"/>
      <c r="B675" s="93"/>
      <c r="C675" s="93"/>
      <c r="D675" s="93"/>
      <c r="E675" s="93"/>
      <c r="F675" s="93"/>
      <c r="G675" s="93"/>
      <c r="H675" s="93"/>
      <c r="I675" s="128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</row>
    <row r="676" spans="1:26" ht="12.75" customHeight="1">
      <c r="A676" s="93"/>
      <c r="B676" s="93"/>
      <c r="C676" s="93"/>
      <c r="D676" s="93"/>
      <c r="E676" s="93"/>
      <c r="F676" s="93"/>
      <c r="G676" s="93"/>
      <c r="H676" s="93"/>
      <c r="I676" s="128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</row>
    <row r="677" spans="1:26" ht="12.75" customHeight="1">
      <c r="A677" s="93"/>
      <c r="B677" s="93"/>
      <c r="C677" s="93"/>
      <c r="D677" s="93"/>
      <c r="E677" s="93"/>
      <c r="F677" s="93"/>
      <c r="G677" s="93"/>
      <c r="H677" s="93"/>
      <c r="I677" s="128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</row>
    <row r="678" spans="1:26" ht="12.75" customHeight="1">
      <c r="A678" s="93"/>
      <c r="B678" s="93"/>
      <c r="C678" s="93"/>
      <c r="D678" s="93"/>
      <c r="E678" s="93"/>
      <c r="F678" s="93"/>
      <c r="G678" s="93"/>
      <c r="H678" s="93"/>
      <c r="I678" s="128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</row>
    <row r="679" spans="1:26" ht="12.75" customHeight="1">
      <c r="A679" s="93"/>
      <c r="B679" s="93"/>
      <c r="C679" s="93"/>
      <c r="D679" s="93"/>
      <c r="E679" s="93"/>
      <c r="F679" s="93"/>
      <c r="G679" s="93"/>
      <c r="H679" s="93"/>
      <c r="I679" s="128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</row>
    <row r="680" spans="1:26" ht="12.75" customHeight="1">
      <c r="A680" s="93"/>
      <c r="B680" s="93"/>
      <c r="C680" s="93"/>
      <c r="D680" s="93"/>
      <c r="E680" s="93"/>
      <c r="F680" s="93"/>
      <c r="G680" s="93"/>
      <c r="H680" s="93"/>
      <c r="I680" s="128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</row>
    <row r="681" spans="1:26" ht="12.75" customHeight="1">
      <c r="A681" s="93"/>
      <c r="B681" s="93"/>
      <c r="C681" s="93"/>
      <c r="D681" s="93"/>
      <c r="E681" s="93"/>
      <c r="F681" s="93"/>
      <c r="G681" s="93"/>
      <c r="H681" s="93"/>
      <c r="I681" s="128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</row>
    <row r="682" spans="1:26" ht="12.75" customHeight="1">
      <c r="A682" s="93"/>
      <c r="B682" s="93"/>
      <c r="C682" s="93"/>
      <c r="D682" s="93"/>
      <c r="E682" s="93"/>
      <c r="F682" s="93"/>
      <c r="G682" s="93"/>
      <c r="H682" s="93"/>
      <c r="I682" s="128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</row>
    <row r="683" spans="1:26" ht="12.75" customHeight="1">
      <c r="A683" s="93"/>
      <c r="B683" s="93"/>
      <c r="C683" s="93"/>
      <c r="D683" s="93"/>
      <c r="E683" s="93"/>
      <c r="F683" s="93"/>
      <c r="G683" s="93"/>
      <c r="H683" s="93"/>
      <c r="I683" s="128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</row>
    <row r="684" spans="1:26" ht="12.75" customHeight="1">
      <c r="A684" s="93"/>
      <c r="B684" s="93"/>
      <c r="C684" s="93"/>
      <c r="D684" s="93"/>
      <c r="E684" s="93"/>
      <c r="F684" s="93"/>
      <c r="G684" s="93"/>
      <c r="H684" s="93"/>
      <c r="I684" s="128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</row>
    <row r="685" spans="1:26" ht="12.75" customHeight="1">
      <c r="A685" s="93"/>
      <c r="B685" s="93"/>
      <c r="C685" s="93"/>
      <c r="D685" s="93"/>
      <c r="E685" s="93"/>
      <c r="F685" s="93"/>
      <c r="G685" s="93"/>
      <c r="H685" s="93"/>
      <c r="I685" s="128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</row>
    <row r="686" spans="1:26" ht="12.75" customHeight="1">
      <c r="A686" s="93"/>
      <c r="B686" s="93"/>
      <c r="C686" s="93"/>
      <c r="D686" s="93"/>
      <c r="E686" s="93"/>
      <c r="F686" s="93"/>
      <c r="G686" s="93"/>
      <c r="H686" s="93"/>
      <c r="I686" s="128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</row>
    <row r="687" spans="1:26" ht="12.75" customHeight="1">
      <c r="A687" s="93"/>
      <c r="B687" s="93"/>
      <c r="C687" s="93"/>
      <c r="D687" s="93"/>
      <c r="E687" s="93"/>
      <c r="F687" s="93"/>
      <c r="G687" s="93"/>
      <c r="H687" s="93"/>
      <c r="I687" s="128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</row>
    <row r="688" spans="1:26" ht="12.75" customHeight="1">
      <c r="A688" s="93"/>
      <c r="B688" s="93"/>
      <c r="C688" s="93"/>
      <c r="D688" s="93"/>
      <c r="E688" s="93"/>
      <c r="F688" s="93"/>
      <c r="G688" s="93"/>
      <c r="H688" s="93"/>
      <c r="I688" s="128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</row>
    <row r="689" spans="1:26" ht="12.75" customHeight="1">
      <c r="A689" s="93"/>
      <c r="B689" s="93"/>
      <c r="C689" s="93"/>
      <c r="D689" s="93"/>
      <c r="E689" s="93"/>
      <c r="F689" s="93"/>
      <c r="G689" s="93"/>
      <c r="H689" s="93"/>
      <c r="I689" s="128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</row>
    <row r="690" spans="1:26" ht="12.75" customHeight="1">
      <c r="A690" s="93"/>
      <c r="B690" s="93"/>
      <c r="C690" s="93"/>
      <c r="D690" s="93"/>
      <c r="E690" s="93"/>
      <c r="F690" s="93"/>
      <c r="G690" s="93"/>
      <c r="H690" s="93"/>
      <c r="I690" s="128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</row>
    <row r="691" spans="1:26" ht="12.75" customHeight="1">
      <c r="A691" s="93"/>
      <c r="B691" s="93"/>
      <c r="C691" s="93"/>
      <c r="D691" s="93"/>
      <c r="E691" s="93"/>
      <c r="F691" s="93"/>
      <c r="G691" s="93"/>
      <c r="H691" s="93"/>
      <c r="I691" s="128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</row>
    <row r="692" spans="1:26" ht="12.75" customHeight="1">
      <c r="A692" s="93"/>
      <c r="B692" s="93"/>
      <c r="C692" s="93"/>
      <c r="D692" s="93"/>
      <c r="E692" s="93"/>
      <c r="F692" s="93"/>
      <c r="G692" s="93"/>
      <c r="H692" s="93"/>
      <c r="I692" s="128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</row>
    <row r="693" spans="1:26" ht="12.75" customHeight="1">
      <c r="A693" s="93"/>
      <c r="B693" s="93"/>
      <c r="C693" s="93"/>
      <c r="D693" s="93"/>
      <c r="E693" s="93"/>
      <c r="F693" s="93"/>
      <c r="G693" s="93"/>
      <c r="H693" s="93"/>
      <c r="I693" s="128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</row>
    <row r="694" spans="1:26" ht="12.75" customHeight="1">
      <c r="A694" s="93"/>
      <c r="B694" s="93"/>
      <c r="C694" s="93"/>
      <c r="D694" s="93"/>
      <c r="E694" s="93"/>
      <c r="F694" s="93"/>
      <c r="G694" s="93"/>
      <c r="H694" s="93"/>
      <c r="I694" s="128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</row>
    <row r="695" spans="1:26" ht="12.75" customHeight="1">
      <c r="A695" s="93"/>
      <c r="B695" s="93"/>
      <c r="C695" s="93"/>
      <c r="D695" s="93"/>
      <c r="E695" s="93"/>
      <c r="F695" s="93"/>
      <c r="G695" s="93"/>
      <c r="H695" s="93"/>
      <c r="I695" s="128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</row>
    <row r="696" spans="1:26" ht="12.75" customHeight="1">
      <c r="A696" s="93"/>
      <c r="B696" s="93"/>
      <c r="C696" s="93"/>
      <c r="D696" s="93"/>
      <c r="E696" s="93"/>
      <c r="F696" s="93"/>
      <c r="G696" s="93"/>
      <c r="H696" s="93"/>
      <c r="I696" s="128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</row>
    <row r="697" spans="1:26" ht="12.75" customHeight="1">
      <c r="A697" s="93"/>
      <c r="B697" s="93"/>
      <c r="C697" s="93"/>
      <c r="D697" s="93"/>
      <c r="E697" s="93"/>
      <c r="F697" s="93"/>
      <c r="G697" s="93"/>
      <c r="H697" s="93"/>
      <c r="I697" s="128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</row>
    <row r="698" spans="1:26" ht="12.75" customHeight="1">
      <c r="A698" s="93"/>
      <c r="B698" s="93"/>
      <c r="C698" s="93"/>
      <c r="D698" s="93"/>
      <c r="E698" s="93"/>
      <c r="F698" s="93"/>
      <c r="G698" s="93"/>
      <c r="H698" s="93"/>
      <c r="I698" s="128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</row>
    <row r="699" spans="1:26" ht="12.75" customHeight="1">
      <c r="A699" s="93"/>
      <c r="B699" s="93"/>
      <c r="C699" s="93"/>
      <c r="D699" s="93"/>
      <c r="E699" s="93"/>
      <c r="F699" s="93"/>
      <c r="G699" s="93"/>
      <c r="H699" s="93"/>
      <c r="I699" s="128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</row>
    <row r="700" spans="1:26" ht="12.75" customHeight="1">
      <c r="A700" s="93"/>
      <c r="B700" s="93"/>
      <c r="C700" s="93"/>
      <c r="D700" s="93"/>
      <c r="E700" s="93"/>
      <c r="F700" s="93"/>
      <c r="G700" s="93"/>
      <c r="H700" s="93"/>
      <c r="I700" s="128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</row>
    <row r="701" spans="1:26" ht="12.75" customHeight="1">
      <c r="A701" s="93"/>
      <c r="B701" s="93"/>
      <c r="C701" s="93"/>
      <c r="D701" s="93"/>
      <c r="E701" s="93"/>
      <c r="F701" s="93"/>
      <c r="G701" s="93"/>
      <c r="H701" s="93"/>
      <c r="I701" s="128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</row>
    <row r="702" spans="1:26" ht="12.75" customHeight="1">
      <c r="A702" s="93"/>
      <c r="B702" s="93"/>
      <c r="C702" s="93"/>
      <c r="D702" s="93"/>
      <c r="E702" s="93"/>
      <c r="F702" s="93"/>
      <c r="G702" s="93"/>
      <c r="H702" s="93"/>
      <c r="I702" s="128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</row>
    <row r="703" spans="1:26" ht="12.75" customHeight="1">
      <c r="A703" s="93"/>
      <c r="B703" s="93"/>
      <c r="C703" s="93"/>
      <c r="D703" s="93"/>
      <c r="E703" s="93"/>
      <c r="F703" s="93"/>
      <c r="G703" s="93"/>
      <c r="H703" s="93"/>
      <c r="I703" s="128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</row>
    <row r="704" spans="1:26" ht="12.75" customHeight="1">
      <c r="A704" s="93"/>
      <c r="B704" s="93"/>
      <c r="C704" s="93"/>
      <c r="D704" s="93"/>
      <c r="E704" s="93"/>
      <c r="F704" s="93"/>
      <c r="G704" s="93"/>
      <c r="H704" s="93"/>
      <c r="I704" s="128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</row>
    <row r="705" spans="1:26" ht="12.75" customHeight="1">
      <c r="A705" s="93"/>
      <c r="B705" s="93"/>
      <c r="C705" s="93"/>
      <c r="D705" s="93"/>
      <c r="E705" s="93"/>
      <c r="F705" s="93"/>
      <c r="G705" s="93"/>
      <c r="H705" s="93"/>
      <c r="I705" s="128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</row>
    <row r="706" spans="1:26" ht="12.75" customHeight="1">
      <c r="A706" s="93"/>
      <c r="B706" s="93"/>
      <c r="C706" s="93"/>
      <c r="D706" s="93"/>
      <c r="E706" s="93"/>
      <c r="F706" s="93"/>
      <c r="G706" s="93"/>
      <c r="H706" s="93"/>
      <c r="I706" s="128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</row>
    <row r="707" spans="1:26" ht="12.75" customHeight="1">
      <c r="A707" s="93"/>
      <c r="B707" s="93"/>
      <c r="C707" s="93"/>
      <c r="D707" s="93"/>
      <c r="E707" s="93"/>
      <c r="F707" s="93"/>
      <c r="G707" s="93"/>
      <c r="H707" s="93"/>
      <c r="I707" s="128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</row>
    <row r="708" spans="1:26" ht="12.75" customHeight="1">
      <c r="A708" s="93"/>
      <c r="B708" s="93"/>
      <c r="C708" s="93"/>
      <c r="D708" s="93"/>
      <c r="E708" s="93"/>
      <c r="F708" s="93"/>
      <c r="G708" s="93"/>
      <c r="H708" s="93"/>
      <c r="I708" s="128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</row>
    <row r="709" spans="1:26" ht="12.75" customHeight="1">
      <c r="A709" s="93"/>
      <c r="B709" s="93"/>
      <c r="C709" s="93"/>
      <c r="D709" s="93"/>
      <c r="E709" s="93"/>
      <c r="F709" s="93"/>
      <c r="G709" s="93"/>
      <c r="H709" s="93"/>
      <c r="I709" s="128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</row>
    <row r="710" spans="1:26" ht="12.75" customHeight="1">
      <c r="A710" s="93"/>
      <c r="B710" s="93"/>
      <c r="C710" s="93"/>
      <c r="D710" s="93"/>
      <c r="E710" s="93"/>
      <c r="F710" s="93"/>
      <c r="G710" s="93"/>
      <c r="H710" s="93"/>
      <c r="I710" s="128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</row>
    <row r="711" spans="1:26" ht="12.75" customHeight="1">
      <c r="A711" s="93"/>
      <c r="B711" s="93"/>
      <c r="C711" s="93"/>
      <c r="D711" s="93"/>
      <c r="E711" s="93"/>
      <c r="F711" s="93"/>
      <c r="G711" s="93"/>
      <c r="H711" s="93"/>
      <c r="I711" s="128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</row>
    <row r="712" spans="1:26" ht="12.75" customHeight="1">
      <c r="A712" s="93"/>
      <c r="B712" s="93"/>
      <c r="C712" s="93"/>
      <c r="D712" s="93"/>
      <c r="E712" s="93"/>
      <c r="F712" s="93"/>
      <c r="G712" s="93"/>
      <c r="H712" s="93"/>
      <c r="I712" s="128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</row>
    <row r="713" spans="1:26" ht="12.75" customHeight="1">
      <c r="A713" s="93"/>
      <c r="B713" s="93"/>
      <c r="C713" s="93"/>
      <c r="D713" s="93"/>
      <c r="E713" s="93"/>
      <c r="F713" s="93"/>
      <c r="G713" s="93"/>
      <c r="H713" s="93"/>
      <c r="I713" s="128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</row>
    <row r="714" spans="1:26" ht="12.75" customHeight="1">
      <c r="A714" s="93"/>
      <c r="B714" s="93"/>
      <c r="C714" s="93"/>
      <c r="D714" s="93"/>
      <c r="E714" s="93"/>
      <c r="F714" s="93"/>
      <c r="G714" s="93"/>
      <c r="H714" s="93"/>
      <c r="I714" s="128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</row>
    <row r="715" spans="1:26" ht="12.75" customHeight="1">
      <c r="A715" s="93"/>
      <c r="B715" s="93"/>
      <c r="C715" s="93"/>
      <c r="D715" s="93"/>
      <c r="E715" s="93"/>
      <c r="F715" s="93"/>
      <c r="G715" s="93"/>
      <c r="H715" s="93"/>
      <c r="I715" s="128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</row>
    <row r="716" spans="1:26" ht="12.75" customHeight="1">
      <c r="A716" s="93"/>
      <c r="B716" s="93"/>
      <c r="C716" s="93"/>
      <c r="D716" s="93"/>
      <c r="E716" s="93"/>
      <c r="F716" s="93"/>
      <c r="G716" s="93"/>
      <c r="H716" s="93"/>
      <c r="I716" s="128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</row>
    <row r="717" spans="1:26" ht="12.75" customHeight="1">
      <c r="A717" s="93"/>
      <c r="B717" s="93"/>
      <c r="C717" s="93"/>
      <c r="D717" s="93"/>
      <c r="E717" s="93"/>
      <c r="F717" s="93"/>
      <c r="G717" s="93"/>
      <c r="H717" s="93"/>
      <c r="I717" s="128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</row>
    <row r="718" spans="1:26" ht="12.75" customHeight="1">
      <c r="A718" s="93"/>
      <c r="B718" s="93"/>
      <c r="C718" s="93"/>
      <c r="D718" s="93"/>
      <c r="E718" s="93"/>
      <c r="F718" s="93"/>
      <c r="G718" s="93"/>
      <c r="H718" s="93"/>
      <c r="I718" s="128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</row>
    <row r="719" spans="1:26" ht="12.75" customHeight="1">
      <c r="A719" s="93"/>
      <c r="B719" s="93"/>
      <c r="C719" s="93"/>
      <c r="D719" s="93"/>
      <c r="E719" s="93"/>
      <c r="F719" s="93"/>
      <c r="G719" s="93"/>
      <c r="H719" s="93"/>
      <c r="I719" s="128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</row>
    <row r="720" spans="1:26" ht="12.75" customHeight="1">
      <c r="A720" s="93"/>
      <c r="B720" s="93"/>
      <c r="C720" s="93"/>
      <c r="D720" s="93"/>
      <c r="E720" s="93"/>
      <c r="F720" s="93"/>
      <c r="G720" s="93"/>
      <c r="H720" s="93"/>
      <c r="I720" s="128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</row>
    <row r="721" spans="1:26" ht="12.75" customHeight="1">
      <c r="A721" s="93"/>
      <c r="B721" s="93"/>
      <c r="C721" s="93"/>
      <c r="D721" s="93"/>
      <c r="E721" s="93"/>
      <c r="F721" s="93"/>
      <c r="G721" s="93"/>
      <c r="H721" s="93"/>
      <c r="I721" s="128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</row>
    <row r="722" spans="1:26" ht="12.75" customHeight="1">
      <c r="A722" s="93"/>
      <c r="B722" s="93"/>
      <c r="C722" s="93"/>
      <c r="D722" s="93"/>
      <c r="E722" s="93"/>
      <c r="F722" s="93"/>
      <c r="G722" s="93"/>
      <c r="H722" s="93"/>
      <c r="I722" s="128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</row>
    <row r="723" spans="1:26" ht="12.75" customHeight="1">
      <c r="A723" s="93"/>
      <c r="B723" s="93"/>
      <c r="C723" s="93"/>
      <c r="D723" s="93"/>
      <c r="E723" s="93"/>
      <c r="F723" s="93"/>
      <c r="G723" s="93"/>
      <c r="H723" s="93"/>
      <c r="I723" s="128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</row>
    <row r="724" spans="1:26" ht="12.75" customHeight="1">
      <c r="A724" s="93"/>
      <c r="B724" s="93"/>
      <c r="C724" s="93"/>
      <c r="D724" s="93"/>
      <c r="E724" s="93"/>
      <c r="F724" s="93"/>
      <c r="G724" s="93"/>
      <c r="H724" s="93"/>
      <c r="I724" s="128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</row>
    <row r="725" spans="1:26" ht="12.75" customHeight="1">
      <c r="A725" s="93"/>
      <c r="B725" s="93"/>
      <c r="C725" s="93"/>
      <c r="D725" s="93"/>
      <c r="E725" s="93"/>
      <c r="F725" s="93"/>
      <c r="G725" s="93"/>
      <c r="H725" s="93"/>
      <c r="I725" s="128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</row>
    <row r="726" spans="1:26" ht="12.75" customHeight="1">
      <c r="A726" s="93"/>
      <c r="B726" s="93"/>
      <c r="C726" s="93"/>
      <c r="D726" s="93"/>
      <c r="E726" s="93"/>
      <c r="F726" s="93"/>
      <c r="G726" s="93"/>
      <c r="H726" s="93"/>
      <c r="I726" s="128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</row>
    <row r="727" spans="1:26" ht="12.75" customHeight="1">
      <c r="A727" s="93"/>
      <c r="B727" s="93"/>
      <c r="C727" s="93"/>
      <c r="D727" s="93"/>
      <c r="E727" s="93"/>
      <c r="F727" s="93"/>
      <c r="G727" s="93"/>
      <c r="H727" s="93"/>
      <c r="I727" s="128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</row>
    <row r="728" spans="1:26" ht="12.75" customHeight="1">
      <c r="A728" s="93"/>
      <c r="B728" s="93"/>
      <c r="C728" s="93"/>
      <c r="D728" s="93"/>
      <c r="E728" s="93"/>
      <c r="F728" s="93"/>
      <c r="G728" s="93"/>
      <c r="H728" s="93"/>
      <c r="I728" s="128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</row>
    <row r="729" spans="1:26" ht="12.75" customHeight="1">
      <c r="A729" s="93"/>
      <c r="B729" s="93"/>
      <c r="C729" s="93"/>
      <c r="D729" s="93"/>
      <c r="E729" s="93"/>
      <c r="F729" s="93"/>
      <c r="G729" s="93"/>
      <c r="H729" s="93"/>
      <c r="I729" s="128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</row>
    <row r="730" spans="1:26" ht="12.75" customHeight="1">
      <c r="A730" s="93"/>
      <c r="B730" s="93"/>
      <c r="C730" s="93"/>
      <c r="D730" s="93"/>
      <c r="E730" s="93"/>
      <c r="F730" s="93"/>
      <c r="G730" s="93"/>
      <c r="H730" s="93"/>
      <c r="I730" s="128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</row>
    <row r="731" spans="1:26" ht="12.75" customHeight="1">
      <c r="A731" s="93"/>
      <c r="B731" s="93"/>
      <c r="C731" s="93"/>
      <c r="D731" s="93"/>
      <c r="E731" s="93"/>
      <c r="F731" s="93"/>
      <c r="G731" s="93"/>
      <c r="H731" s="93"/>
      <c r="I731" s="128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</row>
    <row r="732" spans="1:26" ht="12.75" customHeight="1">
      <c r="A732" s="93"/>
      <c r="B732" s="93"/>
      <c r="C732" s="93"/>
      <c r="D732" s="93"/>
      <c r="E732" s="93"/>
      <c r="F732" s="93"/>
      <c r="G732" s="93"/>
      <c r="H732" s="93"/>
      <c r="I732" s="128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</row>
    <row r="733" spans="1:26" ht="12.75" customHeight="1">
      <c r="A733" s="93"/>
      <c r="B733" s="93"/>
      <c r="C733" s="93"/>
      <c r="D733" s="93"/>
      <c r="E733" s="93"/>
      <c r="F733" s="93"/>
      <c r="G733" s="93"/>
      <c r="H733" s="93"/>
      <c r="I733" s="128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</row>
    <row r="734" spans="1:26" ht="12.75" customHeight="1">
      <c r="A734" s="93"/>
      <c r="B734" s="93"/>
      <c r="C734" s="93"/>
      <c r="D734" s="93"/>
      <c r="E734" s="93"/>
      <c r="F734" s="93"/>
      <c r="G734" s="93"/>
      <c r="H734" s="93"/>
      <c r="I734" s="128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</row>
    <row r="735" spans="1:26" ht="12.75" customHeight="1">
      <c r="A735" s="93"/>
      <c r="B735" s="93"/>
      <c r="C735" s="93"/>
      <c r="D735" s="93"/>
      <c r="E735" s="93"/>
      <c r="F735" s="93"/>
      <c r="G735" s="93"/>
      <c r="H735" s="93"/>
      <c r="I735" s="128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</row>
    <row r="736" spans="1:26" ht="12.75" customHeight="1">
      <c r="A736" s="93"/>
      <c r="B736" s="93"/>
      <c r="C736" s="93"/>
      <c r="D736" s="93"/>
      <c r="E736" s="93"/>
      <c r="F736" s="93"/>
      <c r="G736" s="93"/>
      <c r="H736" s="93"/>
      <c r="I736" s="128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</row>
    <row r="737" spans="1:26" ht="12.75" customHeight="1">
      <c r="A737" s="93"/>
      <c r="B737" s="93"/>
      <c r="C737" s="93"/>
      <c r="D737" s="93"/>
      <c r="E737" s="93"/>
      <c r="F737" s="93"/>
      <c r="G737" s="93"/>
      <c r="H737" s="93"/>
      <c r="I737" s="128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</row>
    <row r="738" spans="1:26" ht="12.75" customHeight="1">
      <c r="A738" s="93"/>
      <c r="B738" s="93"/>
      <c r="C738" s="93"/>
      <c r="D738" s="93"/>
      <c r="E738" s="93"/>
      <c r="F738" s="93"/>
      <c r="G738" s="93"/>
      <c r="H738" s="93"/>
      <c r="I738" s="128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</row>
    <row r="739" spans="1:26" ht="12.75" customHeight="1">
      <c r="A739" s="93"/>
      <c r="B739" s="93"/>
      <c r="C739" s="93"/>
      <c r="D739" s="93"/>
      <c r="E739" s="93"/>
      <c r="F739" s="93"/>
      <c r="G739" s="93"/>
      <c r="H739" s="93"/>
      <c r="I739" s="128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</row>
    <row r="740" spans="1:26" ht="12.75" customHeight="1">
      <c r="A740" s="93"/>
      <c r="B740" s="93"/>
      <c r="C740" s="93"/>
      <c r="D740" s="93"/>
      <c r="E740" s="93"/>
      <c r="F740" s="93"/>
      <c r="G740" s="93"/>
      <c r="H740" s="93"/>
      <c r="I740" s="128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</row>
    <row r="741" spans="1:26" ht="12.75" customHeight="1">
      <c r="A741" s="93"/>
      <c r="B741" s="93"/>
      <c r="C741" s="93"/>
      <c r="D741" s="93"/>
      <c r="E741" s="93"/>
      <c r="F741" s="93"/>
      <c r="G741" s="93"/>
      <c r="H741" s="93"/>
      <c r="I741" s="128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</row>
    <row r="742" spans="1:26" ht="12.75" customHeight="1">
      <c r="A742" s="93"/>
      <c r="B742" s="93"/>
      <c r="C742" s="93"/>
      <c r="D742" s="93"/>
      <c r="E742" s="93"/>
      <c r="F742" s="93"/>
      <c r="G742" s="93"/>
      <c r="H742" s="93"/>
      <c r="I742" s="128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</row>
    <row r="743" spans="1:26" ht="12.75" customHeight="1">
      <c r="A743" s="93"/>
      <c r="B743" s="93"/>
      <c r="C743" s="93"/>
      <c r="D743" s="93"/>
      <c r="E743" s="93"/>
      <c r="F743" s="93"/>
      <c r="G743" s="93"/>
      <c r="H743" s="93"/>
      <c r="I743" s="128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</row>
    <row r="744" spans="1:26" ht="12.75" customHeight="1">
      <c r="A744" s="93"/>
      <c r="B744" s="93"/>
      <c r="C744" s="93"/>
      <c r="D744" s="93"/>
      <c r="E744" s="93"/>
      <c r="F744" s="93"/>
      <c r="G744" s="93"/>
      <c r="H744" s="93"/>
      <c r="I744" s="128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</row>
    <row r="745" spans="1:26" ht="12.75" customHeight="1">
      <c r="A745" s="93"/>
      <c r="B745" s="93"/>
      <c r="C745" s="93"/>
      <c r="D745" s="93"/>
      <c r="E745" s="93"/>
      <c r="F745" s="93"/>
      <c r="G745" s="93"/>
      <c r="H745" s="93"/>
      <c r="I745" s="128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</row>
    <row r="746" spans="1:26" ht="12.75" customHeight="1">
      <c r="A746" s="93"/>
      <c r="B746" s="93"/>
      <c r="C746" s="93"/>
      <c r="D746" s="93"/>
      <c r="E746" s="93"/>
      <c r="F746" s="93"/>
      <c r="G746" s="93"/>
      <c r="H746" s="93"/>
      <c r="I746" s="128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</row>
    <row r="747" spans="1:26" ht="12.75" customHeight="1">
      <c r="A747" s="93"/>
      <c r="B747" s="93"/>
      <c r="C747" s="93"/>
      <c r="D747" s="93"/>
      <c r="E747" s="93"/>
      <c r="F747" s="93"/>
      <c r="G747" s="93"/>
      <c r="H747" s="93"/>
      <c r="I747" s="128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</row>
    <row r="748" spans="1:26" ht="12.75" customHeight="1">
      <c r="A748" s="93"/>
      <c r="B748" s="93"/>
      <c r="C748" s="93"/>
      <c r="D748" s="93"/>
      <c r="E748" s="93"/>
      <c r="F748" s="93"/>
      <c r="G748" s="93"/>
      <c r="H748" s="93"/>
      <c r="I748" s="128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</row>
    <row r="749" spans="1:26" ht="12.75" customHeight="1">
      <c r="A749" s="93"/>
      <c r="B749" s="93"/>
      <c r="C749" s="93"/>
      <c r="D749" s="93"/>
      <c r="E749" s="93"/>
      <c r="F749" s="93"/>
      <c r="G749" s="93"/>
      <c r="H749" s="93"/>
      <c r="I749" s="128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</row>
    <row r="750" spans="1:26" ht="12.75" customHeight="1">
      <c r="A750" s="93"/>
      <c r="B750" s="93"/>
      <c r="C750" s="93"/>
      <c r="D750" s="93"/>
      <c r="E750" s="93"/>
      <c r="F750" s="93"/>
      <c r="G750" s="93"/>
      <c r="H750" s="93"/>
      <c r="I750" s="128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</row>
    <row r="751" spans="1:26" ht="12.75" customHeight="1">
      <c r="A751" s="93"/>
      <c r="B751" s="93"/>
      <c r="C751" s="93"/>
      <c r="D751" s="93"/>
      <c r="E751" s="93"/>
      <c r="F751" s="93"/>
      <c r="G751" s="93"/>
      <c r="H751" s="93"/>
      <c r="I751" s="128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</row>
    <row r="752" spans="1:26" ht="12.75" customHeight="1">
      <c r="A752" s="93"/>
      <c r="B752" s="93"/>
      <c r="C752" s="93"/>
      <c r="D752" s="93"/>
      <c r="E752" s="93"/>
      <c r="F752" s="93"/>
      <c r="G752" s="93"/>
      <c r="H752" s="93"/>
      <c r="I752" s="128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</row>
    <row r="753" spans="1:26" ht="12.75" customHeight="1">
      <c r="A753" s="93"/>
      <c r="B753" s="93"/>
      <c r="C753" s="93"/>
      <c r="D753" s="93"/>
      <c r="E753" s="93"/>
      <c r="F753" s="93"/>
      <c r="G753" s="93"/>
      <c r="H753" s="93"/>
      <c r="I753" s="128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</row>
    <row r="754" spans="1:26" ht="12.75" customHeight="1">
      <c r="A754" s="93"/>
      <c r="B754" s="93"/>
      <c r="C754" s="93"/>
      <c r="D754" s="93"/>
      <c r="E754" s="93"/>
      <c r="F754" s="93"/>
      <c r="G754" s="93"/>
      <c r="H754" s="93"/>
      <c r="I754" s="128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</row>
    <row r="755" spans="1:26" ht="12.75" customHeight="1">
      <c r="A755" s="93"/>
      <c r="B755" s="93"/>
      <c r="C755" s="93"/>
      <c r="D755" s="93"/>
      <c r="E755" s="93"/>
      <c r="F755" s="93"/>
      <c r="G755" s="93"/>
      <c r="H755" s="93"/>
      <c r="I755" s="128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</row>
    <row r="756" spans="1:26" ht="12.75" customHeight="1">
      <c r="A756" s="93"/>
      <c r="B756" s="93"/>
      <c r="C756" s="93"/>
      <c r="D756" s="93"/>
      <c r="E756" s="93"/>
      <c r="F756" s="93"/>
      <c r="G756" s="93"/>
      <c r="H756" s="93"/>
      <c r="I756" s="128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</row>
    <row r="757" spans="1:26" ht="12.75" customHeight="1">
      <c r="A757" s="93"/>
      <c r="B757" s="93"/>
      <c r="C757" s="93"/>
      <c r="D757" s="93"/>
      <c r="E757" s="93"/>
      <c r="F757" s="93"/>
      <c r="G757" s="93"/>
      <c r="H757" s="93"/>
      <c r="I757" s="128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</row>
    <row r="758" spans="1:26" ht="12.75" customHeight="1">
      <c r="A758" s="93"/>
      <c r="B758" s="93"/>
      <c r="C758" s="93"/>
      <c r="D758" s="93"/>
      <c r="E758" s="93"/>
      <c r="F758" s="93"/>
      <c r="G758" s="93"/>
      <c r="H758" s="93"/>
      <c r="I758" s="128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</row>
    <row r="759" spans="1:26" ht="12.75" customHeight="1">
      <c r="A759" s="93"/>
      <c r="B759" s="93"/>
      <c r="C759" s="93"/>
      <c r="D759" s="93"/>
      <c r="E759" s="93"/>
      <c r="F759" s="93"/>
      <c r="G759" s="93"/>
      <c r="H759" s="93"/>
      <c r="I759" s="128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</row>
    <row r="760" spans="1:26" ht="12.75" customHeight="1">
      <c r="A760" s="93"/>
      <c r="B760" s="93"/>
      <c r="C760" s="93"/>
      <c r="D760" s="93"/>
      <c r="E760" s="93"/>
      <c r="F760" s="93"/>
      <c r="G760" s="93"/>
      <c r="H760" s="93"/>
      <c r="I760" s="128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</row>
    <row r="761" spans="1:26" ht="12.75" customHeight="1">
      <c r="A761" s="93"/>
      <c r="B761" s="93"/>
      <c r="C761" s="93"/>
      <c r="D761" s="93"/>
      <c r="E761" s="93"/>
      <c r="F761" s="93"/>
      <c r="G761" s="93"/>
      <c r="H761" s="93"/>
      <c r="I761" s="128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</row>
    <row r="762" spans="1:26" ht="12.75" customHeight="1">
      <c r="A762" s="93"/>
      <c r="B762" s="93"/>
      <c r="C762" s="93"/>
      <c r="D762" s="93"/>
      <c r="E762" s="93"/>
      <c r="F762" s="93"/>
      <c r="G762" s="93"/>
      <c r="H762" s="93"/>
      <c r="I762" s="128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</row>
    <row r="763" spans="1:26" ht="12.75" customHeight="1">
      <c r="A763" s="93"/>
      <c r="B763" s="93"/>
      <c r="C763" s="93"/>
      <c r="D763" s="93"/>
      <c r="E763" s="93"/>
      <c r="F763" s="93"/>
      <c r="G763" s="93"/>
      <c r="H763" s="93"/>
      <c r="I763" s="128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</row>
    <row r="764" spans="1:26" ht="12.75" customHeight="1">
      <c r="A764" s="93"/>
      <c r="B764" s="93"/>
      <c r="C764" s="93"/>
      <c r="D764" s="93"/>
      <c r="E764" s="93"/>
      <c r="F764" s="93"/>
      <c r="G764" s="93"/>
      <c r="H764" s="93"/>
      <c r="I764" s="128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</row>
    <row r="765" spans="1:26" ht="12.75" customHeight="1">
      <c r="A765" s="93"/>
      <c r="B765" s="93"/>
      <c r="C765" s="93"/>
      <c r="D765" s="93"/>
      <c r="E765" s="93"/>
      <c r="F765" s="93"/>
      <c r="G765" s="93"/>
      <c r="H765" s="93"/>
      <c r="I765" s="128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</row>
    <row r="766" spans="1:26" ht="12.75" customHeight="1">
      <c r="A766" s="93"/>
      <c r="B766" s="93"/>
      <c r="C766" s="93"/>
      <c r="D766" s="93"/>
      <c r="E766" s="93"/>
      <c r="F766" s="93"/>
      <c r="G766" s="93"/>
      <c r="H766" s="93"/>
      <c r="I766" s="128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</row>
    <row r="767" spans="1:26" ht="12.75" customHeight="1">
      <c r="A767" s="93"/>
      <c r="B767" s="93"/>
      <c r="C767" s="93"/>
      <c r="D767" s="93"/>
      <c r="E767" s="93"/>
      <c r="F767" s="93"/>
      <c r="G767" s="93"/>
      <c r="H767" s="93"/>
      <c r="I767" s="128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</row>
    <row r="768" spans="1:26" ht="12.75" customHeight="1">
      <c r="A768" s="93"/>
      <c r="B768" s="93"/>
      <c r="C768" s="93"/>
      <c r="D768" s="93"/>
      <c r="E768" s="93"/>
      <c r="F768" s="93"/>
      <c r="G768" s="93"/>
      <c r="H768" s="93"/>
      <c r="I768" s="128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</row>
    <row r="769" spans="1:26" ht="12.75" customHeight="1">
      <c r="A769" s="93"/>
      <c r="B769" s="93"/>
      <c r="C769" s="93"/>
      <c r="D769" s="93"/>
      <c r="E769" s="93"/>
      <c r="F769" s="93"/>
      <c r="G769" s="93"/>
      <c r="H769" s="93"/>
      <c r="I769" s="128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</row>
    <row r="770" spans="1:26" ht="12.75" customHeight="1">
      <c r="A770" s="93"/>
      <c r="B770" s="93"/>
      <c r="C770" s="93"/>
      <c r="D770" s="93"/>
      <c r="E770" s="93"/>
      <c r="F770" s="93"/>
      <c r="G770" s="93"/>
      <c r="H770" s="93"/>
      <c r="I770" s="128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</row>
    <row r="771" spans="1:26" ht="12.75" customHeight="1">
      <c r="A771" s="93"/>
      <c r="B771" s="93"/>
      <c r="C771" s="93"/>
      <c r="D771" s="93"/>
      <c r="E771" s="93"/>
      <c r="F771" s="93"/>
      <c r="G771" s="93"/>
      <c r="H771" s="93"/>
      <c r="I771" s="128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</row>
    <row r="772" spans="1:26" ht="12.75" customHeight="1">
      <c r="A772" s="93"/>
      <c r="B772" s="93"/>
      <c r="C772" s="93"/>
      <c r="D772" s="93"/>
      <c r="E772" s="93"/>
      <c r="F772" s="93"/>
      <c r="G772" s="93"/>
      <c r="H772" s="93"/>
      <c r="I772" s="128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</row>
    <row r="773" spans="1:26" ht="12.75" customHeight="1">
      <c r="A773" s="93"/>
      <c r="B773" s="93"/>
      <c r="C773" s="93"/>
      <c r="D773" s="93"/>
      <c r="E773" s="93"/>
      <c r="F773" s="93"/>
      <c r="G773" s="93"/>
      <c r="H773" s="93"/>
      <c r="I773" s="128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</row>
    <row r="774" spans="1:26" ht="12.75" customHeight="1">
      <c r="A774" s="93"/>
      <c r="B774" s="93"/>
      <c r="C774" s="93"/>
      <c r="D774" s="93"/>
      <c r="E774" s="93"/>
      <c r="F774" s="93"/>
      <c r="G774" s="93"/>
      <c r="H774" s="93"/>
      <c r="I774" s="128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</row>
    <row r="775" spans="1:26" ht="12.75" customHeight="1">
      <c r="A775" s="93"/>
      <c r="B775" s="93"/>
      <c r="C775" s="93"/>
      <c r="D775" s="93"/>
      <c r="E775" s="93"/>
      <c r="F775" s="93"/>
      <c r="G775" s="93"/>
      <c r="H775" s="93"/>
      <c r="I775" s="128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</row>
    <row r="776" spans="1:26" ht="12.75" customHeight="1">
      <c r="A776" s="93"/>
      <c r="B776" s="93"/>
      <c r="C776" s="93"/>
      <c r="D776" s="93"/>
      <c r="E776" s="93"/>
      <c r="F776" s="93"/>
      <c r="G776" s="93"/>
      <c r="H776" s="93"/>
      <c r="I776" s="128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</row>
    <row r="777" spans="1:26" ht="12.75" customHeight="1">
      <c r="A777" s="93"/>
      <c r="B777" s="93"/>
      <c r="C777" s="93"/>
      <c r="D777" s="93"/>
      <c r="E777" s="93"/>
      <c r="F777" s="93"/>
      <c r="G777" s="93"/>
      <c r="H777" s="93"/>
      <c r="I777" s="128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</row>
    <row r="778" spans="1:26" ht="12.75" customHeight="1">
      <c r="A778" s="93"/>
      <c r="B778" s="93"/>
      <c r="C778" s="93"/>
      <c r="D778" s="93"/>
      <c r="E778" s="93"/>
      <c r="F778" s="93"/>
      <c r="G778" s="93"/>
      <c r="H778" s="93"/>
      <c r="I778" s="128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</row>
    <row r="779" spans="1:26" ht="12.75" customHeight="1">
      <c r="A779" s="93"/>
      <c r="B779" s="93"/>
      <c r="C779" s="93"/>
      <c r="D779" s="93"/>
      <c r="E779" s="93"/>
      <c r="F779" s="93"/>
      <c r="G779" s="93"/>
      <c r="H779" s="93"/>
      <c r="I779" s="128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</row>
    <row r="780" spans="1:26" ht="12.75" customHeight="1">
      <c r="A780" s="93"/>
      <c r="B780" s="93"/>
      <c r="C780" s="93"/>
      <c r="D780" s="93"/>
      <c r="E780" s="93"/>
      <c r="F780" s="93"/>
      <c r="G780" s="93"/>
      <c r="H780" s="93"/>
      <c r="I780" s="128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</row>
    <row r="781" spans="1:26" ht="12.75" customHeight="1">
      <c r="A781" s="93"/>
      <c r="B781" s="93"/>
      <c r="C781" s="93"/>
      <c r="D781" s="93"/>
      <c r="E781" s="93"/>
      <c r="F781" s="93"/>
      <c r="G781" s="93"/>
      <c r="H781" s="93"/>
      <c r="I781" s="128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</row>
    <row r="782" spans="1:26" ht="12.75" customHeight="1">
      <c r="A782" s="93"/>
      <c r="B782" s="93"/>
      <c r="C782" s="93"/>
      <c r="D782" s="93"/>
      <c r="E782" s="93"/>
      <c r="F782" s="93"/>
      <c r="G782" s="93"/>
      <c r="H782" s="93"/>
      <c r="I782" s="128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</row>
    <row r="783" spans="1:26" ht="12.75" customHeight="1">
      <c r="A783" s="93"/>
      <c r="B783" s="93"/>
      <c r="C783" s="93"/>
      <c r="D783" s="93"/>
      <c r="E783" s="93"/>
      <c r="F783" s="93"/>
      <c r="G783" s="93"/>
      <c r="H783" s="93"/>
      <c r="I783" s="128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</row>
    <row r="784" spans="1:26" ht="12.75" customHeight="1">
      <c r="A784" s="93"/>
      <c r="B784" s="93"/>
      <c r="C784" s="93"/>
      <c r="D784" s="93"/>
      <c r="E784" s="93"/>
      <c r="F784" s="93"/>
      <c r="G784" s="93"/>
      <c r="H784" s="93"/>
      <c r="I784" s="128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</row>
    <row r="785" spans="1:26" ht="12.75" customHeight="1">
      <c r="A785" s="93"/>
      <c r="B785" s="93"/>
      <c r="C785" s="93"/>
      <c r="D785" s="93"/>
      <c r="E785" s="93"/>
      <c r="F785" s="93"/>
      <c r="G785" s="93"/>
      <c r="H785" s="93"/>
      <c r="I785" s="128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</row>
    <row r="786" spans="1:26" ht="12.75" customHeight="1">
      <c r="A786" s="93"/>
      <c r="B786" s="93"/>
      <c r="C786" s="93"/>
      <c r="D786" s="93"/>
      <c r="E786" s="93"/>
      <c r="F786" s="93"/>
      <c r="G786" s="93"/>
      <c r="H786" s="93"/>
      <c r="I786" s="128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</row>
    <row r="787" spans="1:26" ht="12.75" customHeight="1">
      <c r="A787" s="93"/>
      <c r="B787" s="93"/>
      <c r="C787" s="93"/>
      <c r="D787" s="93"/>
      <c r="E787" s="93"/>
      <c r="F787" s="93"/>
      <c r="G787" s="93"/>
      <c r="H787" s="93"/>
      <c r="I787" s="128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</row>
    <row r="788" spans="1:26" ht="12.75" customHeight="1">
      <c r="A788" s="93"/>
      <c r="B788" s="93"/>
      <c r="C788" s="93"/>
      <c r="D788" s="93"/>
      <c r="E788" s="93"/>
      <c r="F788" s="93"/>
      <c r="G788" s="93"/>
      <c r="H788" s="93"/>
      <c r="I788" s="128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</row>
    <row r="789" spans="1:26" ht="12.75" customHeight="1">
      <c r="A789" s="93"/>
      <c r="B789" s="93"/>
      <c r="C789" s="93"/>
      <c r="D789" s="93"/>
      <c r="E789" s="93"/>
      <c r="F789" s="93"/>
      <c r="G789" s="93"/>
      <c r="H789" s="93"/>
      <c r="I789" s="128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</row>
    <row r="790" spans="1:26" ht="12.75" customHeight="1">
      <c r="A790" s="93"/>
      <c r="B790" s="93"/>
      <c r="C790" s="93"/>
      <c r="D790" s="93"/>
      <c r="E790" s="93"/>
      <c r="F790" s="93"/>
      <c r="G790" s="93"/>
      <c r="H790" s="93"/>
      <c r="I790" s="128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</row>
    <row r="791" spans="1:26" ht="12.75" customHeight="1">
      <c r="A791" s="93"/>
      <c r="B791" s="93"/>
      <c r="C791" s="93"/>
      <c r="D791" s="93"/>
      <c r="E791" s="93"/>
      <c r="F791" s="93"/>
      <c r="G791" s="93"/>
      <c r="H791" s="93"/>
      <c r="I791" s="128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</row>
    <row r="792" spans="1:26" ht="12.75" customHeight="1">
      <c r="A792" s="93"/>
      <c r="B792" s="93"/>
      <c r="C792" s="93"/>
      <c r="D792" s="93"/>
      <c r="E792" s="93"/>
      <c r="F792" s="93"/>
      <c r="G792" s="93"/>
      <c r="H792" s="93"/>
      <c r="I792" s="128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</row>
    <row r="793" spans="1:26" ht="12.75" customHeight="1">
      <c r="A793" s="93"/>
      <c r="B793" s="93"/>
      <c r="C793" s="93"/>
      <c r="D793" s="93"/>
      <c r="E793" s="93"/>
      <c r="F793" s="93"/>
      <c r="G793" s="93"/>
      <c r="H793" s="93"/>
      <c r="I793" s="128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</row>
    <row r="794" spans="1:26" ht="12.75" customHeight="1">
      <c r="A794" s="93"/>
      <c r="B794" s="93"/>
      <c r="C794" s="93"/>
      <c r="D794" s="93"/>
      <c r="E794" s="93"/>
      <c r="F794" s="93"/>
      <c r="G794" s="93"/>
      <c r="H794" s="93"/>
      <c r="I794" s="128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</row>
    <row r="795" spans="1:26" ht="12.75" customHeight="1">
      <c r="A795" s="93"/>
      <c r="B795" s="93"/>
      <c r="C795" s="93"/>
      <c r="D795" s="93"/>
      <c r="E795" s="93"/>
      <c r="F795" s="93"/>
      <c r="G795" s="93"/>
      <c r="H795" s="93"/>
      <c r="I795" s="128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</row>
    <row r="796" spans="1:26" ht="12.75" customHeight="1">
      <c r="A796" s="93"/>
      <c r="B796" s="93"/>
      <c r="C796" s="93"/>
      <c r="D796" s="93"/>
      <c r="E796" s="93"/>
      <c r="F796" s="93"/>
      <c r="G796" s="93"/>
      <c r="H796" s="93"/>
      <c r="I796" s="128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</row>
    <row r="797" spans="1:26" ht="12.75" customHeight="1">
      <c r="A797" s="93"/>
      <c r="B797" s="93"/>
      <c r="C797" s="93"/>
      <c r="D797" s="93"/>
      <c r="E797" s="93"/>
      <c r="F797" s="93"/>
      <c r="G797" s="93"/>
      <c r="H797" s="93"/>
      <c r="I797" s="128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</row>
    <row r="798" spans="1:26" ht="12.75" customHeight="1">
      <c r="A798" s="93"/>
      <c r="B798" s="93"/>
      <c r="C798" s="93"/>
      <c r="D798" s="93"/>
      <c r="E798" s="93"/>
      <c r="F798" s="93"/>
      <c r="G798" s="93"/>
      <c r="H798" s="93"/>
      <c r="I798" s="128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</row>
    <row r="799" spans="1:26" ht="12.75" customHeight="1">
      <c r="A799" s="93"/>
      <c r="B799" s="93"/>
      <c r="C799" s="93"/>
      <c r="D799" s="93"/>
      <c r="E799" s="93"/>
      <c r="F799" s="93"/>
      <c r="G799" s="93"/>
      <c r="H799" s="93"/>
      <c r="I799" s="128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</row>
    <row r="800" spans="1:26" ht="12.75" customHeight="1">
      <c r="A800" s="93"/>
      <c r="B800" s="93"/>
      <c r="C800" s="93"/>
      <c r="D800" s="93"/>
      <c r="E800" s="93"/>
      <c r="F800" s="93"/>
      <c r="G800" s="93"/>
      <c r="H800" s="93"/>
      <c r="I800" s="128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</row>
    <row r="801" spans="1:26" ht="12.75" customHeight="1">
      <c r="A801" s="93"/>
      <c r="B801" s="93"/>
      <c r="C801" s="93"/>
      <c r="D801" s="93"/>
      <c r="E801" s="93"/>
      <c r="F801" s="93"/>
      <c r="G801" s="93"/>
      <c r="H801" s="93"/>
      <c r="I801" s="128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</row>
    <row r="802" spans="1:26" ht="12.75" customHeight="1">
      <c r="A802" s="93"/>
      <c r="B802" s="93"/>
      <c r="C802" s="93"/>
      <c r="D802" s="93"/>
      <c r="E802" s="93"/>
      <c r="F802" s="93"/>
      <c r="G802" s="93"/>
      <c r="H802" s="93"/>
      <c r="I802" s="128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</row>
    <row r="803" spans="1:26" ht="12.75" customHeight="1">
      <c r="A803" s="93"/>
      <c r="B803" s="93"/>
      <c r="C803" s="93"/>
      <c r="D803" s="93"/>
      <c r="E803" s="93"/>
      <c r="F803" s="93"/>
      <c r="G803" s="93"/>
      <c r="H803" s="93"/>
      <c r="I803" s="128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</row>
    <row r="804" spans="1:26" ht="12.75" customHeight="1">
      <c r="A804" s="93"/>
      <c r="B804" s="93"/>
      <c r="C804" s="93"/>
      <c r="D804" s="93"/>
      <c r="E804" s="93"/>
      <c r="F804" s="93"/>
      <c r="G804" s="93"/>
      <c r="H804" s="93"/>
      <c r="I804" s="128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</row>
    <row r="805" spans="1:26" ht="12.75" customHeight="1">
      <c r="A805" s="93"/>
      <c r="B805" s="93"/>
      <c r="C805" s="93"/>
      <c r="D805" s="93"/>
      <c r="E805" s="93"/>
      <c r="F805" s="93"/>
      <c r="G805" s="93"/>
      <c r="H805" s="93"/>
      <c r="I805" s="128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</row>
    <row r="806" spans="1:26" ht="12.75" customHeight="1">
      <c r="A806" s="93"/>
      <c r="B806" s="93"/>
      <c r="C806" s="93"/>
      <c r="D806" s="93"/>
      <c r="E806" s="93"/>
      <c r="F806" s="93"/>
      <c r="G806" s="93"/>
      <c r="H806" s="93"/>
      <c r="I806" s="128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</row>
    <row r="807" spans="1:26" ht="12.75" customHeight="1">
      <c r="A807" s="93"/>
      <c r="B807" s="93"/>
      <c r="C807" s="93"/>
      <c r="D807" s="93"/>
      <c r="E807" s="93"/>
      <c r="F807" s="93"/>
      <c r="G807" s="93"/>
      <c r="H807" s="93"/>
      <c r="I807" s="128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</row>
    <row r="808" spans="1:26" ht="12.75" customHeight="1">
      <c r="A808" s="93"/>
      <c r="B808" s="93"/>
      <c r="C808" s="93"/>
      <c r="D808" s="93"/>
      <c r="E808" s="93"/>
      <c r="F808" s="93"/>
      <c r="G808" s="93"/>
      <c r="H808" s="93"/>
      <c r="I808" s="128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</row>
    <row r="809" spans="1:26" ht="12.75" customHeight="1">
      <c r="A809" s="93"/>
      <c r="B809" s="93"/>
      <c r="C809" s="93"/>
      <c r="D809" s="93"/>
      <c r="E809" s="93"/>
      <c r="F809" s="93"/>
      <c r="G809" s="93"/>
      <c r="H809" s="93"/>
      <c r="I809" s="128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</row>
    <row r="810" spans="1:26" ht="12.75" customHeight="1">
      <c r="A810" s="93"/>
      <c r="B810" s="93"/>
      <c r="C810" s="93"/>
      <c r="D810" s="93"/>
      <c r="E810" s="93"/>
      <c r="F810" s="93"/>
      <c r="G810" s="93"/>
      <c r="H810" s="93"/>
      <c r="I810" s="128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</row>
    <row r="811" spans="1:26" ht="12.75" customHeight="1">
      <c r="A811" s="93"/>
      <c r="B811" s="93"/>
      <c r="C811" s="93"/>
      <c r="D811" s="93"/>
      <c r="E811" s="93"/>
      <c r="F811" s="93"/>
      <c r="G811" s="93"/>
      <c r="H811" s="93"/>
      <c r="I811" s="128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</row>
    <row r="812" spans="1:26" ht="12.75" customHeight="1">
      <c r="A812" s="93"/>
      <c r="B812" s="93"/>
      <c r="C812" s="93"/>
      <c r="D812" s="93"/>
      <c r="E812" s="93"/>
      <c r="F812" s="93"/>
      <c r="G812" s="93"/>
      <c r="H812" s="93"/>
      <c r="I812" s="128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</row>
    <row r="813" spans="1:26" ht="12.75" customHeight="1">
      <c r="A813" s="93"/>
      <c r="B813" s="93"/>
      <c r="C813" s="93"/>
      <c r="D813" s="93"/>
      <c r="E813" s="93"/>
      <c r="F813" s="93"/>
      <c r="G813" s="93"/>
      <c r="H813" s="93"/>
      <c r="I813" s="128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</row>
    <row r="814" spans="1:26" ht="12.75" customHeight="1">
      <c r="A814" s="93"/>
      <c r="B814" s="93"/>
      <c r="C814" s="93"/>
      <c r="D814" s="93"/>
      <c r="E814" s="93"/>
      <c r="F814" s="93"/>
      <c r="G814" s="93"/>
      <c r="H814" s="93"/>
      <c r="I814" s="128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</row>
    <row r="815" spans="1:26" ht="12.75" customHeight="1">
      <c r="A815" s="93"/>
      <c r="B815" s="93"/>
      <c r="C815" s="93"/>
      <c r="D815" s="93"/>
      <c r="E815" s="93"/>
      <c r="F815" s="93"/>
      <c r="G815" s="93"/>
      <c r="H815" s="93"/>
      <c r="I815" s="128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</row>
    <row r="816" spans="1:26" ht="12.75" customHeight="1">
      <c r="A816" s="93"/>
      <c r="B816" s="93"/>
      <c r="C816" s="93"/>
      <c r="D816" s="93"/>
      <c r="E816" s="93"/>
      <c r="F816" s="93"/>
      <c r="G816" s="93"/>
      <c r="H816" s="93"/>
      <c r="I816" s="128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</row>
    <row r="817" spans="1:26" ht="12.75" customHeight="1">
      <c r="A817" s="93"/>
      <c r="B817" s="93"/>
      <c r="C817" s="93"/>
      <c r="D817" s="93"/>
      <c r="E817" s="93"/>
      <c r="F817" s="93"/>
      <c r="G817" s="93"/>
      <c r="H817" s="93"/>
      <c r="I817" s="128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</row>
    <row r="818" spans="1:26" ht="12.75" customHeight="1">
      <c r="A818" s="93"/>
      <c r="B818" s="93"/>
      <c r="C818" s="93"/>
      <c r="D818" s="93"/>
      <c r="E818" s="93"/>
      <c r="F818" s="93"/>
      <c r="G818" s="93"/>
      <c r="H818" s="93"/>
      <c r="I818" s="128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</row>
    <row r="819" spans="1:26" ht="12.75" customHeight="1">
      <c r="A819" s="93"/>
      <c r="B819" s="93"/>
      <c r="C819" s="93"/>
      <c r="D819" s="93"/>
      <c r="E819" s="93"/>
      <c r="F819" s="93"/>
      <c r="G819" s="93"/>
      <c r="H819" s="93"/>
      <c r="I819" s="128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</row>
    <row r="820" spans="1:26" ht="12.75" customHeight="1">
      <c r="A820" s="93"/>
      <c r="B820" s="93"/>
      <c r="C820" s="93"/>
      <c r="D820" s="93"/>
      <c r="E820" s="93"/>
      <c r="F820" s="93"/>
      <c r="G820" s="93"/>
      <c r="H820" s="93"/>
      <c r="I820" s="128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</row>
    <row r="821" spans="1:26" ht="12.75" customHeight="1">
      <c r="A821" s="93"/>
      <c r="B821" s="93"/>
      <c r="C821" s="93"/>
      <c r="D821" s="93"/>
      <c r="E821" s="93"/>
      <c r="F821" s="93"/>
      <c r="G821" s="93"/>
      <c r="H821" s="93"/>
      <c r="I821" s="128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</row>
    <row r="822" spans="1:26" ht="12.75" customHeight="1">
      <c r="A822" s="93"/>
      <c r="B822" s="93"/>
      <c r="C822" s="93"/>
      <c r="D822" s="93"/>
      <c r="E822" s="93"/>
      <c r="F822" s="93"/>
      <c r="G822" s="93"/>
      <c r="H822" s="93"/>
      <c r="I822" s="128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</row>
    <row r="823" spans="1:26" ht="12.75" customHeight="1">
      <c r="A823" s="93"/>
      <c r="B823" s="93"/>
      <c r="C823" s="93"/>
      <c r="D823" s="93"/>
      <c r="E823" s="93"/>
      <c r="F823" s="93"/>
      <c r="G823" s="93"/>
      <c r="H823" s="93"/>
      <c r="I823" s="128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</row>
    <row r="824" spans="1:26" ht="12.75" customHeight="1">
      <c r="A824" s="93"/>
      <c r="B824" s="93"/>
      <c r="C824" s="93"/>
      <c r="D824" s="93"/>
      <c r="E824" s="93"/>
      <c r="F824" s="93"/>
      <c r="G824" s="93"/>
      <c r="H824" s="93"/>
      <c r="I824" s="128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</row>
    <row r="825" spans="1:26" ht="12.75" customHeight="1">
      <c r="A825" s="93"/>
      <c r="B825" s="93"/>
      <c r="C825" s="93"/>
      <c r="D825" s="93"/>
      <c r="E825" s="93"/>
      <c r="F825" s="93"/>
      <c r="G825" s="93"/>
      <c r="H825" s="93"/>
      <c r="I825" s="128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</row>
    <row r="826" spans="1:26" ht="12.75" customHeight="1">
      <c r="A826" s="93"/>
      <c r="B826" s="93"/>
      <c r="C826" s="93"/>
      <c r="D826" s="93"/>
      <c r="E826" s="93"/>
      <c r="F826" s="93"/>
      <c r="G826" s="93"/>
      <c r="H826" s="93"/>
      <c r="I826" s="128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</row>
    <row r="827" spans="1:26" ht="12.75" customHeight="1">
      <c r="A827" s="93"/>
      <c r="B827" s="93"/>
      <c r="C827" s="93"/>
      <c r="D827" s="93"/>
      <c r="E827" s="93"/>
      <c r="F827" s="93"/>
      <c r="G827" s="93"/>
      <c r="H827" s="93"/>
      <c r="I827" s="128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</row>
    <row r="828" spans="1:26" ht="12.75" customHeight="1">
      <c r="A828" s="93"/>
      <c r="B828" s="93"/>
      <c r="C828" s="93"/>
      <c r="D828" s="93"/>
      <c r="E828" s="93"/>
      <c r="F828" s="93"/>
      <c r="G828" s="93"/>
      <c r="H828" s="93"/>
      <c r="I828" s="128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</row>
    <row r="829" spans="1:26" ht="12.75" customHeight="1">
      <c r="A829" s="93"/>
      <c r="B829" s="93"/>
      <c r="C829" s="93"/>
      <c r="D829" s="93"/>
      <c r="E829" s="93"/>
      <c r="F829" s="93"/>
      <c r="G829" s="93"/>
      <c r="H829" s="93"/>
      <c r="I829" s="128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</row>
    <row r="830" spans="1:26" ht="12.75" customHeight="1">
      <c r="A830" s="93"/>
      <c r="B830" s="93"/>
      <c r="C830" s="93"/>
      <c r="D830" s="93"/>
      <c r="E830" s="93"/>
      <c r="F830" s="93"/>
      <c r="G830" s="93"/>
      <c r="H830" s="93"/>
      <c r="I830" s="128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</row>
    <row r="831" spans="1:26" ht="12.75" customHeight="1">
      <c r="A831" s="93"/>
      <c r="B831" s="93"/>
      <c r="C831" s="93"/>
      <c r="D831" s="93"/>
      <c r="E831" s="93"/>
      <c r="F831" s="93"/>
      <c r="G831" s="93"/>
      <c r="H831" s="93"/>
      <c r="I831" s="128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</row>
    <row r="832" spans="1:26" ht="12.75" customHeight="1">
      <c r="A832" s="93"/>
      <c r="B832" s="93"/>
      <c r="C832" s="93"/>
      <c r="D832" s="93"/>
      <c r="E832" s="93"/>
      <c r="F832" s="93"/>
      <c r="G832" s="93"/>
      <c r="H832" s="93"/>
      <c r="I832" s="128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</row>
    <row r="833" spans="1:26" ht="12.75" customHeight="1">
      <c r="A833" s="93"/>
      <c r="B833" s="93"/>
      <c r="C833" s="93"/>
      <c r="D833" s="93"/>
      <c r="E833" s="93"/>
      <c r="F833" s="93"/>
      <c r="G833" s="93"/>
      <c r="H833" s="93"/>
      <c r="I833" s="128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</row>
    <row r="834" spans="1:26" ht="12.75" customHeight="1">
      <c r="A834" s="93"/>
      <c r="B834" s="93"/>
      <c r="C834" s="93"/>
      <c r="D834" s="93"/>
      <c r="E834" s="93"/>
      <c r="F834" s="93"/>
      <c r="G834" s="93"/>
      <c r="H834" s="93"/>
      <c r="I834" s="128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</row>
    <row r="835" spans="1:26" ht="12.75" customHeight="1">
      <c r="A835" s="93"/>
      <c r="B835" s="93"/>
      <c r="C835" s="93"/>
      <c r="D835" s="93"/>
      <c r="E835" s="93"/>
      <c r="F835" s="93"/>
      <c r="G835" s="93"/>
      <c r="H835" s="93"/>
      <c r="I835" s="128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</row>
    <row r="836" spans="1:26" ht="12.75" customHeight="1">
      <c r="A836" s="93"/>
      <c r="B836" s="93"/>
      <c r="C836" s="93"/>
      <c r="D836" s="93"/>
      <c r="E836" s="93"/>
      <c r="F836" s="93"/>
      <c r="G836" s="93"/>
      <c r="H836" s="93"/>
      <c r="I836" s="128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</row>
    <row r="837" spans="1:26" ht="12.75" customHeight="1">
      <c r="A837" s="93"/>
      <c r="B837" s="93"/>
      <c r="C837" s="93"/>
      <c r="D837" s="93"/>
      <c r="E837" s="93"/>
      <c r="F837" s="93"/>
      <c r="G837" s="93"/>
      <c r="H837" s="93"/>
      <c r="I837" s="128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</row>
    <row r="838" spans="1:26" ht="12.75" customHeight="1">
      <c r="A838" s="93"/>
      <c r="B838" s="93"/>
      <c r="C838" s="93"/>
      <c r="D838" s="93"/>
      <c r="E838" s="93"/>
      <c r="F838" s="93"/>
      <c r="G838" s="93"/>
      <c r="H838" s="93"/>
      <c r="I838" s="128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</row>
    <row r="839" spans="1:26" ht="12.75" customHeight="1">
      <c r="A839" s="93"/>
      <c r="B839" s="93"/>
      <c r="C839" s="93"/>
      <c r="D839" s="93"/>
      <c r="E839" s="93"/>
      <c r="F839" s="93"/>
      <c r="G839" s="93"/>
      <c r="H839" s="93"/>
      <c r="I839" s="128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</row>
    <row r="840" spans="1:26" ht="12.75" customHeight="1">
      <c r="A840" s="93"/>
      <c r="B840" s="93"/>
      <c r="C840" s="93"/>
      <c r="D840" s="93"/>
      <c r="E840" s="93"/>
      <c r="F840" s="93"/>
      <c r="G840" s="93"/>
      <c r="H840" s="93"/>
      <c r="I840" s="128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</row>
    <row r="841" spans="1:26" ht="12.75" customHeight="1">
      <c r="A841" s="93"/>
      <c r="B841" s="93"/>
      <c r="C841" s="93"/>
      <c r="D841" s="93"/>
      <c r="E841" s="93"/>
      <c r="F841" s="93"/>
      <c r="G841" s="93"/>
      <c r="H841" s="93"/>
      <c r="I841" s="128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</row>
    <row r="842" spans="1:26" ht="12.75" customHeight="1">
      <c r="A842" s="93"/>
      <c r="B842" s="93"/>
      <c r="C842" s="93"/>
      <c r="D842" s="93"/>
      <c r="E842" s="93"/>
      <c r="F842" s="93"/>
      <c r="G842" s="93"/>
      <c r="H842" s="93"/>
      <c r="I842" s="128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</row>
    <row r="843" spans="1:26" ht="12.75" customHeight="1">
      <c r="A843" s="93"/>
      <c r="B843" s="93"/>
      <c r="C843" s="93"/>
      <c r="D843" s="93"/>
      <c r="E843" s="93"/>
      <c r="F843" s="93"/>
      <c r="G843" s="93"/>
      <c r="H843" s="93"/>
      <c r="I843" s="128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</row>
    <row r="844" spans="1:26" ht="12.75" customHeight="1">
      <c r="A844" s="93"/>
      <c r="B844" s="93"/>
      <c r="C844" s="93"/>
      <c r="D844" s="93"/>
      <c r="E844" s="93"/>
      <c r="F844" s="93"/>
      <c r="G844" s="93"/>
      <c r="H844" s="93"/>
      <c r="I844" s="128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</row>
    <row r="845" spans="1:26" ht="12.75" customHeight="1">
      <c r="A845" s="93"/>
      <c r="B845" s="93"/>
      <c r="C845" s="93"/>
      <c r="D845" s="93"/>
      <c r="E845" s="93"/>
      <c r="F845" s="93"/>
      <c r="G845" s="93"/>
      <c r="H845" s="93"/>
      <c r="I845" s="128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</row>
    <row r="846" spans="1:26" ht="12.75" customHeight="1">
      <c r="A846" s="93"/>
      <c r="B846" s="93"/>
      <c r="C846" s="93"/>
      <c r="D846" s="93"/>
      <c r="E846" s="93"/>
      <c r="F846" s="93"/>
      <c r="G846" s="93"/>
      <c r="H846" s="93"/>
      <c r="I846" s="128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</row>
    <row r="847" spans="1:26" ht="12.75" customHeight="1">
      <c r="A847" s="93"/>
      <c r="B847" s="93"/>
      <c r="C847" s="93"/>
      <c r="D847" s="93"/>
      <c r="E847" s="93"/>
      <c r="F847" s="93"/>
      <c r="G847" s="93"/>
      <c r="H847" s="93"/>
      <c r="I847" s="128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</row>
    <row r="848" spans="1:26" ht="12.75" customHeight="1">
      <c r="A848" s="93"/>
      <c r="B848" s="93"/>
      <c r="C848" s="93"/>
      <c r="D848" s="93"/>
      <c r="E848" s="93"/>
      <c r="F848" s="93"/>
      <c r="G848" s="93"/>
      <c r="H848" s="93"/>
      <c r="I848" s="128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</row>
    <row r="849" spans="1:26" ht="12.75" customHeight="1">
      <c r="A849" s="93"/>
      <c r="B849" s="93"/>
      <c r="C849" s="93"/>
      <c r="D849" s="93"/>
      <c r="E849" s="93"/>
      <c r="F849" s="93"/>
      <c r="G849" s="93"/>
      <c r="H849" s="93"/>
      <c r="I849" s="128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</row>
    <row r="850" spans="1:26" ht="12.75" customHeight="1">
      <c r="A850" s="93"/>
      <c r="B850" s="93"/>
      <c r="C850" s="93"/>
      <c r="D850" s="93"/>
      <c r="E850" s="93"/>
      <c r="F850" s="93"/>
      <c r="G850" s="93"/>
      <c r="H850" s="93"/>
      <c r="I850" s="128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</row>
    <row r="851" spans="1:26" ht="12.75" customHeight="1">
      <c r="A851" s="93"/>
      <c r="B851" s="93"/>
      <c r="C851" s="93"/>
      <c r="D851" s="93"/>
      <c r="E851" s="93"/>
      <c r="F851" s="93"/>
      <c r="G851" s="93"/>
      <c r="H851" s="93"/>
      <c r="I851" s="128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</row>
    <row r="852" spans="1:26" ht="12.75" customHeight="1">
      <c r="A852" s="93"/>
      <c r="B852" s="93"/>
      <c r="C852" s="93"/>
      <c r="D852" s="93"/>
      <c r="E852" s="93"/>
      <c r="F852" s="93"/>
      <c r="G852" s="93"/>
      <c r="H852" s="93"/>
      <c r="I852" s="128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</row>
    <row r="853" spans="1:26" ht="12.75" customHeight="1">
      <c r="A853" s="93"/>
      <c r="B853" s="93"/>
      <c r="C853" s="93"/>
      <c r="D853" s="93"/>
      <c r="E853" s="93"/>
      <c r="F853" s="93"/>
      <c r="G853" s="93"/>
      <c r="H853" s="93"/>
      <c r="I853" s="128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</row>
    <row r="854" spans="1:26" ht="12.75" customHeight="1">
      <c r="A854" s="93"/>
      <c r="B854" s="93"/>
      <c r="C854" s="93"/>
      <c r="D854" s="93"/>
      <c r="E854" s="93"/>
      <c r="F854" s="93"/>
      <c r="G854" s="93"/>
      <c r="H854" s="93"/>
      <c r="I854" s="128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</row>
    <row r="855" spans="1:26" ht="12.75" customHeight="1">
      <c r="A855" s="93"/>
      <c r="B855" s="93"/>
      <c r="C855" s="93"/>
      <c r="D855" s="93"/>
      <c r="E855" s="93"/>
      <c r="F855" s="93"/>
      <c r="G855" s="93"/>
      <c r="H855" s="93"/>
      <c r="I855" s="128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</row>
    <row r="856" spans="1:26" ht="12.75" customHeight="1">
      <c r="A856" s="93"/>
      <c r="B856" s="93"/>
      <c r="C856" s="93"/>
      <c r="D856" s="93"/>
      <c r="E856" s="93"/>
      <c r="F856" s="93"/>
      <c r="G856" s="93"/>
      <c r="H856" s="93"/>
      <c r="I856" s="128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</row>
    <row r="857" spans="1:26" ht="12.75" customHeight="1">
      <c r="A857" s="93"/>
      <c r="B857" s="93"/>
      <c r="C857" s="93"/>
      <c r="D857" s="93"/>
      <c r="E857" s="93"/>
      <c r="F857" s="93"/>
      <c r="G857" s="93"/>
      <c r="H857" s="93"/>
      <c r="I857" s="128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</row>
    <row r="858" spans="1:26" ht="12.75" customHeight="1">
      <c r="A858" s="93"/>
      <c r="B858" s="93"/>
      <c r="C858" s="93"/>
      <c r="D858" s="93"/>
      <c r="E858" s="93"/>
      <c r="F858" s="93"/>
      <c r="G858" s="93"/>
      <c r="H858" s="93"/>
      <c r="I858" s="128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</row>
    <row r="859" spans="1:26" ht="12.75" customHeight="1">
      <c r="A859" s="93"/>
      <c r="B859" s="93"/>
      <c r="C859" s="93"/>
      <c r="D859" s="93"/>
      <c r="E859" s="93"/>
      <c r="F859" s="93"/>
      <c r="G859" s="93"/>
      <c r="H859" s="93"/>
      <c r="I859" s="128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</row>
    <row r="860" spans="1:26" ht="12.75" customHeight="1">
      <c r="A860" s="93"/>
      <c r="B860" s="93"/>
      <c r="C860" s="93"/>
      <c r="D860" s="93"/>
      <c r="E860" s="93"/>
      <c r="F860" s="93"/>
      <c r="G860" s="93"/>
      <c r="H860" s="93"/>
      <c r="I860" s="128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</row>
    <row r="861" spans="1:26" ht="12.75" customHeight="1">
      <c r="A861" s="93"/>
      <c r="B861" s="93"/>
      <c r="C861" s="93"/>
      <c r="D861" s="93"/>
      <c r="E861" s="93"/>
      <c r="F861" s="93"/>
      <c r="G861" s="93"/>
      <c r="H861" s="93"/>
      <c r="I861" s="128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</row>
    <row r="862" spans="1:26" ht="12.75" customHeight="1">
      <c r="A862" s="93"/>
      <c r="B862" s="93"/>
      <c r="C862" s="93"/>
      <c r="D862" s="93"/>
      <c r="E862" s="93"/>
      <c r="F862" s="93"/>
      <c r="G862" s="93"/>
      <c r="H862" s="93"/>
      <c r="I862" s="128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</row>
    <row r="863" spans="1:26" ht="12.75" customHeight="1">
      <c r="A863" s="93"/>
      <c r="B863" s="93"/>
      <c r="C863" s="93"/>
      <c r="D863" s="93"/>
      <c r="E863" s="93"/>
      <c r="F863" s="93"/>
      <c r="G863" s="93"/>
      <c r="H863" s="93"/>
      <c r="I863" s="128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</row>
    <row r="864" spans="1:26" ht="12.75" customHeight="1">
      <c r="A864" s="93"/>
      <c r="B864" s="93"/>
      <c r="C864" s="93"/>
      <c r="D864" s="93"/>
      <c r="E864" s="93"/>
      <c r="F864" s="93"/>
      <c r="G864" s="93"/>
      <c r="H864" s="93"/>
      <c r="I864" s="128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</row>
    <row r="865" spans="1:26" ht="12.75" customHeight="1">
      <c r="A865" s="93"/>
      <c r="B865" s="93"/>
      <c r="C865" s="93"/>
      <c r="D865" s="93"/>
      <c r="E865" s="93"/>
      <c r="F865" s="93"/>
      <c r="G865" s="93"/>
      <c r="H865" s="93"/>
      <c r="I865" s="128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</row>
    <row r="866" spans="1:26" ht="12.75" customHeight="1">
      <c r="A866" s="93"/>
      <c r="B866" s="93"/>
      <c r="C866" s="93"/>
      <c r="D866" s="93"/>
      <c r="E866" s="93"/>
      <c r="F866" s="93"/>
      <c r="G866" s="93"/>
      <c r="H866" s="93"/>
      <c r="I866" s="128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</row>
    <row r="867" spans="1:26" ht="12.75" customHeight="1">
      <c r="A867" s="93"/>
      <c r="B867" s="93"/>
      <c r="C867" s="93"/>
      <c r="D867" s="93"/>
      <c r="E867" s="93"/>
      <c r="F867" s="93"/>
      <c r="G867" s="93"/>
      <c r="H867" s="93"/>
      <c r="I867" s="128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</row>
    <row r="868" spans="1:26" ht="12.75" customHeight="1">
      <c r="A868" s="93"/>
      <c r="B868" s="93"/>
      <c r="C868" s="93"/>
      <c r="D868" s="93"/>
      <c r="E868" s="93"/>
      <c r="F868" s="93"/>
      <c r="G868" s="93"/>
      <c r="H868" s="93"/>
      <c r="I868" s="128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</row>
    <row r="869" spans="1:26" ht="12.75" customHeight="1">
      <c r="A869" s="93"/>
      <c r="B869" s="93"/>
      <c r="C869" s="93"/>
      <c r="D869" s="93"/>
      <c r="E869" s="93"/>
      <c r="F869" s="93"/>
      <c r="G869" s="93"/>
      <c r="H869" s="93"/>
      <c r="I869" s="128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</row>
    <row r="870" spans="1:26" ht="12.75" customHeight="1">
      <c r="A870" s="93"/>
      <c r="B870" s="93"/>
      <c r="C870" s="93"/>
      <c r="D870" s="93"/>
      <c r="E870" s="93"/>
      <c r="F870" s="93"/>
      <c r="G870" s="93"/>
      <c r="H870" s="93"/>
      <c r="I870" s="128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</row>
    <row r="871" spans="1:26" ht="12.75" customHeight="1">
      <c r="A871" s="93"/>
      <c r="B871" s="93"/>
      <c r="C871" s="93"/>
      <c r="D871" s="93"/>
      <c r="E871" s="93"/>
      <c r="F871" s="93"/>
      <c r="G871" s="93"/>
      <c r="H871" s="93"/>
      <c r="I871" s="128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</row>
    <row r="872" spans="1:26" ht="12.75" customHeight="1">
      <c r="A872" s="93"/>
      <c r="B872" s="93"/>
      <c r="C872" s="93"/>
      <c r="D872" s="93"/>
      <c r="E872" s="93"/>
      <c r="F872" s="93"/>
      <c r="G872" s="93"/>
      <c r="H872" s="93"/>
      <c r="I872" s="128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</row>
    <row r="873" spans="1:26" ht="12.75" customHeight="1">
      <c r="A873" s="93"/>
      <c r="B873" s="93"/>
      <c r="C873" s="93"/>
      <c r="D873" s="93"/>
      <c r="E873" s="93"/>
      <c r="F873" s="93"/>
      <c r="G873" s="93"/>
      <c r="H873" s="93"/>
      <c r="I873" s="128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</row>
    <row r="874" spans="1:26" ht="12.75" customHeight="1">
      <c r="A874" s="93"/>
      <c r="B874" s="93"/>
      <c r="C874" s="93"/>
      <c r="D874" s="93"/>
      <c r="E874" s="93"/>
      <c r="F874" s="93"/>
      <c r="G874" s="93"/>
      <c r="H874" s="93"/>
      <c r="I874" s="128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</row>
    <row r="875" spans="1:26" ht="12.75" customHeight="1">
      <c r="A875" s="93"/>
      <c r="B875" s="93"/>
      <c r="C875" s="93"/>
      <c r="D875" s="93"/>
      <c r="E875" s="93"/>
      <c r="F875" s="93"/>
      <c r="G875" s="93"/>
      <c r="H875" s="93"/>
      <c r="I875" s="128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</row>
    <row r="876" spans="1:26" ht="12.75" customHeight="1">
      <c r="A876" s="93"/>
      <c r="B876" s="93"/>
      <c r="C876" s="93"/>
      <c r="D876" s="93"/>
      <c r="E876" s="93"/>
      <c r="F876" s="93"/>
      <c r="G876" s="93"/>
      <c r="H876" s="93"/>
      <c r="I876" s="128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</row>
    <row r="877" spans="1:26" ht="12.75" customHeight="1">
      <c r="A877" s="93"/>
      <c r="B877" s="93"/>
      <c r="C877" s="93"/>
      <c r="D877" s="93"/>
      <c r="E877" s="93"/>
      <c r="F877" s="93"/>
      <c r="G877" s="93"/>
      <c r="H877" s="93"/>
      <c r="I877" s="128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</row>
    <row r="878" spans="1:26" ht="12.75" customHeight="1">
      <c r="A878" s="93"/>
      <c r="B878" s="93"/>
      <c r="C878" s="93"/>
      <c r="D878" s="93"/>
      <c r="E878" s="93"/>
      <c r="F878" s="93"/>
      <c r="G878" s="93"/>
      <c r="H878" s="93"/>
      <c r="I878" s="128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</row>
    <row r="879" spans="1:26" ht="12.75" customHeight="1">
      <c r="A879" s="93"/>
      <c r="B879" s="93"/>
      <c r="C879" s="93"/>
      <c r="D879" s="93"/>
      <c r="E879" s="93"/>
      <c r="F879" s="93"/>
      <c r="G879" s="93"/>
      <c r="H879" s="93"/>
      <c r="I879" s="128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</row>
    <row r="880" spans="1:26" ht="12.75" customHeight="1">
      <c r="A880" s="93"/>
      <c r="B880" s="93"/>
      <c r="C880" s="93"/>
      <c r="D880" s="93"/>
      <c r="E880" s="93"/>
      <c r="F880" s="93"/>
      <c r="G880" s="93"/>
      <c r="H880" s="93"/>
      <c r="I880" s="128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</row>
    <row r="881" spans="1:26" ht="12.75" customHeight="1">
      <c r="A881" s="93"/>
      <c r="B881" s="93"/>
      <c r="C881" s="93"/>
      <c r="D881" s="93"/>
      <c r="E881" s="93"/>
      <c r="F881" s="93"/>
      <c r="G881" s="93"/>
      <c r="H881" s="93"/>
      <c r="I881" s="128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</row>
    <row r="882" spans="1:26" ht="12.75" customHeight="1">
      <c r="A882" s="93"/>
      <c r="B882" s="93"/>
      <c r="C882" s="93"/>
      <c r="D882" s="93"/>
      <c r="E882" s="93"/>
      <c r="F882" s="93"/>
      <c r="G882" s="93"/>
      <c r="H882" s="93"/>
      <c r="I882" s="128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</row>
    <row r="883" spans="1:26" ht="12.75" customHeight="1">
      <c r="A883" s="93"/>
      <c r="B883" s="93"/>
      <c r="C883" s="93"/>
      <c r="D883" s="93"/>
      <c r="E883" s="93"/>
      <c r="F883" s="93"/>
      <c r="G883" s="93"/>
      <c r="H883" s="93"/>
      <c r="I883" s="128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</row>
    <row r="884" spans="1:26" ht="12.75" customHeight="1">
      <c r="A884" s="93"/>
      <c r="B884" s="93"/>
      <c r="C884" s="93"/>
      <c r="D884" s="93"/>
      <c r="E884" s="93"/>
      <c r="F884" s="93"/>
      <c r="G884" s="93"/>
      <c r="H884" s="93"/>
      <c r="I884" s="128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</row>
    <row r="885" spans="1:26" ht="12.75" customHeight="1">
      <c r="A885" s="93"/>
      <c r="B885" s="93"/>
      <c r="C885" s="93"/>
      <c r="D885" s="93"/>
      <c r="E885" s="93"/>
      <c r="F885" s="93"/>
      <c r="G885" s="93"/>
      <c r="H885" s="93"/>
      <c r="I885" s="128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</row>
    <row r="886" spans="1:26" ht="12.75" customHeight="1">
      <c r="A886" s="93"/>
      <c r="B886" s="93"/>
      <c r="C886" s="93"/>
      <c r="D886" s="93"/>
      <c r="E886" s="93"/>
      <c r="F886" s="93"/>
      <c r="G886" s="93"/>
      <c r="H886" s="93"/>
      <c r="I886" s="128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</row>
    <row r="887" spans="1:26" ht="12.75" customHeight="1">
      <c r="A887" s="93"/>
      <c r="B887" s="93"/>
      <c r="C887" s="93"/>
      <c r="D887" s="93"/>
      <c r="E887" s="93"/>
      <c r="F887" s="93"/>
      <c r="G887" s="93"/>
      <c r="H887" s="93"/>
      <c r="I887" s="128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</row>
    <row r="888" spans="1:26" ht="12.75" customHeight="1">
      <c r="A888" s="93"/>
      <c r="B888" s="93"/>
      <c r="C888" s="93"/>
      <c r="D888" s="93"/>
      <c r="E888" s="93"/>
      <c r="F888" s="93"/>
      <c r="G888" s="93"/>
      <c r="H888" s="93"/>
      <c r="I888" s="128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</row>
    <row r="889" spans="1:26" ht="12.75" customHeight="1">
      <c r="A889" s="93"/>
      <c r="B889" s="93"/>
      <c r="C889" s="93"/>
      <c r="D889" s="93"/>
      <c r="E889" s="93"/>
      <c r="F889" s="93"/>
      <c r="G889" s="93"/>
      <c r="H889" s="93"/>
      <c r="I889" s="128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</row>
    <row r="890" spans="1:26" ht="12.75" customHeight="1">
      <c r="A890" s="93"/>
      <c r="B890" s="93"/>
      <c r="C890" s="93"/>
      <c r="D890" s="93"/>
      <c r="E890" s="93"/>
      <c r="F890" s="93"/>
      <c r="G890" s="93"/>
      <c r="H890" s="93"/>
      <c r="I890" s="128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</row>
    <row r="891" spans="1:26" ht="12.75" customHeight="1">
      <c r="A891" s="93"/>
      <c r="B891" s="93"/>
      <c r="C891" s="93"/>
      <c r="D891" s="93"/>
      <c r="E891" s="93"/>
      <c r="F891" s="93"/>
      <c r="G891" s="93"/>
      <c r="H891" s="93"/>
      <c r="I891" s="128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</row>
    <row r="892" spans="1:26" ht="12.75" customHeight="1">
      <c r="A892" s="93"/>
      <c r="B892" s="93"/>
      <c r="C892" s="93"/>
      <c r="D892" s="93"/>
      <c r="E892" s="93"/>
      <c r="F892" s="93"/>
      <c r="G892" s="93"/>
      <c r="H892" s="93"/>
      <c r="I892" s="128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</row>
    <row r="893" spans="1:26" ht="12.75" customHeight="1">
      <c r="A893" s="93"/>
      <c r="B893" s="93"/>
      <c r="C893" s="93"/>
      <c r="D893" s="93"/>
      <c r="E893" s="93"/>
      <c r="F893" s="93"/>
      <c r="G893" s="93"/>
      <c r="H893" s="93"/>
      <c r="I893" s="128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</row>
    <row r="894" spans="1:26" ht="12.75" customHeight="1">
      <c r="A894" s="93"/>
      <c r="B894" s="93"/>
      <c r="C894" s="93"/>
      <c r="D894" s="93"/>
      <c r="E894" s="93"/>
      <c r="F894" s="93"/>
      <c r="G894" s="93"/>
      <c r="H894" s="93"/>
      <c r="I894" s="128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</row>
    <row r="895" spans="1:26" ht="12.75" customHeight="1">
      <c r="A895" s="93"/>
      <c r="B895" s="93"/>
      <c r="C895" s="93"/>
      <c r="D895" s="93"/>
      <c r="E895" s="93"/>
      <c r="F895" s="93"/>
      <c r="G895" s="93"/>
      <c r="H895" s="93"/>
      <c r="I895" s="128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</row>
    <row r="896" spans="1:26" ht="12.75" customHeight="1">
      <c r="A896" s="93"/>
      <c r="B896" s="93"/>
      <c r="C896" s="93"/>
      <c r="D896" s="93"/>
      <c r="E896" s="93"/>
      <c r="F896" s="93"/>
      <c r="G896" s="93"/>
      <c r="H896" s="93"/>
      <c r="I896" s="128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</row>
    <row r="897" spans="1:26" ht="12.75" customHeight="1">
      <c r="A897" s="93"/>
      <c r="B897" s="93"/>
      <c r="C897" s="93"/>
      <c r="D897" s="93"/>
      <c r="E897" s="93"/>
      <c r="F897" s="93"/>
      <c r="G897" s="93"/>
      <c r="H897" s="93"/>
      <c r="I897" s="128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</row>
    <row r="898" spans="1:26" ht="12.75" customHeight="1">
      <c r="A898" s="93"/>
      <c r="B898" s="93"/>
      <c r="C898" s="93"/>
      <c r="D898" s="93"/>
      <c r="E898" s="93"/>
      <c r="F898" s="93"/>
      <c r="G898" s="93"/>
      <c r="H898" s="93"/>
      <c r="I898" s="128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</row>
    <row r="899" spans="1:26" ht="12.75" customHeight="1">
      <c r="A899" s="93"/>
      <c r="B899" s="93"/>
      <c r="C899" s="93"/>
      <c r="D899" s="93"/>
      <c r="E899" s="93"/>
      <c r="F899" s="93"/>
      <c r="G899" s="93"/>
      <c r="H899" s="93"/>
      <c r="I899" s="128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</row>
    <row r="900" spans="1:26" ht="12.75" customHeight="1">
      <c r="A900" s="93"/>
      <c r="B900" s="93"/>
      <c r="C900" s="93"/>
      <c r="D900" s="93"/>
      <c r="E900" s="93"/>
      <c r="F900" s="93"/>
      <c r="G900" s="93"/>
      <c r="H900" s="93"/>
      <c r="I900" s="128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</row>
    <row r="901" spans="1:26" ht="12.75" customHeight="1">
      <c r="A901" s="93"/>
      <c r="B901" s="93"/>
      <c r="C901" s="93"/>
      <c r="D901" s="93"/>
      <c r="E901" s="93"/>
      <c r="F901" s="93"/>
      <c r="G901" s="93"/>
      <c r="H901" s="93"/>
      <c r="I901" s="128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</row>
    <row r="902" spans="1:26" ht="12.75" customHeight="1">
      <c r="A902" s="93"/>
      <c r="B902" s="93"/>
      <c r="C902" s="93"/>
      <c r="D902" s="93"/>
      <c r="E902" s="93"/>
      <c r="F902" s="93"/>
      <c r="G902" s="93"/>
      <c r="H902" s="93"/>
      <c r="I902" s="128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</row>
    <row r="903" spans="1:26" ht="12.75" customHeight="1">
      <c r="A903" s="93"/>
      <c r="B903" s="93"/>
      <c r="C903" s="93"/>
      <c r="D903" s="93"/>
      <c r="E903" s="93"/>
      <c r="F903" s="93"/>
      <c r="G903" s="93"/>
      <c r="H903" s="93"/>
      <c r="I903" s="128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</row>
    <row r="904" spans="1:26" ht="12.75" customHeight="1">
      <c r="A904" s="93"/>
      <c r="B904" s="93"/>
      <c r="C904" s="93"/>
      <c r="D904" s="93"/>
      <c r="E904" s="93"/>
      <c r="F904" s="93"/>
      <c r="G904" s="93"/>
      <c r="H904" s="93"/>
      <c r="I904" s="128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</row>
    <row r="905" spans="1:26" ht="12.75" customHeight="1">
      <c r="A905" s="93"/>
      <c r="B905" s="93"/>
      <c r="C905" s="93"/>
      <c r="D905" s="93"/>
      <c r="E905" s="93"/>
      <c r="F905" s="93"/>
      <c r="G905" s="93"/>
      <c r="H905" s="93"/>
      <c r="I905" s="128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</row>
    <row r="906" spans="1:26" ht="12.75" customHeight="1">
      <c r="A906" s="93"/>
      <c r="B906" s="93"/>
      <c r="C906" s="93"/>
      <c r="D906" s="93"/>
      <c r="E906" s="93"/>
      <c r="F906" s="93"/>
      <c r="G906" s="93"/>
      <c r="H906" s="93"/>
      <c r="I906" s="128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</row>
    <row r="907" spans="1:26" ht="12.75" customHeight="1">
      <c r="A907" s="93"/>
      <c r="B907" s="93"/>
      <c r="C907" s="93"/>
      <c r="D907" s="93"/>
      <c r="E907" s="93"/>
      <c r="F907" s="93"/>
      <c r="G907" s="93"/>
      <c r="H907" s="93"/>
      <c r="I907" s="128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</row>
    <row r="908" spans="1:26" ht="12.75" customHeight="1">
      <c r="A908" s="93"/>
      <c r="B908" s="93"/>
      <c r="C908" s="93"/>
      <c r="D908" s="93"/>
      <c r="E908" s="93"/>
      <c r="F908" s="93"/>
      <c r="G908" s="93"/>
      <c r="H908" s="93"/>
      <c r="I908" s="128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</row>
    <row r="909" spans="1:26" ht="12.75" customHeight="1">
      <c r="A909" s="93"/>
      <c r="B909" s="93"/>
      <c r="C909" s="93"/>
      <c r="D909" s="93"/>
      <c r="E909" s="93"/>
      <c r="F909" s="93"/>
      <c r="G909" s="93"/>
      <c r="H909" s="93"/>
      <c r="I909" s="128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</row>
    <row r="910" spans="1:26" ht="12.75" customHeight="1">
      <c r="A910" s="93"/>
      <c r="B910" s="93"/>
      <c r="C910" s="93"/>
      <c r="D910" s="93"/>
      <c r="E910" s="93"/>
      <c r="F910" s="93"/>
      <c r="G910" s="93"/>
      <c r="H910" s="93"/>
      <c r="I910" s="128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</row>
    <row r="911" spans="1:26" ht="12.75" customHeight="1">
      <c r="A911" s="93"/>
      <c r="B911" s="93"/>
      <c r="C911" s="93"/>
      <c r="D911" s="93"/>
      <c r="E911" s="93"/>
      <c r="F911" s="93"/>
      <c r="G911" s="93"/>
      <c r="H911" s="93"/>
      <c r="I911" s="128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</row>
    <row r="912" spans="1:26" ht="12.75" customHeight="1">
      <c r="A912" s="93"/>
      <c r="B912" s="93"/>
      <c r="C912" s="93"/>
      <c r="D912" s="93"/>
      <c r="E912" s="93"/>
      <c r="F912" s="93"/>
      <c r="G912" s="93"/>
      <c r="H912" s="93"/>
      <c r="I912" s="128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</row>
    <row r="913" spans="1:26" ht="12.75" customHeight="1">
      <c r="A913" s="93"/>
      <c r="B913" s="93"/>
      <c r="C913" s="93"/>
      <c r="D913" s="93"/>
      <c r="E913" s="93"/>
      <c r="F913" s="93"/>
      <c r="G913" s="93"/>
      <c r="H913" s="93"/>
      <c r="I913" s="128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</row>
    <row r="914" spans="1:26" ht="12.75" customHeight="1">
      <c r="A914" s="93"/>
      <c r="B914" s="93"/>
      <c r="C914" s="93"/>
      <c r="D914" s="93"/>
      <c r="E914" s="93"/>
      <c r="F914" s="93"/>
      <c r="G914" s="93"/>
      <c r="H914" s="93"/>
      <c r="I914" s="128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</row>
    <row r="915" spans="1:26" ht="12.75" customHeight="1">
      <c r="A915" s="93"/>
      <c r="B915" s="93"/>
      <c r="C915" s="93"/>
      <c r="D915" s="93"/>
      <c r="E915" s="93"/>
      <c r="F915" s="93"/>
      <c r="G915" s="93"/>
      <c r="H915" s="93"/>
      <c r="I915" s="128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</row>
    <row r="916" spans="1:26" ht="12.75" customHeight="1">
      <c r="A916" s="93"/>
      <c r="B916" s="93"/>
      <c r="C916" s="93"/>
      <c r="D916" s="93"/>
      <c r="E916" s="93"/>
      <c r="F916" s="93"/>
      <c r="G916" s="93"/>
      <c r="H916" s="93"/>
      <c r="I916" s="128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</row>
    <row r="917" spans="1:26" ht="12.75" customHeight="1">
      <c r="A917" s="93"/>
      <c r="B917" s="93"/>
      <c r="C917" s="93"/>
      <c r="D917" s="93"/>
      <c r="E917" s="93"/>
      <c r="F917" s="93"/>
      <c r="G917" s="93"/>
      <c r="H917" s="93"/>
      <c r="I917" s="128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</row>
    <row r="918" spans="1:26" ht="12.75" customHeight="1">
      <c r="A918" s="93"/>
      <c r="B918" s="93"/>
      <c r="C918" s="93"/>
      <c r="D918" s="93"/>
      <c r="E918" s="93"/>
      <c r="F918" s="93"/>
      <c r="G918" s="93"/>
      <c r="H918" s="93"/>
      <c r="I918" s="128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</row>
    <row r="919" spans="1:26" ht="12.75" customHeight="1">
      <c r="A919" s="93"/>
      <c r="B919" s="93"/>
      <c r="C919" s="93"/>
      <c r="D919" s="93"/>
      <c r="E919" s="93"/>
      <c r="F919" s="93"/>
      <c r="G919" s="93"/>
      <c r="H919" s="93"/>
      <c r="I919" s="128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</row>
    <row r="920" spans="1:26" ht="12.75" customHeight="1">
      <c r="A920" s="93"/>
      <c r="B920" s="93"/>
      <c r="C920" s="93"/>
      <c r="D920" s="93"/>
      <c r="E920" s="93"/>
      <c r="F920" s="93"/>
      <c r="G920" s="93"/>
      <c r="H920" s="93"/>
      <c r="I920" s="128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</row>
    <row r="921" spans="1:26" ht="12.75" customHeight="1">
      <c r="A921" s="93"/>
      <c r="B921" s="93"/>
      <c r="C921" s="93"/>
      <c r="D921" s="93"/>
      <c r="E921" s="93"/>
      <c r="F921" s="93"/>
      <c r="G921" s="93"/>
      <c r="H921" s="93"/>
      <c r="I921" s="128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</row>
    <row r="922" spans="1:26" ht="12.75" customHeight="1">
      <c r="A922" s="93"/>
      <c r="B922" s="93"/>
      <c r="C922" s="93"/>
      <c r="D922" s="93"/>
      <c r="E922" s="93"/>
      <c r="F922" s="93"/>
      <c r="G922" s="93"/>
      <c r="H922" s="93"/>
      <c r="I922" s="128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</row>
    <row r="923" spans="1:26" ht="12.75" customHeight="1">
      <c r="A923" s="93"/>
      <c r="B923" s="93"/>
      <c r="C923" s="93"/>
      <c r="D923" s="93"/>
      <c r="E923" s="93"/>
      <c r="F923" s="93"/>
      <c r="G923" s="93"/>
      <c r="H923" s="93"/>
      <c r="I923" s="128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</row>
    <row r="924" spans="1:26" ht="12.75" customHeight="1">
      <c r="A924" s="93"/>
      <c r="B924" s="93"/>
      <c r="C924" s="93"/>
      <c r="D924" s="93"/>
      <c r="E924" s="93"/>
      <c r="F924" s="93"/>
      <c r="G924" s="93"/>
      <c r="H924" s="93"/>
      <c r="I924" s="128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</row>
    <row r="925" spans="1:26" ht="12.75" customHeight="1">
      <c r="A925" s="93"/>
      <c r="B925" s="93"/>
      <c r="C925" s="93"/>
      <c r="D925" s="93"/>
      <c r="E925" s="93"/>
      <c r="F925" s="93"/>
      <c r="G925" s="93"/>
      <c r="H925" s="93"/>
      <c r="I925" s="128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</row>
    <row r="926" spans="1:26" ht="12.75" customHeight="1">
      <c r="A926" s="93"/>
      <c r="B926" s="93"/>
      <c r="C926" s="93"/>
      <c r="D926" s="93"/>
      <c r="E926" s="93"/>
      <c r="F926" s="93"/>
      <c r="G926" s="93"/>
      <c r="H926" s="93"/>
      <c r="I926" s="128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</row>
    <row r="927" spans="1:26" ht="12.75" customHeight="1">
      <c r="A927" s="93"/>
      <c r="B927" s="93"/>
      <c r="C927" s="93"/>
      <c r="D927" s="93"/>
      <c r="E927" s="93"/>
      <c r="F927" s="93"/>
      <c r="G927" s="93"/>
      <c r="H927" s="93"/>
      <c r="I927" s="128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</row>
    <row r="928" spans="1:26" ht="12.75" customHeight="1">
      <c r="A928" s="93"/>
      <c r="B928" s="93"/>
      <c r="C928" s="93"/>
      <c r="D928" s="93"/>
      <c r="E928" s="93"/>
      <c r="F928" s="93"/>
      <c r="G928" s="93"/>
      <c r="H928" s="93"/>
      <c r="I928" s="128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</row>
    <row r="929" spans="1:26" ht="12.75" customHeight="1">
      <c r="A929" s="93"/>
      <c r="B929" s="93"/>
      <c r="C929" s="93"/>
      <c r="D929" s="93"/>
      <c r="E929" s="93"/>
      <c r="F929" s="93"/>
      <c r="G929" s="93"/>
      <c r="H929" s="93"/>
      <c r="I929" s="128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</row>
    <row r="930" spans="1:26" ht="12.75" customHeight="1">
      <c r="A930" s="93"/>
      <c r="B930" s="93"/>
      <c r="C930" s="93"/>
      <c r="D930" s="93"/>
      <c r="E930" s="93"/>
      <c r="F930" s="93"/>
      <c r="G930" s="93"/>
      <c r="H930" s="93"/>
      <c r="I930" s="128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</row>
    <row r="931" spans="1:26" ht="12.75" customHeight="1">
      <c r="A931" s="93"/>
      <c r="B931" s="93"/>
      <c r="C931" s="93"/>
      <c r="D931" s="93"/>
      <c r="E931" s="93"/>
      <c r="F931" s="93"/>
      <c r="G931" s="93"/>
      <c r="H931" s="93"/>
      <c r="I931" s="128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</row>
    <row r="932" spans="1:26" ht="12.75" customHeight="1">
      <c r="A932" s="93"/>
      <c r="B932" s="93"/>
      <c r="C932" s="93"/>
      <c r="D932" s="93"/>
      <c r="E932" s="93"/>
      <c r="F932" s="93"/>
      <c r="G932" s="93"/>
      <c r="H932" s="93"/>
      <c r="I932" s="128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</row>
    <row r="933" spans="1:26" ht="12.75" customHeight="1">
      <c r="A933" s="93"/>
      <c r="B933" s="93"/>
      <c r="C933" s="93"/>
      <c r="D933" s="93"/>
      <c r="E933" s="93"/>
      <c r="F933" s="93"/>
      <c r="G933" s="93"/>
      <c r="H933" s="93"/>
      <c r="I933" s="128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</row>
    <row r="934" spans="1:26" ht="12.75" customHeight="1">
      <c r="A934" s="93"/>
      <c r="B934" s="93"/>
      <c r="C934" s="93"/>
      <c r="D934" s="93"/>
      <c r="E934" s="93"/>
      <c r="F934" s="93"/>
      <c r="G934" s="93"/>
      <c r="H934" s="93"/>
      <c r="I934" s="128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</row>
    <row r="935" spans="1:26" ht="12.75" customHeight="1">
      <c r="A935" s="93"/>
      <c r="B935" s="93"/>
      <c r="C935" s="93"/>
      <c r="D935" s="93"/>
      <c r="E935" s="93"/>
      <c r="F935" s="93"/>
      <c r="G935" s="93"/>
      <c r="H935" s="93"/>
      <c r="I935" s="128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</row>
    <row r="936" spans="1:26" ht="12.75" customHeight="1">
      <c r="A936" s="93"/>
      <c r="B936" s="93"/>
      <c r="C936" s="93"/>
      <c r="D936" s="93"/>
      <c r="E936" s="93"/>
      <c r="F936" s="93"/>
      <c r="G936" s="93"/>
      <c r="H936" s="93"/>
      <c r="I936" s="128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</row>
    <row r="937" spans="1:26" ht="12.75" customHeight="1">
      <c r="A937" s="93"/>
      <c r="B937" s="93"/>
      <c r="C937" s="93"/>
      <c r="D937" s="93"/>
      <c r="E937" s="93"/>
      <c r="F937" s="93"/>
      <c r="G937" s="93"/>
      <c r="H937" s="93"/>
      <c r="I937" s="128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</row>
    <row r="938" spans="1:26" ht="12.75" customHeight="1">
      <c r="A938" s="93"/>
      <c r="B938" s="93"/>
      <c r="C938" s="93"/>
      <c r="D938" s="93"/>
      <c r="E938" s="93"/>
      <c r="F938" s="93"/>
      <c r="G938" s="93"/>
      <c r="H938" s="93"/>
      <c r="I938" s="128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</row>
    <row r="939" spans="1:26" ht="12.75" customHeight="1">
      <c r="A939" s="93"/>
      <c r="B939" s="93"/>
      <c r="C939" s="93"/>
      <c r="D939" s="93"/>
      <c r="E939" s="93"/>
      <c r="F939" s="93"/>
      <c r="G939" s="93"/>
      <c r="H939" s="93"/>
      <c r="I939" s="128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</row>
    <row r="940" spans="1:26" ht="12.75" customHeight="1">
      <c r="A940" s="93"/>
      <c r="B940" s="93"/>
      <c r="C940" s="93"/>
      <c r="D940" s="93"/>
      <c r="E940" s="93"/>
      <c r="F940" s="93"/>
      <c r="G940" s="93"/>
      <c r="H940" s="93"/>
      <c r="I940" s="128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</row>
    <row r="941" spans="1:26" ht="12.75" customHeight="1">
      <c r="A941" s="93"/>
      <c r="B941" s="93"/>
      <c r="C941" s="93"/>
      <c r="D941" s="93"/>
      <c r="E941" s="93"/>
      <c r="F941" s="93"/>
      <c r="G941" s="93"/>
      <c r="H941" s="93"/>
      <c r="I941" s="128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</row>
    <row r="942" spans="1:26" ht="12.75" customHeight="1">
      <c r="A942" s="93"/>
      <c r="B942" s="93"/>
      <c r="C942" s="93"/>
      <c r="D942" s="93"/>
      <c r="E942" s="93"/>
      <c r="F942" s="93"/>
      <c r="G942" s="93"/>
      <c r="H942" s="93"/>
      <c r="I942" s="128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</row>
    <row r="943" spans="1:26" ht="12.75" customHeight="1">
      <c r="A943" s="93"/>
      <c r="B943" s="93"/>
      <c r="C943" s="93"/>
      <c r="D943" s="93"/>
      <c r="E943" s="93"/>
      <c r="F943" s="93"/>
      <c r="G943" s="93"/>
      <c r="H943" s="93"/>
      <c r="I943" s="128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</row>
    <row r="944" spans="1:26" ht="12.75" customHeight="1">
      <c r="A944" s="93"/>
      <c r="B944" s="93"/>
      <c r="C944" s="93"/>
      <c r="D944" s="93"/>
      <c r="E944" s="93"/>
      <c r="F944" s="93"/>
      <c r="G944" s="93"/>
      <c r="H944" s="93"/>
      <c r="I944" s="128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</row>
    <row r="945" spans="1:26" ht="12.75" customHeight="1">
      <c r="A945" s="93"/>
      <c r="B945" s="93"/>
      <c r="C945" s="93"/>
      <c r="D945" s="93"/>
      <c r="E945" s="93"/>
      <c r="F945" s="93"/>
      <c r="G945" s="93"/>
      <c r="H945" s="93"/>
      <c r="I945" s="128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</row>
    <row r="946" spans="1:26" ht="12.75" customHeight="1">
      <c r="A946" s="93"/>
      <c r="B946" s="93"/>
      <c r="C946" s="93"/>
      <c r="D946" s="93"/>
      <c r="E946" s="93"/>
      <c r="F946" s="93"/>
      <c r="G946" s="93"/>
      <c r="H946" s="93"/>
      <c r="I946" s="128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</row>
    <row r="947" spans="1:26" ht="12.75" customHeight="1">
      <c r="A947" s="93"/>
      <c r="B947" s="93"/>
      <c r="C947" s="93"/>
      <c r="D947" s="93"/>
      <c r="E947" s="93"/>
      <c r="F947" s="93"/>
      <c r="G947" s="93"/>
      <c r="H947" s="93"/>
      <c r="I947" s="128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</row>
    <row r="948" spans="1:26" ht="12.75" customHeight="1">
      <c r="A948" s="93"/>
      <c r="B948" s="93"/>
      <c r="C948" s="93"/>
      <c r="D948" s="93"/>
      <c r="E948" s="93"/>
      <c r="F948" s="93"/>
      <c r="G948" s="93"/>
      <c r="H948" s="93"/>
      <c r="I948" s="128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</row>
    <row r="949" spans="1:26" ht="12.75" customHeight="1">
      <c r="A949" s="93"/>
      <c r="B949" s="93"/>
      <c r="C949" s="93"/>
      <c r="D949" s="93"/>
      <c r="E949" s="93"/>
      <c r="F949" s="93"/>
      <c r="G949" s="93"/>
      <c r="H949" s="93"/>
      <c r="I949" s="128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</row>
    <row r="950" spans="1:26" ht="12.75" customHeight="1">
      <c r="A950" s="93"/>
      <c r="B950" s="93"/>
      <c r="C950" s="93"/>
      <c r="D950" s="93"/>
      <c r="E950" s="93"/>
      <c r="F950" s="93"/>
      <c r="G950" s="93"/>
      <c r="H950" s="93"/>
      <c r="I950" s="128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</row>
    <row r="951" spans="1:26" ht="12.75" customHeight="1">
      <c r="A951" s="93"/>
      <c r="B951" s="93"/>
      <c r="C951" s="93"/>
      <c r="D951" s="93"/>
      <c r="E951" s="93"/>
      <c r="F951" s="93"/>
      <c r="G951" s="93"/>
      <c r="H951" s="93"/>
      <c r="I951" s="128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</row>
    <row r="952" spans="1:26" ht="12.75" customHeight="1">
      <c r="A952" s="93"/>
      <c r="B952" s="93"/>
      <c r="C952" s="93"/>
      <c r="D952" s="93"/>
      <c r="E952" s="93"/>
      <c r="F952" s="93"/>
      <c r="G952" s="93"/>
      <c r="H952" s="93"/>
      <c r="I952" s="128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</row>
    <row r="953" spans="1:26" ht="12.75" customHeight="1">
      <c r="A953" s="93"/>
      <c r="B953" s="93"/>
      <c r="C953" s="93"/>
      <c r="D953" s="93"/>
      <c r="E953" s="93"/>
      <c r="F953" s="93"/>
      <c r="G953" s="93"/>
      <c r="H953" s="93"/>
      <c r="I953" s="128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</row>
    <row r="954" spans="1:26" ht="12.75" customHeight="1">
      <c r="A954" s="93"/>
      <c r="B954" s="93"/>
      <c r="C954" s="93"/>
      <c r="D954" s="93"/>
      <c r="E954" s="93"/>
      <c r="F954" s="93"/>
      <c r="G954" s="93"/>
      <c r="H954" s="93"/>
      <c r="I954" s="128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</row>
    <row r="955" spans="1:26" ht="12.75" customHeight="1">
      <c r="A955" s="93"/>
      <c r="B955" s="93"/>
      <c r="C955" s="93"/>
      <c r="D955" s="93"/>
      <c r="E955" s="93"/>
      <c r="F955" s="93"/>
      <c r="G955" s="93"/>
      <c r="H955" s="93"/>
      <c r="I955" s="128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</row>
    <row r="956" spans="1:26" ht="12.75" customHeight="1">
      <c r="A956" s="93"/>
      <c r="B956" s="93"/>
      <c r="C956" s="93"/>
      <c r="D956" s="93"/>
      <c r="E956" s="93"/>
      <c r="F956" s="93"/>
      <c r="G956" s="93"/>
      <c r="H956" s="93"/>
      <c r="I956" s="128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</row>
    <row r="957" spans="1:26" ht="12.75" customHeight="1">
      <c r="A957" s="93"/>
      <c r="B957" s="93"/>
      <c r="C957" s="93"/>
      <c r="D957" s="93"/>
      <c r="E957" s="93"/>
      <c r="F957" s="93"/>
      <c r="G957" s="93"/>
      <c r="H957" s="93"/>
      <c r="I957" s="128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</row>
    <row r="958" spans="1:26" ht="12.75" customHeight="1">
      <c r="A958" s="93"/>
      <c r="B958" s="93"/>
      <c r="C958" s="93"/>
      <c r="D958" s="93"/>
      <c r="E958" s="93"/>
      <c r="F958" s="93"/>
      <c r="G958" s="93"/>
      <c r="H958" s="93"/>
      <c r="I958" s="128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</row>
    <row r="959" spans="1:26" ht="12.75" customHeight="1">
      <c r="A959" s="93"/>
      <c r="B959" s="93"/>
      <c r="C959" s="93"/>
      <c r="D959" s="93"/>
      <c r="E959" s="93"/>
      <c r="F959" s="93"/>
      <c r="G959" s="93"/>
      <c r="H959" s="93"/>
      <c r="I959" s="128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</row>
    <row r="960" spans="1:26" ht="12.75" customHeight="1">
      <c r="A960" s="93"/>
      <c r="B960" s="93"/>
      <c r="C960" s="93"/>
      <c r="D960" s="93"/>
      <c r="E960" s="93"/>
      <c r="F960" s="93"/>
      <c r="G960" s="93"/>
      <c r="H960" s="93"/>
      <c r="I960" s="128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</row>
    <row r="961" spans="1:26" ht="12.75" customHeight="1">
      <c r="A961" s="93"/>
      <c r="B961" s="93"/>
      <c r="C961" s="93"/>
      <c r="D961" s="93"/>
      <c r="E961" s="93"/>
      <c r="F961" s="93"/>
      <c r="G961" s="93"/>
      <c r="H961" s="93"/>
      <c r="I961" s="128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</row>
    <row r="962" spans="1:26" ht="12.75" customHeight="1">
      <c r="A962" s="93"/>
      <c r="B962" s="93"/>
      <c r="C962" s="93"/>
      <c r="D962" s="93"/>
      <c r="E962" s="93"/>
      <c r="F962" s="93"/>
      <c r="G962" s="93"/>
      <c r="H962" s="93"/>
      <c r="I962" s="128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</row>
    <row r="963" spans="1:26" ht="12.75" customHeight="1">
      <c r="A963" s="93"/>
      <c r="B963" s="93"/>
      <c r="C963" s="93"/>
      <c r="D963" s="93"/>
      <c r="E963" s="93"/>
      <c r="F963" s="93"/>
      <c r="G963" s="93"/>
      <c r="H963" s="93"/>
      <c r="I963" s="128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</row>
    <row r="964" spans="1:26" ht="12.75" customHeight="1">
      <c r="A964" s="93"/>
      <c r="B964" s="93"/>
      <c r="C964" s="93"/>
      <c r="D964" s="93"/>
      <c r="E964" s="93"/>
      <c r="F964" s="93"/>
      <c r="G964" s="93"/>
      <c r="H964" s="93"/>
      <c r="I964" s="128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</row>
    <row r="965" spans="1:26" ht="12.75" customHeight="1">
      <c r="A965" s="93"/>
      <c r="B965" s="93"/>
      <c r="C965" s="93"/>
      <c r="D965" s="93"/>
      <c r="E965" s="93"/>
      <c r="F965" s="93"/>
      <c r="G965" s="93"/>
      <c r="H965" s="93"/>
      <c r="I965" s="128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</row>
    <row r="966" spans="1:26" ht="12.75" customHeight="1">
      <c r="A966" s="93"/>
      <c r="B966" s="93"/>
      <c r="C966" s="93"/>
      <c r="D966" s="93"/>
      <c r="E966" s="93"/>
      <c r="F966" s="93"/>
      <c r="G966" s="93"/>
      <c r="H966" s="93"/>
      <c r="I966" s="128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</row>
    <row r="967" spans="1:26" ht="12.75" customHeight="1">
      <c r="A967" s="93"/>
      <c r="B967" s="93"/>
      <c r="C967" s="93"/>
      <c r="D967" s="93"/>
      <c r="E967" s="93"/>
      <c r="F967" s="93"/>
      <c r="G967" s="93"/>
      <c r="H967" s="93"/>
      <c r="I967" s="128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</row>
    <row r="968" spans="1:26" ht="12.75" customHeight="1">
      <c r="A968" s="93"/>
      <c r="B968" s="93"/>
      <c r="C968" s="93"/>
      <c r="D968" s="93"/>
      <c r="E968" s="93"/>
      <c r="F968" s="93"/>
      <c r="G968" s="93"/>
      <c r="H968" s="93"/>
      <c r="I968" s="128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</row>
    <row r="969" spans="1:26" ht="12.75" customHeight="1">
      <c r="A969" s="93"/>
      <c r="B969" s="93"/>
      <c r="C969" s="93"/>
      <c r="D969" s="93"/>
      <c r="E969" s="93"/>
      <c r="F969" s="93"/>
      <c r="G969" s="93"/>
      <c r="H969" s="93"/>
      <c r="I969" s="128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</row>
    <row r="970" spans="1:26" ht="12.75" customHeight="1">
      <c r="A970" s="93"/>
      <c r="B970" s="93"/>
      <c r="C970" s="93"/>
      <c r="D970" s="93"/>
      <c r="E970" s="93"/>
      <c r="F970" s="93"/>
      <c r="G970" s="93"/>
      <c r="H970" s="93"/>
      <c r="I970" s="128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</row>
    <row r="971" spans="1:26" ht="12.75" customHeight="1">
      <c r="A971" s="93"/>
      <c r="B971" s="93"/>
      <c r="C971" s="93"/>
      <c r="D971" s="93"/>
      <c r="E971" s="93"/>
      <c r="F971" s="93"/>
      <c r="G971" s="93"/>
      <c r="H971" s="93"/>
      <c r="I971" s="128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</row>
    <row r="972" spans="1:26" ht="12.75" customHeight="1">
      <c r="A972" s="93"/>
      <c r="B972" s="93"/>
      <c r="C972" s="93"/>
      <c r="D972" s="93"/>
      <c r="E972" s="93"/>
      <c r="F972" s="93"/>
      <c r="G972" s="93"/>
      <c r="H972" s="93"/>
      <c r="I972" s="128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</row>
    <row r="973" spans="1:26" ht="12.75" customHeight="1">
      <c r="A973" s="93"/>
      <c r="B973" s="93"/>
      <c r="C973" s="93"/>
      <c r="D973" s="93"/>
      <c r="E973" s="93"/>
      <c r="F973" s="93"/>
      <c r="G973" s="93"/>
      <c r="H973" s="93"/>
      <c r="I973" s="128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</row>
    <row r="974" spans="1:26" ht="12.75" customHeight="1">
      <c r="A974" s="93"/>
      <c r="B974" s="93"/>
      <c r="C974" s="93"/>
      <c r="D974" s="93"/>
      <c r="E974" s="93"/>
      <c r="F974" s="93"/>
      <c r="G974" s="93"/>
      <c r="H974" s="93"/>
      <c r="I974" s="128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</row>
    <row r="975" spans="1:26" ht="12.75" customHeight="1">
      <c r="A975" s="93"/>
      <c r="B975" s="93"/>
      <c r="C975" s="93"/>
      <c r="D975" s="93"/>
      <c r="E975" s="93"/>
      <c r="F975" s="93"/>
      <c r="G975" s="93"/>
      <c r="H975" s="93"/>
      <c r="I975" s="128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</row>
    <row r="976" spans="1:26" ht="12.75" customHeight="1">
      <c r="A976" s="93"/>
      <c r="B976" s="93"/>
      <c r="C976" s="93"/>
      <c r="D976" s="93"/>
      <c r="E976" s="93"/>
      <c r="F976" s="93"/>
      <c r="G976" s="93"/>
      <c r="H976" s="93"/>
      <c r="I976" s="128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</row>
    <row r="977" spans="1:26" ht="12.75" customHeight="1">
      <c r="A977" s="93"/>
      <c r="B977" s="93"/>
      <c r="C977" s="93"/>
      <c r="D977" s="93"/>
      <c r="E977" s="93"/>
      <c r="F977" s="93"/>
      <c r="G977" s="93"/>
      <c r="H977" s="93"/>
      <c r="I977" s="128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</row>
    <row r="978" spans="1:26" ht="12.75" customHeight="1">
      <c r="A978" s="93"/>
      <c r="B978" s="93"/>
      <c r="C978" s="93"/>
      <c r="D978" s="93"/>
      <c r="E978" s="93"/>
      <c r="F978" s="93"/>
      <c r="G978" s="93"/>
      <c r="H978" s="93"/>
      <c r="I978" s="128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</row>
    <row r="979" spans="1:26" ht="12.75" customHeight="1">
      <c r="A979" s="93"/>
      <c r="B979" s="93"/>
      <c r="C979" s="93"/>
      <c r="D979" s="93"/>
      <c r="E979" s="93"/>
      <c r="F979" s="93"/>
      <c r="G979" s="93"/>
      <c r="H979" s="93"/>
      <c r="I979" s="128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</row>
    <row r="980" spans="1:26" ht="12.75" customHeight="1">
      <c r="A980" s="93"/>
      <c r="B980" s="93"/>
      <c r="C980" s="93"/>
      <c r="D980" s="93"/>
      <c r="E980" s="93"/>
      <c r="F980" s="93"/>
      <c r="G980" s="93"/>
      <c r="H980" s="93"/>
      <c r="I980" s="128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</row>
    <row r="981" spans="1:26" ht="12.75" customHeight="1">
      <c r="A981" s="93"/>
      <c r="B981" s="93"/>
      <c r="C981" s="93"/>
      <c r="D981" s="93"/>
      <c r="E981" s="93"/>
      <c r="F981" s="93"/>
      <c r="G981" s="93"/>
      <c r="H981" s="93"/>
      <c r="I981" s="128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</row>
    <row r="982" spans="1:26" ht="12.75" customHeight="1">
      <c r="A982" s="93"/>
      <c r="B982" s="93"/>
      <c r="C982" s="93"/>
      <c r="D982" s="93"/>
      <c r="E982" s="93"/>
      <c r="F982" s="93"/>
      <c r="G982" s="93"/>
      <c r="H982" s="93"/>
      <c r="I982" s="128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</row>
    <row r="983" spans="1:26" ht="12.75" customHeight="1">
      <c r="A983" s="93"/>
      <c r="B983" s="93"/>
      <c r="C983" s="93"/>
      <c r="D983" s="93"/>
      <c r="E983" s="93"/>
      <c r="F983" s="93"/>
      <c r="G983" s="93"/>
      <c r="H983" s="93"/>
      <c r="I983" s="128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</row>
    <row r="984" spans="1:26" ht="12.75" customHeight="1">
      <c r="A984" s="93"/>
      <c r="B984" s="93"/>
      <c r="C984" s="93"/>
      <c r="D984" s="93"/>
      <c r="E984" s="93"/>
      <c r="F984" s="93"/>
      <c r="G984" s="93"/>
      <c r="H984" s="93"/>
      <c r="I984" s="128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</row>
    <row r="985" spans="1:26" ht="12.75" customHeight="1">
      <c r="A985" s="93"/>
      <c r="B985" s="93"/>
      <c r="C985" s="93"/>
      <c r="D985" s="93"/>
      <c r="E985" s="93"/>
      <c r="F985" s="93"/>
      <c r="G985" s="93"/>
      <c r="H985" s="93"/>
      <c r="I985" s="128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</row>
    <row r="986" spans="1:26" ht="12.75" customHeight="1">
      <c r="A986" s="93"/>
      <c r="B986" s="93"/>
      <c r="C986" s="93"/>
      <c r="D986" s="93"/>
      <c r="E986" s="93"/>
      <c r="F986" s="93"/>
      <c r="G986" s="93"/>
      <c r="H986" s="93"/>
      <c r="I986" s="128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</row>
    <row r="987" spans="1:26" ht="12.75" customHeight="1">
      <c r="A987" s="93"/>
      <c r="B987" s="93"/>
      <c r="C987" s="93"/>
      <c r="D987" s="93"/>
      <c r="E987" s="93"/>
      <c r="F987" s="93"/>
      <c r="G987" s="93"/>
      <c r="H987" s="93"/>
      <c r="I987" s="128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</row>
    <row r="988" spans="1:26" ht="12.75" customHeight="1">
      <c r="A988" s="93"/>
      <c r="B988" s="93"/>
      <c r="C988" s="93"/>
      <c r="D988" s="93"/>
      <c r="E988" s="93"/>
      <c r="F988" s="93"/>
      <c r="G988" s="93"/>
      <c r="H988" s="93"/>
      <c r="I988" s="128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</row>
    <row r="989" spans="1:26" ht="12.75" customHeight="1">
      <c r="A989" s="93"/>
      <c r="B989" s="93"/>
      <c r="C989" s="93"/>
      <c r="D989" s="93"/>
      <c r="E989" s="93"/>
      <c r="F989" s="93"/>
      <c r="G989" s="93"/>
      <c r="H989" s="93"/>
      <c r="I989" s="128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</row>
    <row r="990" spans="1:26" ht="12.75" customHeight="1">
      <c r="A990" s="93"/>
      <c r="B990" s="93"/>
      <c r="C990" s="93"/>
      <c r="D990" s="93"/>
      <c r="E990" s="93"/>
      <c r="F990" s="93"/>
      <c r="G990" s="93"/>
      <c r="H990" s="93"/>
      <c r="I990" s="128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</row>
    <row r="991" spans="1:26" ht="12.75" customHeight="1">
      <c r="A991" s="93"/>
      <c r="B991" s="93"/>
      <c r="C991" s="93"/>
      <c r="D991" s="93"/>
      <c r="E991" s="93"/>
      <c r="F991" s="93"/>
      <c r="G991" s="93"/>
      <c r="H991" s="93"/>
      <c r="I991" s="128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</row>
    <row r="992" spans="1:26" ht="12.75" customHeight="1">
      <c r="A992" s="93"/>
      <c r="B992" s="93"/>
      <c r="C992" s="93"/>
      <c r="D992" s="93"/>
      <c r="E992" s="93"/>
      <c r="F992" s="93"/>
      <c r="G992" s="93"/>
      <c r="H992" s="93"/>
      <c r="I992" s="128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</row>
    <row r="993" spans="1:26" ht="12.75" customHeight="1">
      <c r="A993" s="93"/>
      <c r="B993" s="93"/>
      <c r="C993" s="93"/>
      <c r="D993" s="93"/>
      <c r="E993" s="93"/>
      <c r="F993" s="93"/>
      <c r="G993" s="93"/>
      <c r="H993" s="93"/>
      <c r="I993" s="128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</row>
    <row r="994" spans="1:26" ht="12.75" customHeight="1">
      <c r="A994" s="93"/>
      <c r="B994" s="93"/>
      <c r="C994" s="93"/>
      <c r="D994" s="93"/>
      <c r="E994" s="93"/>
      <c r="F994" s="93"/>
      <c r="G994" s="93"/>
      <c r="H994" s="93"/>
      <c r="I994" s="128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</row>
    <row r="995" spans="1:26" ht="12.75" customHeight="1">
      <c r="A995" s="93"/>
      <c r="B995" s="93"/>
      <c r="C995" s="93"/>
      <c r="D995" s="93"/>
      <c r="E995" s="93"/>
      <c r="F995" s="93"/>
      <c r="G995" s="93"/>
      <c r="H995" s="93"/>
      <c r="I995" s="128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</row>
    <row r="996" spans="1:26" ht="12.75" customHeight="1">
      <c r="A996" s="93"/>
      <c r="B996" s="93"/>
      <c r="C996" s="93"/>
      <c r="D996" s="93"/>
      <c r="E996" s="93"/>
      <c r="F996" s="93"/>
      <c r="G996" s="93"/>
      <c r="H996" s="93"/>
      <c r="I996" s="128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</row>
    <row r="997" spans="1:26" ht="12.75" customHeight="1">
      <c r="A997" s="93"/>
      <c r="B997" s="93"/>
      <c r="C997" s="93"/>
      <c r="D997" s="93"/>
      <c r="E997" s="93"/>
      <c r="F997" s="93"/>
      <c r="G997" s="93"/>
      <c r="H997" s="93"/>
      <c r="I997" s="128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</row>
    <row r="998" spans="1:26" ht="12.75" customHeight="1">
      <c r="A998" s="93"/>
      <c r="B998" s="93"/>
      <c r="C998" s="93"/>
      <c r="D998" s="93"/>
      <c r="E998" s="93"/>
      <c r="F998" s="93"/>
      <c r="G998" s="93"/>
      <c r="H998" s="93"/>
      <c r="I998" s="128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</row>
    <row r="999" spans="1:26" ht="12.75" customHeight="1">
      <c r="A999" s="93"/>
      <c r="B999" s="93"/>
      <c r="C999" s="93"/>
      <c r="D999" s="93"/>
      <c r="E999" s="93"/>
      <c r="F999" s="93"/>
      <c r="G999" s="93"/>
      <c r="H999" s="93"/>
      <c r="I999" s="128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</row>
    <row r="1000" spans="1:26" ht="12.75" customHeight="1">
      <c r="A1000" s="93"/>
      <c r="B1000" s="93"/>
      <c r="C1000" s="93"/>
      <c r="D1000" s="93"/>
      <c r="E1000" s="93"/>
      <c r="F1000" s="93"/>
      <c r="G1000" s="93"/>
      <c r="H1000" s="93"/>
      <c r="I1000" s="128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</row>
  </sheetData>
  <mergeCells count="5">
    <mergeCell ref="B1:V1"/>
    <mergeCell ref="B2:V2"/>
    <mergeCell ref="B3:V3"/>
    <mergeCell ref="B4:V4"/>
    <mergeCell ref="B5:V5"/>
  </mergeCells>
  <pageMargins left="0" right="0" top="0.55118110236220474" bottom="0.15748031496062992" header="0" footer="0"/>
  <pageSetup paperSize="9"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000"/>
  <sheetViews>
    <sheetView showGridLines="0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B1" sqref="B1:W1"/>
    </sheetView>
  </sheetViews>
  <sheetFormatPr defaultColWidth="14.42578125" defaultRowHeight="15" customHeight="1"/>
  <cols>
    <col min="1" max="1" width="6.42578125" customWidth="1"/>
    <col min="2" max="2" width="7.85546875" customWidth="1"/>
    <col min="3" max="3" width="19.42578125" customWidth="1"/>
    <col min="4" max="4" width="13.85546875" customWidth="1"/>
    <col min="5" max="7" width="13.140625" customWidth="1"/>
    <col min="8" max="9" width="12" customWidth="1"/>
    <col min="10" max="11" width="13.140625" customWidth="1"/>
    <col min="12" max="12" width="11.85546875" customWidth="1"/>
    <col min="13" max="15" width="13.140625" customWidth="1"/>
    <col min="16" max="17" width="10.85546875" customWidth="1"/>
    <col min="18" max="18" width="13.140625" customWidth="1"/>
    <col min="19" max="19" width="11.140625" customWidth="1"/>
    <col min="20" max="20" width="11.42578125" customWidth="1"/>
    <col min="21" max="21" width="11" customWidth="1"/>
    <col min="22" max="23" width="11.7109375" customWidth="1"/>
    <col min="24" max="43" width="11.42578125" customWidth="1"/>
  </cols>
  <sheetData>
    <row r="1" spans="1:43" ht="24" customHeight="1">
      <c r="A1" s="2"/>
      <c r="B1" s="312" t="s">
        <v>3655</v>
      </c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</row>
    <row r="2" spans="1:43" ht="14.25" customHeight="1">
      <c r="A2" s="2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23"/>
      <c r="W2" s="23" t="s">
        <v>56</v>
      </c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</row>
    <row r="3" spans="1:43" ht="89.25">
      <c r="A3" s="141" t="s">
        <v>3598</v>
      </c>
      <c r="B3" s="101" t="s">
        <v>3656</v>
      </c>
      <c r="C3" s="101" t="s">
        <v>3657</v>
      </c>
      <c r="D3" s="101" t="s">
        <v>3658</v>
      </c>
      <c r="E3" s="101" t="s">
        <v>3659</v>
      </c>
      <c r="F3" s="101" t="s">
        <v>3603</v>
      </c>
      <c r="G3" s="101" t="s">
        <v>3604</v>
      </c>
      <c r="H3" s="101" t="s">
        <v>3660</v>
      </c>
      <c r="I3" s="101" t="s">
        <v>3606</v>
      </c>
      <c r="J3" s="101" t="s">
        <v>3607</v>
      </c>
      <c r="K3" s="101" t="s">
        <v>3608</v>
      </c>
      <c r="L3" s="101" t="s">
        <v>3609</v>
      </c>
      <c r="M3" s="101" t="s">
        <v>3610</v>
      </c>
      <c r="N3" s="101" t="s">
        <v>3611</v>
      </c>
      <c r="O3" s="101" t="s">
        <v>3612</v>
      </c>
      <c r="P3" s="101" t="s">
        <v>3613</v>
      </c>
      <c r="Q3" s="101" t="s">
        <v>3661</v>
      </c>
      <c r="R3" s="101" t="s">
        <v>3662</v>
      </c>
      <c r="S3" s="101" t="s">
        <v>3616</v>
      </c>
      <c r="T3" s="101" t="s">
        <v>3617</v>
      </c>
      <c r="U3" s="101" t="s">
        <v>3618</v>
      </c>
      <c r="V3" s="101" t="s">
        <v>3663</v>
      </c>
      <c r="W3" s="101" t="s">
        <v>3620</v>
      </c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</row>
    <row r="4" spans="1:43" ht="19.5" customHeight="1">
      <c r="A4" s="143">
        <v>2023</v>
      </c>
      <c r="B4" s="115">
        <v>2023</v>
      </c>
      <c r="C4" s="115" t="s">
        <v>3664</v>
      </c>
      <c r="D4" s="116">
        <f t="shared" ref="D4:D18" si="0">SUM(E4:W4)</f>
        <v>70275906.968587935</v>
      </c>
      <c r="E4" s="144">
        <f t="shared" ref="E4:W4" si="1">E5+E13</f>
        <v>27319151.751917958</v>
      </c>
      <c r="F4" s="144">
        <f t="shared" si="1"/>
        <v>4102921.0520937024</v>
      </c>
      <c r="G4" s="144">
        <f t="shared" si="1"/>
        <v>1996509</v>
      </c>
      <c r="H4" s="144">
        <f t="shared" si="1"/>
        <v>0</v>
      </c>
      <c r="I4" s="144">
        <f t="shared" si="1"/>
        <v>0</v>
      </c>
      <c r="J4" s="144">
        <f t="shared" si="1"/>
        <v>1924414</v>
      </c>
      <c r="K4" s="144">
        <f t="shared" si="1"/>
        <v>4100596</v>
      </c>
      <c r="L4" s="144">
        <f t="shared" si="1"/>
        <v>0</v>
      </c>
      <c r="M4" s="144">
        <f t="shared" si="1"/>
        <v>0</v>
      </c>
      <c r="N4" s="144">
        <f t="shared" si="1"/>
        <v>0</v>
      </c>
      <c r="O4" s="144">
        <f t="shared" si="1"/>
        <v>30100765.164576281</v>
      </c>
      <c r="P4" s="144">
        <f t="shared" si="1"/>
        <v>0</v>
      </c>
      <c r="Q4" s="144">
        <f t="shared" si="1"/>
        <v>0</v>
      </c>
      <c r="R4" s="144">
        <f t="shared" si="1"/>
        <v>224202.00000000015</v>
      </c>
      <c r="S4" s="144">
        <f t="shared" si="1"/>
        <v>0</v>
      </c>
      <c r="T4" s="144">
        <f t="shared" si="1"/>
        <v>507348</v>
      </c>
      <c r="U4" s="144">
        <f t="shared" si="1"/>
        <v>0</v>
      </c>
      <c r="V4" s="144">
        <f t="shared" si="1"/>
        <v>0</v>
      </c>
      <c r="W4" s="144">
        <f t="shared" si="1"/>
        <v>0</v>
      </c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45"/>
      <c r="AO4" s="145"/>
      <c r="AP4" s="145"/>
      <c r="AQ4" s="145"/>
    </row>
    <row r="5" spans="1:43" ht="12" customHeight="1">
      <c r="A5" s="143">
        <v>2023</v>
      </c>
      <c r="B5" s="146">
        <v>3</v>
      </c>
      <c r="C5" s="147" t="s">
        <v>3665</v>
      </c>
      <c r="D5" s="148">
        <f t="shared" si="0"/>
        <v>35393753.012482464</v>
      </c>
      <c r="E5" s="149">
        <f t="shared" ref="E5:W5" si="2">SUM(E6:E12)</f>
        <v>27002407.751917958</v>
      </c>
      <c r="F5" s="149">
        <f t="shared" si="2"/>
        <v>168054.84345344748</v>
      </c>
      <c r="G5" s="149">
        <f t="shared" si="2"/>
        <v>1684783</v>
      </c>
      <c r="H5" s="149">
        <f t="shared" si="2"/>
        <v>0</v>
      </c>
      <c r="I5" s="149">
        <f t="shared" si="2"/>
        <v>0</v>
      </c>
      <c r="J5" s="149">
        <f t="shared" si="2"/>
        <v>1740228</v>
      </c>
      <c r="K5" s="149">
        <f t="shared" si="2"/>
        <v>3160237</v>
      </c>
      <c r="L5" s="149">
        <f t="shared" si="2"/>
        <v>0</v>
      </c>
      <c r="M5" s="149">
        <f t="shared" si="2"/>
        <v>0</v>
      </c>
      <c r="N5" s="149">
        <f t="shared" si="2"/>
        <v>0</v>
      </c>
      <c r="O5" s="149">
        <f t="shared" si="2"/>
        <v>1139389.0408122635</v>
      </c>
      <c r="P5" s="149">
        <f t="shared" si="2"/>
        <v>0</v>
      </c>
      <c r="Q5" s="149">
        <f t="shared" si="2"/>
        <v>0</v>
      </c>
      <c r="R5" s="149">
        <f t="shared" si="2"/>
        <v>13573.376298794146</v>
      </c>
      <c r="S5" s="149">
        <f t="shared" si="2"/>
        <v>0</v>
      </c>
      <c r="T5" s="149">
        <f t="shared" si="2"/>
        <v>485080</v>
      </c>
      <c r="U5" s="149">
        <f t="shared" si="2"/>
        <v>0</v>
      </c>
      <c r="V5" s="149">
        <f t="shared" si="2"/>
        <v>0</v>
      </c>
      <c r="W5" s="149">
        <f t="shared" si="2"/>
        <v>0</v>
      </c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</row>
    <row r="6" spans="1:43" ht="12" customHeight="1">
      <c r="A6" s="143">
        <v>2023</v>
      </c>
      <c r="B6" s="150">
        <v>31</v>
      </c>
      <c r="C6" s="151" t="s">
        <v>3666</v>
      </c>
      <c r="D6" s="152">
        <f t="shared" si="0"/>
        <v>27558305.547959704</v>
      </c>
      <c r="E6" s="153">
        <f>SUMIFS('Unos rashoda i izdataka'!$J$3:$J$506,'Unos rashoda i izdataka'!$C$3:$C$506,"=11",'Unos rashoda i izdataka'!$P$3:$P$506,"=31")+SUMIFS('Unos rashoda P4'!$H$3:$H$501,'Unos rashoda P4'!$A$3:$A$501,"=11",'Unos rashoda P4'!$S$3:$S$501,"=31")</f>
        <v>23749699.018262975</v>
      </c>
      <c r="F6" s="153">
        <f>SUMIFS('Unos rashoda i izdataka'!$J$3:$J$506,'Unos rashoda i izdataka'!$C$3:$C$506,"=12",'Unos rashoda i izdataka'!$P$3:$P$506,"=31")+SUMIFS('Unos rashoda P4'!$H$3:$H$501,'Unos rashoda P4'!$A$3:$A$501,"=12",'Unos rashoda P4'!$S$3:$S$501,"=31")</f>
        <v>65693.073528435867</v>
      </c>
      <c r="G6" s="153">
        <f>SUMIFS('Unos rashoda i izdataka'!$J$3:$J$506,'Unos rashoda i izdataka'!$C$3:$C$506,"=31",'Unos rashoda i izdataka'!$P$3:$P$506,"=31")+SUMIFS('Unos rashoda P4'!$H$3:$H$501,'Unos rashoda P4'!$A$3:$A$501,"=31",'Unos rashoda P4'!$S$3:$S$501,"=31")</f>
        <v>625334</v>
      </c>
      <c r="H6" s="153">
        <f>SUMIFS('Unos rashoda i izdataka'!$J$3:$J$506,'Unos rashoda i izdataka'!$C$3:$C$506,"=41",'Unos rashoda i izdataka'!$P$3:$P$506,"=31")+SUMIFS('Unos rashoda P4'!$H$3:$H$501,'Unos rashoda P4'!$A$3:$A$501,"=41",'Unos rashoda P4'!$S$3:$S$501,"=31")</f>
        <v>0</v>
      </c>
      <c r="I6" s="153">
        <f>SUMIFS('Unos rashoda i izdataka'!$J$3:$J$506,'Unos rashoda i izdataka'!$C$3:$C$506,"=43",'Unos rashoda i izdataka'!$P$3:$P$506,"=31")+SUMIFS('Unos rashoda P4'!$H$3:$H$501,'Unos rashoda P4'!$A$3:$A$501,"=43",'Unos rashoda P4'!$S$3:$S$501,"=31")</f>
        <v>0</v>
      </c>
      <c r="J6" s="153">
        <f>SUMIFS('Unos rashoda i izdataka'!$J$3:$J$506,'Unos rashoda i izdataka'!$C$3:$C$506,"=51",'Unos rashoda i izdataka'!$P$3:$P$506,"=31")+SUMIFS('Unos rashoda P4'!$H$3:$H$501,'Unos rashoda P4'!$A$3:$A$501,"=51",'Unos rashoda P4'!$S$3:$S$501,"=31")</f>
        <v>703257</v>
      </c>
      <c r="K6" s="153">
        <f>SUMIFS('Unos rashoda i izdataka'!$J$3:$J$506,'Unos rashoda i izdataka'!$C$3:$C$506,"=52",'Unos rashoda i izdataka'!$P$3:$P$506,"=31")+SUMIFS('Unos rashoda P4'!$H$3:$H$501,'Unos rashoda P4'!$A$3:$A$501,"=52",'Unos rashoda P4'!$S$3:$S$501,"=31")</f>
        <v>1709967</v>
      </c>
      <c r="L6" s="153">
        <f>SUMIFS('Unos rashoda i izdataka'!$J$3:$J$506,'Unos rashoda i izdataka'!$C$3:$C$506,"=552",'Unos rashoda i izdataka'!$P$3:$P$506,"=31")+SUMIFS('Unos rashoda P4'!$H$3:$H$501,'Unos rashoda P4'!$A$3:$A$501,"=552",'Unos rashoda P4'!$S$3:$S$501,"=31")</f>
        <v>0</v>
      </c>
      <c r="M6" s="153">
        <f>SUMIFS('Unos rashoda i izdataka'!$J$3:$J$506,'Unos rashoda i izdataka'!$C$3:$C$506,"=559",'Unos rashoda i izdataka'!$P$3:$P$506,"=31")+SUMIFS('Unos rashoda P4'!$H$3:$H$501,'Unos rashoda P4'!$A$3:$A$501,"=559",'Unos rashoda P4'!$S$3:$S$501,"=31")</f>
        <v>0</v>
      </c>
      <c r="N6" s="153">
        <f>SUMIFS('Unos rashoda i izdataka'!$J$3:$J$506,'Unos rashoda i izdataka'!$C$3:$C$506,"=561",'Unos rashoda i izdataka'!$P$3:$P$506,"=31")+SUMIFS('Unos rashoda P4'!$H$3:$H$501,'Unos rashoda P4'!$A$3:$A$501,"=561",'Unos rashoda P4'!$S$3:$S$501,"=31")</f>
        <v>0</v>
      </c>
      <c r="O6" s="153">
        <f>SUMIFS('Unos rashoda i izdataka'!$J$3:$J$506,'Unos rashoda i izdataka'!$C$3:$C$506,"=563",'Unos rashoda i izdataka'!$P$3:$P$506,"=31")+SUMIFS('Unos rashoda P4'!$H$3:$H$501,'Unos rashoda P4'!$A$3:$A$501,"=563",'Unos rashoda P4'!$S$3:$S$501,"=31")</f>
        <v>432597.4561682925</v>
      </c>
      <c r="P6" s="153">
        <f>SUMIFS('Unos rashoda i izdataka'!$J$3:$J$506,'Unos rashoda i izdataka'!$C$3:$C$506,"=573",'Unos rashoda i izdataka'!$P$3:$P$506,"=31")+SUMIFS('Unos rashoda P4'!$H$3:$H$501,'Unos rashoda P4'!$A$3:$A$501,"=573",'Unos rashoda P4'!$S$3:$S$501,"=31")</f>
        <v>0</v>
      </c>
      <c r="Q6" s="153">
        <f>SUMIFS('Unos rashoda i izdataka'!$J$3:$J$506,'Unos rashoda i izdataka'!$C$3:$C$506,"=575",'Unos rashoda i izdataka'!$P$3:$P$506,"=31")+SUMIFS('Unos rashoda P4'!$H$3:$H$501,'Unos rashoda P4'!$A$3:$A$501,"=575",'Unos rashoda P4'!$S$3:$S$501,"=31")</f>
        <v>0</v>
      </c>
      <c r="R6" s="153">
        <f>SUMIFS('Unos rashoda i izdataka'!$J$3:$J$506,'Unos rashoda i izdataka'!$Q$3:$Q$506,"=576",'Unos rashoda i izdataka'!$P$3:$P$506,"=31")+SUMIFS('Unos rashoda P4'!$H$3:$H$501,'Unos rashoda P4'!$A$3:$A$501,"=576",'Unos rashoda P4'!$S$3:$S$501,"=31")</f>
        <v>0</v>
      </c>
      <c r="S6" s="153">
        <f>SUMIFS('Unos rashoda i izdataka'!$J$3:$J$506,'Unos rashoda i izdataka'!$C$3:$C$506,"=581",'Unos rashoda i izdataka'!$P$3:$P$506,"=31")+SUMIFS('Unos rashoda P4'!$H$3:$H$501,'Unos rashoda P4'!$A$3:$A$501,"=581",'Unos rashoda P4'!$S$3:$S$501,"=31")</f>
        <v>0</v>
      </c>
      <c r="T6" s="153">
        <f>SUMIFS('Unos rashoda i izdataka'!$J$3:$J$506,'Unos rashoda i izdataka'!$C$3:$C$506,"=61",'Unos rashoda i izdataka'!$P$3:$P$506,"=31")+SUMIFS('Unos rashoda P4'!$H$3:$H$501,'Unos rashoda P4'!$A$3:$A$501,"=61",'Unos rashoda P4'!$S$3:$S$501,"=31")</f>
        <v>271758</v>
      </c>
      <c r="U6" s="153">
        <f>SUMIFS('Unos rashoda i izdataka'!$J$3:$J$506,'Unos rashoda i izdataka'!$C$3:$C$506,"=63",'Unos rashoda i izdataka'!$P$3:$P$506,"=31")+SUMIFS('Unos rashoda P4'!$H$3:$H$501,'Unos rashoda P4'!$A$3:$A$501,"=63",'Unos rashoda P4'!$S$3:$S$501,"=31")</f>
        <v>0</v>
      </c>
      <c r="V6" s="153">
        <f>SUMIFS('Unos rashoda i izdataka'!$J$3:$J$506,'Unos rashoda i izdataka'!$C$3:$C$506,"=71",'Unos rashoda i izdataka'!$P$3:$P$506,"=31")+SUMIFS('Unos rashoda P4'!$H$3:$H$501,'Unos rashoda P4'!$A$3:$A$501,"=71",'Unos rashoda P4'!$S$3:$S$501,"=31")</f>
        <v>0</v>
      </c>
      <c r="W6" s="153">
        <f>SUMIFS('Unos rashoda i izdataka'!$J$3:$J$506,'Unos rashoda i izdataka'!$C$3:$C$506,"=81",'Unos rashoda i izdataka'!$P$3:$P$506,"=31")+SUMIFS('Unos rashoda P4'!$H$3:$H$501,'Unos rashoda P4'!$A$3:$A$501,"=81",'Unos rashoda P4'!$S$3:$S$501,"=31")</f>
        <v>0</v>
      </c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</row>
    <row r="7" spans="1:43" ht="12" customHeight="1">
      <c r="A7" s="143">
        <v>2023</v>
      </c>
      <c r="B7" s="155">
        <v>32</v>
      </c>
      <c r="C7" s="156" t="s">
        <v>3667</v>
      </c>
      <c r="D7" s="157">
        <f t="shared" si="0"/>
        <v>7518157.4645227604</v>
      </c>
      <c r="E7" s="153">
        <f>SUMIFS('Unos rashoda i izdataka'!$J$3:$J$506,'Unos rashoda i izdataka'!$C$3:$C$506,"=11",'Unos rashoda i izdataka'!$P$3:$P$506,"=32")+SUMIFS('Unos rashoda P4'!$H$3:$H$501,'Unos rashoda P4'!$A$3:$A$501,"=11",'Unos rashoda P4'!$S$3:$S$501,"=32")</f>
        <v>3246159.7336549829</v>
      </c>
      <c r="F7" s="153">
        <f>SUMIFS('Unos rashoda i izdataka'!$J$3:$J$506,'Unos rashoda i izdataka'!$C$3:$C$506,"=12",'Unos rashoda i izdataka'!$P$3:$P$506,"=32")+SUMIFS('Unos rashoda P4'!$H$3:$H$501,'Unos rashoda P4'!$A$3:$A$501,"=12",'Unos rashoda P4'!$S$3:$S$501,"=32")</f>
        <v>99734.769925011613</v>
      </c>
      <c r="G7" s="153">
        <f>SUMIFS('Unos rashoda i izdataka'!$J$3:$J$506,'Unos rashoda i izdataka'!$C$3:$C$506,"=31",'Unos rashoda i izdataka'!$P$3:$P$506,"=32")+SUMIFS('Unos rashoda P4'!$H$3:$H$501,'Unos rashoda P4'!$A$3:$A$501,"=31",'Unos rashoda P4'!$S$3:$S$501,"=32")</f>
        <v>1025084</v>
      </c>
      <c r="H7" s="153">
        <f>SUMIFS('Unos rashoda i izdataka'!$J$3:$J$506,'Unos rashoda i izdataka'!$C$3:$C$506,"=41",'Unos rashoda i izdataka'!$P$3:$P$506,"=32")+SUMIFS('Unos rashoda P4'!$H$3:$H$501,'Unos rashoda P4'!$A$3:$A$501,"=41",'Unos rashoda P4'!$S$3:$S$501,"=32")</f>
        <v>0</v>
      </c>
      <c r="I7" s="153">
        <f>SUMIFS('Unos rashoda i izdataka'!$J$3:$J$506,'Unos rashoda i izdataka'!$C$3:$C$506,"=43",'Unos rashoda i izdataka'!$P$3:$P$506,"=32")+SUMIFS('Unos rashoda P4'!$H$3:$H$501,'Unos rashoda P4'!$A$3:$A$501,"=43",'Unos rashoda P4'!$S$3:$S$501,"=32")</f>
        <v>0</v>
      </c>
      <c r="J7" s="153">
        <f>SUMIFS('Unos rashoda i izdataka'!$J$3:$J$506,'Unos rashoda i izdataka'!$C$3:$C$506,"=51",'Unos rashoda i izdataka'!$P$3:$P$506,"=32")+SUMIFS('Unos rashoda P4'!$H$3:$H$501,'Unos rashoda P4'!$A$3:$A$501,"=51",'Unos rashoda P4'!$S$3:$S$501,"=32")</f>
        <v>786971</v>
      </c>
      <c r="K7" s="153">
        <f>SUMIFS('Unos rashoda i izdataka'!$J$3:$J$506,'Unos rashoda i izdataka'!$C$3:$C$506,"=52",'Unos rashoda i izdataka'!$P$3:$P$506,"=32")+SUMIFS('Unos rashoda P4'!$H$3:$H$501,'Unos rashoda P4'!$A$3:$A$501,"=52",'Unos rashoda P4'!$S$3:$S$501,"=32")</f>
        <v>1445338</v>
      </c>
      <c r="L7" s="153">
        <f>SUMIFS('Unos rashoda i izdataka'!$J$3:$J$506,'Unos rashoda i izdataka'!$C$3:$C$506,"=552",'Unos rashoda i izdataka'!$P$3:$P$506,"=32")+SUMIFS('Unos rashoda P4'!$H$3:$H$501,'Unos rashoda P4'!$A$3:$A$501,"=552",'Unos rashoda P4'!$S$3:$S$501,"=32")</f>
        <v>0</v>
      </c>
      <c r="M7" s="153">
        <f>SUMIFS('Unos rashoda i izdataka'!$J$3:$J$506,'Unos rashoda i izdataka'!$C$3:$C$506,"=559",'Unos rashoda i izdataka'!$P$3:$P$506,"=32")+SUMIFS('Unos rashoda P4'!$H$3:$H$501,'Unos rashoda P4'!$A$3:$A$501,"=559",'Unos rashoda P4'!$S$3:$S$501,"=32")</f>
        <v>0</v>
      </c>
      <c r="N7" s="153">
        <f>SUMIFS('Unos rashoda i izdataka'!$J$3:$J$506,'Unos rashoda i izdataka'!$C$3:$C$506,"=561",'Unos rashoda i izdataka'!$P$3:$P$506,"=32")+SUMIFS('Unos rashoda P4'!$H$3:$H$501,'Unos rashoda P4'!$A$3:$A$501,"=561",'Unos rashoda P4'!$S$3:$S$501,"=32")</f>
        <v>0</v>
      </c>
      <c r="O7" s="153">
        <f>SUMIFS('Unos rashoda i izdataka'!$J$3:$J$506,'Unos rashoda i izdataka'!$C$3:$C$506,"=563",'Unos rashoda i izdataka'!$P$3:$P$506,"=32")+SUMIFS('Unos rashoda P4'!$H$3:$H$501,'Unos rashoda P4'!$A$3:$A$501,"=563",'Unos rashoda P4'!$S$3:$S$501,"=32")</f>
        <v>688182.58464397106</v>
      </c>
      <c r="P7" s="153">
        <f>SUMIFS('Unos rashoda i izdataka'!$J$3:$J$506,'Unos rashoda i izdataka'!$C$3:$C$506,"=573",'Unos rashoda i izdataka'!$P$3:$P$506,"=32")+SUMIFS('Unos rashoda P4'!$H$3:$H$501,'Unos rashoda P4'!$A$3:$A$501,"=573",'Unos rashoda P4'!$S$3:$S$501,"=32")</f>
        <v>0</v>
      </c>
      <c r="Q7" s="153">
        <f>SUMIFS('Unos rashoda i izdataka'!$J$3:$J$506,'Unos rashoda i izdataka'!$C$3:$C$506,"=575",'Unos rashoda i izdataka'!$P$3:$P$506,"=32")+SUMIFS('Unos rashoda P4'!$H$3:$H$501,'Unos rashoda P4'!$A$3:$A$501,"=575",'Unos rashoda P4'!$S$3:$S$501,"=32")</f>
        <v>0</v>
      </c>
      <c r="R7" s="153">
        <f>SUMIFS('Unos rashoda i izdataka'!$J$3:$J$506,'Unos rashoda i izdataka'!$Q$3:$Q$506,"=576",'Unos rashoda i izdataka'!$P$3:$P$506,"=32")+SUMIFS('Unos rashoda P4'!$H$3:$H$501,'Unos rashoda P4'!$A$3:$A$501,"=576",'Unos rashoda P4'!$S$3:$S$501,"=32")</f>
        <v>13573.376298794146</v>
      </c>
      <c r="S7" s="153">
        <f>SUMIFS('Unos rashoda i izdataka'!$J$3:$J$506,'Unos rashoda i izdataka'!$C$3:$C$506,"=581",'Unos rashoda i izdataka'!$P$3:$P$506,"=32")+SUMIFS('Unos rashoda P4'!$H$3:$H$501,'Unos rashoda P4'!$A$3:$A$501,"=581",'Unos rashoda P4'!$S$3:$S$501,"=32")</f>
        <v>0</v>
      </c>
      <c r="T7" s="153">
        <f>SUMIFS('Unos rashoda i izdataka'!$J$3:$J$506,'Unos rashoda i izdataka'!$C$3:$C$506,"=61",'Unos rashoda i izdataka'!$P$3:$P$506,"=32")+SUMIFS('Unos rashoda P4'!$H$3:$H$501,'Unos rashoda P4'!$A$3:$A$501,"=61",'Unos rashoda P4'!$S$3:$S$501,"=32")</f>
        <v>213114</v>
      </c>
      <c r="U7" s="153">
        <f>SUMIFS('Unos rashoda i izdataka'!$J$3:$J$506,'Unos rashoda i izdataka'!$C$3:$C$506,"=63",'Unos rashoda i izdataka'!$P$3:$P$506,"=32")+SUMIFS('Unos rashoda P4'!$H$3:$H$501,'Unos rashoda P4'!$A$3:$A$501,"=63",'Unos rashoda P4'!$S$3:$S$501,"=32")</f>
        <v>0</v>
      </c>
      <c r="V7" s="153">
        <f>SUMIFS('Unos rashoda i izdataka'!$J$3:$J$506,'Unos rashoda i izdataka'!$C$3:$C$506,"=71",'Unos rashoda i izdataka'!$P$3:$P$506,"=32")+SUMIFS('Unos rashoda P4'!$H$3:$H$501,'Unos rashoda P4'!$A$3:$A$501,"=71",'Unos rashoda P4'!$S$3:$S$501,"=32")</f>
        <v>0</v>
      </c>
      <c r="W7" s="153">
        <f>SUMIFS('Unos rashoda i izdataka'!$J$3:$J$506,'Unos rashoda i izdataka'!$C$3:$C$506,"=81",'Unos rashoda i izdataka'!$P$3:$P$506,"=32")+SUMIFS('Unos rashoda P4'!$H$3:$H$501,'Unos rashoda P4'!$A$3:$A$501,"=81",'Unos rashoda P4'!$S$3:$S$501,"=32")</f>
        <v>0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</row>
    <row r="8" spans="1:43" ht="12" customHeight="1">
      <c r="A8" s="143">
        <v>2023</v>
      </c>
      <c r="B8" s="155">
        <v>34</v>
      </c>
      <c r="C8" s="156" t="s">
        <v>3668</v>
      </c>
      <c r="D8" s="157">
        <f t="shared" si="0"/>
        <v>24623</v>
      </c>
      <c r="E8" s="153">
        <f>SUMIFS('Unos rashoda i izdataka'!$J$3:$J$506,'Unos rashoda i izdataka'!$C$3:$C$506,"=11",'Unos rashoda i izdataka'!$P$3:$P$506,"=34")+SUMIFS('Unos rashoda P4'!$H$3:$H$501,'Unos rashoda P4'!$A$3:$A$501,"=11",'Unos rashoda P4'!$S$3:$S$501,"=34")</f>
        <v>0</v>
      </c>
      <c r="F8" s="153">
        <f>SUMIFS('Unos rashoda i izdataka'!$J$3:$J$506,'Unos rashoda i izdataka'!$C$3:$C$506,"=12",'Unos rashoda i izdataka'!$P$3:$P$506,"=34")+SUMIFS('Unos rashoda P4'!$H$3:$H$501,'Unos rashoda P4'!$A$3:$A$501,"=12",'Unos rashoda P4'!$S$3:$S$501,"=34")</f>
        <v>0</v>
      </c>
      <c r="G8" s="153">
        <f>SUMIFS('Unos rashoda i izdataka'!$J$3:$J$506,'Unos rashoda i izdataka'!$C$3:$C$506,"=31",'Unos rashoda i izdataka'!$P$3:$P$506,"=34")+SUMIFS('Unos rashoda P4'!$H$3:$H$501,'Unos rashoda P4'!$A$3:$A$501,"=31",'Unos rashoda P4'!$S$3:$S$501,"=34")</f>
        <v>19643</v>
      </c>
      <c r="H8" s="153">
        <f>SUMIFS('Unos rashoda i izdataka'!$J$3:$J$506,'Unos rashoda i izdataka'!$C$3:$C$506,"=41",'Unos rashoda i izdataka'!$P$3:$P$506,"=34")+SUMIFS('Unos rashoda P4'!$H$3:$H$501,'Unos rashoda P4'!$A$3:$A$501,"=41",'Unos rashoda P4'!$S$3:$S$501,"=34")</f>
        <v>0</v>
      </c>
      <c r="I8" s="153">
        <f>SUMIFS('Unos rashoda i izdataka'!$J$3:$J$506,'Unos rashoda i izdataka'!$C$3:$C$506,"=43",'Unos rashoda i izdataka'!$P$3:$P$506,"=34")+SUMIFS('Unos rashoda P4'!$H$3:$H$501,'Unos rashoda P4'!$A$3:$A$501,"=43",'Unos rashoda P4'!$S$3:$S$501,"=34")</f>
        <v>0</v>
      </c>
      <c r="J8" s="153">
        <f>SUMIFS('Unos rashoda i izdataka'!$J$3:$J$506,'Unos rashoda i izdataka'!$C$3:$C$506,"=51",'Unos rashoda i izdataka'!$P$3:$P$506,"=34")+SUMIFS('Unos rashoda P4'!$H$3:$H$501,'Unos rashoda P4'!$A$3:$A$501,"=51",'Unos rashoda P4'!$S$3:$S$501,"=34")</f>
        <v>0</v>
      </c>
      <c r="K8" s="153">
        <f>SUMIFS('Unos rashoda i izdataka'!$J$3:$J$506,'Unos rashoda i izdataka'!$C$3:$C$506,"=52",'Unos rashoda i izdataka'!$P$3:$P$506,"=34")+SUMIFS('Unos rashoda P4'!$H$3:$H$501,'Unos rashoda P4'!$A$3:$A$501,"=52",'Unos rashoda P4'!$S$3:$S$501,"=34")</f>
        <v>4932</v>
      </c>
      <c r="L8" s="153">
        <f>SUMIFS('Unos rashoda i izdataka'!$J$3:$J$506,'Unos rashoda i izdataka'!$C$3:$C$506,"=552",'Unos rashoda i izdataka'!$P$3:$P$506,"=34")+SUMIFS('Unos rashoda P4'!$H$3:$H$501,'Unos rashoda P4'!$A$3:$A$501,"=552",'Unos rashoda P4'!$S$3:$S$501,"=34")</f>
        <v>0</v>
      </c>
      <c r="M8" s="153">
        <f>SUMIFS('Unos rashoda i izdataka'!$J$3:$J$506,'Unos rashoda i izdataka'!$C$3:$C$506,"=559",'Unos rashoda i izdataka'!$P$3:$P$506,"=34")+SUMIFS('Unos rashoda P4'!$H$3:$H$501,'Unos rashoda P4'!$A$3:$A$501,"=559",'Unos rashoda P4'!$S$3:$S$501,"=34")</f>
        <v>0</v>
      </c>
      <c r="N8" s="153">
        <f>SUMIFS('Unos rashoda i izdataka'!$J$3:$J$506,'Unos rashoda i izdataka'!$C$3:$C$506,"=561",'Unos rashoda i izdataka'!$P$3:$P$506,"=34")+SUMIFS('Unos rashoda P4'!$H$3:$H$501,'Unos rashoda P4'!$A$3:$A$501,"=561",'Unos rashoda P4'!$S$3:$S$501,"=34")</f>
        <v>0</v>
      </c>
      <c r="O8" s="153">
        <f>SUMIFS('Unos rashoda i izdataka'!$J$3:$J$506,'Unos rashoda i izdataka'!$C$3:$C$506,"=563",'Unos rashoda i izdataka'!$P$3:$P$506,"=34")+SUMIFS('Unos rashoda P4'!$H$3:$H$501,'Unos rashoda P4'!$A$3:$A$501,"=563",'Unos rashoda P4'!$S$3:$S$501,"=34")</f>
        <v>0</v>
      </c>
      <c r="P8" s="153">
        <f>SUMIFS('Unos rashoda i izdataka'!$J$3:$J$506,'Unos rashoda i izdataka'!$C$3:$C$506,"=573",'Unos rashoda i izdataka'!$P$3:$P$506,"=34")+SUMIFS('Unos rashoda P4'!$H$3:$H$501,'Unos rashoda P4'!$A$3:$A$501,"=573",'Unos rashoda P4'!$S$3:$S$501,"=34")</f>
        <v>0</v>
      </c>
      <c r="Q8" s="153">
        <f>SUMIFS('Unos rashoda i izdataka'!$J$3:$J$506,'Unos rashoda i izdataka'!$C$3:$C$506,"=575",'Unos rashoda i izdataka'!$P$3:$P$506,"=34")+SUMIFS('Unos rashoda P4'!$H$3:$H$501,'Unos rashoda P4'!$A$3:$A$501,"=575",'Unos rashoda P4'!$S$3:$S$501,"=34")</f>
        <v>0</v>
      </c>
      <c r="R8" s="153">
        <f>SUMIFS('Unos rashoda i izdataka'!$J$3:$J$506,'Unos rashoda i izdataka'!$Q$3:$Q$506,"=576",'Unos rashoda i izdataka'!$P$3:$P$506,"=34")+SUMIFS('Unos rashoda P4'!$H$3:$H$501,'Unos rashoda P4'!$A$3:$A$501,"=576",'Unos rashoda P4'!$S$3:$S$501,"=34")</f>
        <v>0</v>
      </c>
      <c r="S8" s="153">
        <f>SUMIFS('Unos rashoda i izdataka'!$J$3:$J$506,'Unos rashoda i izdataka'!$C$3:$C$506,"=581",'Unos rashoda i izdataka'!$P$3:$P$506,"=34")+SUMIFS('Unos rashoda P4'!$H$3:$H$501,'Unos rashoda P4'!$A$3:$A$501,"=581",'Unos rashoda P4'!$S$3:$S$501,"=34")</f>
        <v>0</v>
      </c>
      <c r="T8" s="153">
        <f>SUMIFS('Unos rashoda i izdataka'!$J$3:$J$506,'Unos rashoda i izdataka'!$C$3:$C$506,"=61",'Unos rashoda i izdataka'!$P$3:$P$506,"=34")+SUMIFS('Unos rashoda P4'!$H$3:$H$501,'Unos rashoda P4'!$A$3:$A$501,"=61",'Unos rashoda P4'!$S$3:$S$501,"=34")</f>
        <v>48</v>
      </c>
      <c r="U8" s="153">
        <f>SUMIFS('Unos rashoda i izdataka'!$J$3:$J$506,'Unos rashoda i izdataka'!$C$3:$C$506,"=63",'Unos rashoda i izdataka'!$P$3:$P$506,"=34")+SUMIFS('Unos rashoda P4'!$H$3:$H$501,'Unos rashoda P4'!$A$3:$A$501,"=63",'Unos rashoda P4'!$S$3:$S$501,"=34")</f>
        <v>0</v>
      </c>
      <c r="V8" s="153">
        <f>SUMIFS('Unos rashoda i izdataka'!$J$3:$J$506,'Unos rashoda i izdataka'!$C$3:$C$506,"=71",'Unos rashoda i izdataka'!$P$3:$P$506,"=34")+SUMIFS('Unos rashoda P4'!$H$3:$H$501,'Unos rashoda P4'!$A$3:$A$501,"=71",'Unos rashoda P4'!$S$3:$S$501,"=34")</f>
        <v>0</v>
      </c>
      <c r="W8" s="153">
        <f>SUMIFS('Unos rashoda i izdataka'!$J$3:$J$506,'Unos rashoda i izdataka'!$C$3:$C$506,"=81",'Unos rashoda i izdataka'!$P$3:$P$506,"=34")+SUMIFS('Unos rashoda P4'!$H$3:$H$501,'Unos rashoda P4'!$A$3:$A$501,"=81",'Unos rashoda P4'!$S$3:$S$501,"=34")</f>
        <v>0</v>
      </c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</row>
    <row r="9" spans="1:43" ht="12" customHeight="1">
      <c r="A9" s="143">
        <v>2023</v>
      </c>
      <c r="B9" s="155">
        <v>35</v>
      </c>
      <c r="C9" s="156" t="s">
        <v>3669</v>
      </c>
      <c r="D9" s="157">
        <f t="shared" si="0"/>
        <v>0</v>
      </c>
      <c r="E9" s="153">
        <f>SUMIFS('Unos rashoda i izdataka'!$J$3:$J$506,'Unos rashoda i izdataka'!$C$3:$C$506,"=11",'Unos rashoda i izdataka'!$P$3:$P$506,"=35")+SUMIFS('Unos rashoda P4'!$H$3:$H$501,'Unos rashoda P4'!$A$3:$A$501,"=11",'Unos rashoda P4'!$S$3:$S$501,"=35")</f>
        <v>0</v>
      </c>
      <c r="F9" s="153">
        <f>SUMIFS('Unos rashoda i izdataka'!$J$3:$J$506,'Unos rashoda i izdataka'!$C$3:$C$506,"=12",'Unos rashoda i izdataka'!$P$3:$P$506,"=35")+SUMIFS('Unos rashoda P4'!$H$3:$H$501,'Unos rashoda P4'!$A$3:$A$501,"=12",'Unos rashoda P4'!$S$3:$S$501,"=35")</f>
        <v>0</v>
      </c>
      <c r="G9" s="153">
        <f>SUMIFS('Unos rashoda i izdataka'!$J$3:$J$506,'Unos rashoda i izdataka'!$C$3:$C$506,"=31",'Unos rashoda i izdataka'!$P$3:$P$506,"=35")+SUMIFS('Unos rashoda P4'!$H$3:$H$501,'Unos rashoda P4'!$A$3:$A$501,"=31",'Unos rashoda P4'!$S$3:$S$501,"=35")</f>
        <v>0</v>
      </c>
      <c r="H9" s="153">
        <f>SUMIFS('Unos rashoda i izdataka'!$J$3:$J$506,'Unos rashoda i izdataka'!$C$3:$C$506,"=41",'Unos rashoda i izdataka'!$P$3:$P$506,"=35")+SUMIFS('Unos rashoda P4'!$H$3:$H$501,'Unos rashoda P4'!$A$3:$A$501,"=41",'Unos rashoda P4'!$S$3:$S$501,"=35")</f>
        <v>0</v>
      </c>
      <c r="I9" s="153">
        <f>SUMIFS('Unos rashoda i izdataka'!$J$3:$J$506,'Unos rashoda i izdataka'!$C$3:$C$506,"=43",'Unos rashoda i izdataka'!$P$3:$P$506,"=35")+SUMIFS('Unos rashoda P4'!$H$3:$H$501,'Unos rashoda P4'!$A$3:$A$501,"=43",'Unos rashoda P4'!$S$3:$S$501,"=35")</f>
        <v>0</v>
      </c>
      <c r="J9" s="153">
        <f>SUMIFS('Unos rashoda i izdataka'!$J$3:$J$506,'Unos rashoda i izdataka'!$C$3:$C$506,"=51",'Unos rashoda i izdataka'!$P$3:$P$506,"=35")+SUMIFS('Unos rashoda P4'!$H$3:$H$501,'Unos rashoda P4'!$A$3:$A$501,"=51",'Unos rashoda P4'!$S$3:$S$501,"=35")</f>
        <v>0</v>
      </c>
      <c r="K9" s="153">
        <f>SUMIFS('Unos rashoda i izdataka'!$J$3:$J$506,'Unos rashoda i izdataka'!$C$3:$C$506,"=52",'Unos rashoda i izdataka'!$P$3:$P$506,"=35")+SUMIFS('Unos rashoda P4'!$H$3:$H$501,'Unos rashoda P4'!$A$3:$A$501,"=52",'Unos rashoda P4'!$S$3:$S$501,"=35")</f>
        <v>0</v>
      </c>
      <c r="L9" s="153">
        <f>SUMIFS('Unos rashoda i izdataka'!$J$3:$J$506,'Unos rashoda i izdataka'!$C$3:$C$506,"=552",'Unos rashoda i izdataka'!$P$3:$P$506,"=35")+SUMIFS('Unos rashoda P4'!$H$3:$H$501,'Unos rashoda P4'!$A$3:$A$501,"=552",'Unos rashoda P4'!$S$3:$S$501,"=35")</f>
        <v>0</v>
      </c>
      <c r="M9" s="153">
        <f>SUMIFS('Unos rashoda i izdataka'!$J$3:$J$506,'Unos rashoda i izdataka'!$C$3:$C$506,"=559",'Unos rashoda i izdataka'!$P$3:$P$506,"=35")+SUMIFS('Unos rashoda P4'!$H$3:$H$501,'Unos rashoda P4'!$A$3:$A$501,"=559",'Unos rashoda P4'!$S$3:$S$501,"=35")</f>
        <v>0</v>
      </c>
      <c r="N9" s="153">
        <f>SUMIFS('Unos rashoda i izdataka'!$J$3:$J$506,'Unos rashoda i izdataka'!$C$3:$C$506,"=561",'Unos rashoda i izdataka'!$P$3:$P$506,"=35")+SUMIFS('Unos rashoda P4'!$H$3:$H$501,'Unos rashoda P4'!$A$3:$A$501,"=561",'Unos rashoda P4'!$S$3:$S$501,"=35")</f>
        <v>0</v>
      </c>
      <c r="O9" s="153">
        <f>SUMIFS('Unos rashoda i izdataka'!$J$3:$J$506,'Unos rashoda i izdataka'!$C$3:$C$506,"=563",'Unos rashoda i izdataka'!$P$3:$P$506,"=35")+SUMIFS('Unos rashoda P4'!$H$3:$H$501,'Unos rashoda P4'!$A$3:$A$501,"=563",'Unos rashoda P4'!$S$3:$S$501,"=35")</f>
        <v>0</v>
      </c>
      <c r="P9" s="153">
        <f>SUMIFS('Unos rashoda i izdataka'!$J$3:$J$506,'Unos rashoda i izdataka'!$C$3:$C$506,"=573",'Unos rashoda i izdataka'!$P$3:$P$506,"=35")+SUMIFS('Unos rashoda P4'!$H$3:$H$501,'Unos rashoda P4'!$A$3:$A$501,"=573",'Unos rashoda P4'!$S$3:$S$501,"=35")</f>
        <v>0</v>
      </c>
      <c r="Q9" s="153">
        <f>SUMIFS('Unos rashoda i izdataka'!$J$3:$J$506,'Unos rashoda i izdataka'!$C$3:$C$506,"=575",'Unos rashoda i izdataka'!$P$3:$P$506,"=35")+SUMIFS('Unos rashoda P4'!$H$3:$H$501,'Unos rashoda P4'!$A$3:$A$501,"=575",'Unos rashoda P4'!$S$3:$S$501,"=35")</f>
        <v>0</v>
      </c>
      <c r="R9" s="153">
        <f>SUMIFS('Unos rashoda i izdataka'!$J$3:$J$506,'Unos rashoda i izdataka'!$Q$3:$Q$506,"=576",'Unos rashoda i izdataka'!$P$3:$P$506,"=35")+SUMIFS('Unos rashoda P4'!$H$3:$H$501,'Unos rashoda P4'!$A$3:$A$501,"=576",'Unos rashoda P4'!$S$3:$S$501,"=35")</f>
        <v>0</v>
      </c>
      <c r="S9" s="153">
        <f>SUMIFS('Unos rashoda i izdataka'!$J$3:$J$506,'Unos rashoda i izdataka'!$C$3:$C$506,"=581",'Unos rashoda i izdataka'!$P$3:$P$506,"=35")+SUMIFS('Unos rashoda P4'!$H$3:$H$501,'Unos rashoda P4'!$A$3:$A$501,"=581",'Unos rashoda P4'!$S$3:$S$501,"=35")</f>
        <v>0</v>
      </c>
      <c r="T9" s="153">
        <f>SUMIFS('Unos rashoda i izdataka'!$J$3:$J$506,'Unos rashoda i izdataka'!$C$3:$C$506,"=61",'Unos rashoda i izdataka'!$P$3:$P$506,"=35")+SUMIFS('Unos rashoda P4'!$H$3:$H$501,'Unos rashoda P4'!$A$3:$A$501,"=61",'Unos rashoda P4'!$S$3:$S$501,"=35")</f>
        <v>0</v>
      </c>
      <c r="U9" s="153">
        <f>SUMIFS('Unos rashoda i izdataka'!$J$3:$J$506,'Unos rashoda i izdataka'!$C$3:$C$506,"=63",'Unos rashoda i izdataka'!$P$3:$P$506,"=35")+SUMIFS('Unos rashoda P4'!$H$3:$H$501,'Unos rashoda P4'!$A$3:$A$501,"=63",'Unos rashoda P4'!$S$3:$S$501,"=35")</f>
        <v>0</v>
      </c>
      <c r="V9" s="153">
        <f>SUMIFS('Unos rashoda i izdataka'!$J$3:$J$506,'Unos rashoda i izdataka'!$C$3:$C$506,"=71",'Unos rashoda i izdataka'!$P$3:$P$506,"=35")+SUMIFS('Unos rashoda P4'!$H$3:$H$501,'Unos rashoda P4'!$A$3:$A$501,"=71",'Unos rashoda P4'!$S$3:$S$501,"=35")</f>
        <v>0</v>
      </c>
      <c r="W9" s="153">
        <f>SUMIFS('Unos rashoda i izdataka'!$J$3:$J$506,'Unos rashoda i izdataka'!$C$3:$C$506,"=81",'Unos rashoda i izdataka'!$P$3:$P$506,"=35")+SUMIFS('Unos rashoda P4'!$H$3:$H$501,'Unos rashoda P4'!$A$3:$A$501,"=81",'Unos rashoda P4'!$S$3:$S$501,"=35")</f>
        <v>0</v>
      </c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</row>
    <row r="10" spans="1:43" ht="12" customHeight="1">
      <c r="A10" s="143">
        <v>2023</v>
      </c>
      <c r="B10" s="155">
        <v>36</v>
      </c>
      <c r="C10" s="158" t="s">
        <v>3670</v>
      </c>
      <c r="D10" s="157">
        <f t="shared" si="0"/>
        <v>271236</v>
      </c>
      <c r="E10" s="153">
        <f>SUMIFS('Unos rashoda i izdataka'!$J$3:$J$506,'Unos rashoda i izdataka'!$C$3:$C$506,"=11",'Unos rashoda i izdataka'!$P$3:$P$506,"=36")+SUMIFS('Unos rashoda P4'!$H$3:$H$501,'Unos rashoda P4'!$A$3:$A$501,"=11",'Unos rashoda P4'!$S$3:$S$501,"=36")</f>
        <v>0</v>
      </c>
      <c r="F10" s="153">
        <f>SUMIFS('Unos rashoda i izdataka'!$J$3:$J$506,'Unos rashoda i izdataka'!$C$3:$C$506,"=12",'Unos rashoda i izdataka'!$P$3:$P$506,"=36")+SUMIFS('Unos rashoda P4'!$H$3:$H$501,'Unos rashoda P4'!$A$3:$A$501,"=12",'Unos rashoda P4'!$S$3:$S$501,"=36")</f>
        <v>2627</v>
      </c>
      <c r="G10" s="153">
        <f>SUMIFS('Unos rashoda i izdataka'!$J$3:$J$506,'Unos rashoda i izdataka'!$C$3:$C$506,"=31",'Unos rashoda i izdataka'!$P$3:$P$506,"=36")+SUMIFS('Unos rashoda P4'!$H$3:$H$501,'Unos rashoda P4'!$A$3:$A$501,"=31",'Unos rashoda P4'!$S$3:$S$501,"=36")</f>
        <v>0</v>
      </c>
      <c r="H10" s="153">
        <f>SUMIFS('Unos rashoda i izdataka'!$J$3:$J$506,'Unos rashoda i izdataka'!$C$3:$C$506,"=41",'Unos rashoda i izdataka'!$P$3:$P$506,"=36")+SUMIFS('Unos rashoda P4'!$H$3:$H$501,'Unos rashoda P4'!$A$3:$A$501,"=41",'Unos rashoda P4'!$S$3:$S$501,"=36")</f>
        <v>0</v>
      </c>
      <c r="I10" s="153">
        <f>SUMIFS('Unos rashoda i izdataka'!$J$3:$J$506,'Unos rashoda i izdataka'!$C$3:$C$506,"=43",'Unos rashoda i izdataka'!$P$3:$P$506,"=36")+SUMIFS('Unos rashoda P4'!$H$3:$H$501,'Unos rashoda P4'!$A$3:$A$501,"=43",'Unos rashoda P4'!$S$3:$S$501,"=36")</f>
        <v>0</v>
      </c>
      <c r="J10" s="153">
        <f>SUMIFS('Unos rashoda i izdataka'!$J$3:$J$506,'Unos rashoda i izdataka'!$C$3:$C$506,"=51",'Unos rashoda i izdataka'!$P$3:$P$506,"=36")+SUMIFS('Unos rashoda P4'!$H$3:$H$501,'Unos rashoda P4'!$A$3:$A$501,"=51",'Unos rashoda P4'!$S$3:$S$501,"=36")</f>
        <v>250000</v>
      </c>
      <c r="K10" s="153">
        <f>SUMIFS('Unos rashoda i izdataka'!$J$3:$J$506,'Unos rashoda i izdataka'!$C$3:$C$506,"=52",'Unos rashoda i izdataka'!$P$3:$P$506,"=36")+SUMIFS('Unos rashoda P4'!$H$3:$H$501,'Unos rashoda P4'!$A$3:$A$501,"=52",'Unos rashoda P4'!$S$3:$S$501,"=36")</f>
        <v>0</v>
      </c>
      <c r="L10" s="153">
        <f>SUMIFS('Unos rashoda i izdataka'!$J$3:$J$506,'Unos rashoda i izdataka'!$C$3:$C$506,"=552",'Unos rashoda i izdataka'!$P$3:$P$506,"=36")+SUMIFS('Unos rashoda P4'!$H$3:$H$501,'Unos rashoda P4'!$A$3:$A$501,"=552",'Unos rashoda P4'!$S$3:$S$501,"=36")</f>
        <v>0</v>
      </c>
      <c r="M10" s="153">
        <f>SUMIFS('Unos rashoda i izdataka'!$J$3:$J$506,'Unos rashoda i izdataka'!$C$3:$C$506,"=559",'Unos rashoda i izdataka'!$P$3:$P$506,"=36")+SUMIFS('Unos rashoda P4'!$H$3:$H$501,'Unos rashoda P4'!$A$3:$A$501,"=559",'Unos rashoda P4'!$S$3:$S$501,"=36")</f>
        <v>0</v>
      </c>
      <c r="N10" s="153">
        <f>SUMIFS('Unos rashoda i izdataka'!$J$3:$J$506,'Unos rashoda i izdataka'!$C$3:$C$506,"=561",'Unos rashoda i izdataka'!$P$3:$P$506,"=36")+SUMIFS('Unos rashoda P4'!$H$3:$H$501,'Unos rashoda P4'!$A$3:$A$501,"=561",'Unos rashoda P4'!$S$3:$S$501,"=36")</f>
        <v>0</v>
      </c>
      <c r="O10" s="153">
        <f>SUMIFS('Unos rashoda i izdataka'!$J$3:$J$506,'Unos rashoda i izdataka'!$C$3:$C$506,"=563",'Unos rashoda i izdataka'!$P$3:$P$506,"=36")+SUMIFS('Unos rashoda P4'!$H$3:$H$501,'Unos rashoda P4'!$A$3:$A$501,"=563",'Unos rashoda P4'!$S$3:$S$501,"=36")</f>
        <v>18609</v>
      </c>
      <c r="P10" s="153">
        <f>SUMIFS('Unos rashoda i izdataka'!$J$3:$J$506,'Unos rashoda i izdataka'!$C$3:$C$506,"=573",'Unos rashoda i izdataka'!$P$3:$P$506,"=36")+SUMIFS('Unos rashoda P4'!$H$3:$H$501,'Unos rashoda P4'!$A$3:$A$501,"=573",'Unos rashoda P4'!$S$3:$S$501,"=36")</f>
        <v>0</v>
      </c>
      <c r="Q10" s="153">
        <f>SUMIFS('Unos rashoda i izdataka'!$J$3:$J$506,'Unos rashoda i izdataka'!$C$3:$C$506,"=575",'Unos rashoda i izdataka'!$P$3:$P$506,"=36")+SUMIFS('Unos rashoda P4'!$H$3:$H$501,'Unos rashoda P4'!$A$3:$A$501,"=575",'Unos rashoda P4'!$S$3:$S$501,"=36")</f>
        <v>0</v>
      </c>
      <c r="R10" s="153">
        <f>SUMIFS('Unos rashoda i izdataka'!$J$3:$J$506,'Unos rashoda i izdataka'!$Q$3:$Q$506,"=576",'Unos rashoda i izdataka'!$P$3:$P$506,"=36")+SUMIFS('Unos rashoda P4'!$H$3:$H$501,'Unos rashoda P4'!$A$3:$A$501,"=576",'Unos rashoda P4'!$S$3:$S$501,"=36")</f>
        <v>0</v>
      </c>
      <c r="S10" s="153">
        <f>SUMIFS('Unos rashoda i izdataka'!$J$3:$J$506,'Unos rashoda i izdataka'!$C$3:$C$506,"=581",'Unos rashoda i izdataka'!$P$3:$P$506,"=36")+SUMIFS('Unos rashoda P4'!$H$3:$H$501,'Unos rashoda P4'!$A$3:$A$501,"=581",'Unos rashoda P4'!$S$3:$S$501,"=36")</f>
        <v>0</v>
      </c>
      <c r="T10" s="153">
        <f>SUMIFS('Unos rashoda i izdataka'!$J$3:$J$506,'Unos rashoda i izdataka'!$C$3:$C$506,"=61",'Unos rashoda i izdataka'!$P$3:$P$506,"=36")+SUMIFS('Unos rashoda P4'!$H$3:$H$501,'Unos rashoda P4'!$A$3:$A$501,"=61",'Unos rashoda P4'!$S$3:$S$501,"=36")</f>
        <v>0</v>
      </c>
      <c r="U10" s="153">
        <f>SUMIFS('Unos rashoda i izdataka'!$J$3:$J$506,'Unos rashoda i izdataka'!$C$3:$C$506,"=63",'Unos rashoda i izdataka'!$P$3:$P$506,"=36")+SUMIFS('Unos rashoda P4'!$H$3:$H$501,'Unos rashoda P4'!$A$3:$A$501,"=63",'Unos rashoda P4'!$S$3:$S$501,"=36")</f>
        <v>0</v>
      </c>
      <c r="V10" s="153">
        <f>SUMIFS('Unos rashoda i izdataka'!$J$3:$J$506,'Unos rashoda i izdataka'!$C$3:$C$506,"=71",'Unos rashoda i izdataka'!$P$3:$P$506,"=36")+SUMIFS('Unos rashoda P4'!$H$3:$H$501,'Unos rashoda P4'!$A$3:$A$501,"=71",'Unos rashoda P4'!$S$3:$S$501,"=36")</f>
        <v>0</v>
      </c>
      <c r="W10" s="153">
        <f>SUMIFS('Unos rashoda i izdataka'!$J$3:$J$506,'Unos rashoda i izdataka'!$C$3:$C$506,"=81",'Unos rashoda i izdataka'!$P$3:$P$506,"=36")+SUMIFS('Unos rashoda P4'!$H$3:$H$501,'Unos rashoda P4'!$A$3:$A$501,"=81",'Unos rashoda P4'!$S$3:$S$501,"=36")</f>
        <v>0</v>
      </c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</row>
    <row r="11" spans="1:43" ht="12" customHeight="1">
      <c r="A11" s="143">
        <v>2023</v>
      </c>
      <c r="B11" s="155">
        <v>37</v>
      </c>
      <c r="C11" s="156" t="s">
        <v>3671</v>
      </c>
      <c r="D11" s="157">
        <f t="shared" si="0"/>
        <v>21431</v>
      </c>
      <c r="E11" s="153">
        <f>SUMIFS('Unos rashoda i izdataka'!$J$3:$J$506,'Unos rashoda i izdataka'!$C$3:$C$506,"=11",'Unos rashoda i izdataka'!$P$3:$P$506,"=37")+SUMIFS('Unos rashoda P4'!$H$3:$H$501,'Unos rashoda P4'!$A$3:$A$501,"=11",'Unos rashoda P4'!$S$3:$S$501,"=37")</f>
        <v>6549</v>
      </c>
      <c r="F11" s="153">
        <f>SUMIFS('Unos rashoda i izdataka'!$J$3:$J$506,'Unos rashoda i izdataka'!$C$3:$C$506,"=12",'Unos rashoda i izdataka'!$P$3:$P$506,"=37")+SUMIFS('Unos rashoda P4'!$H$3:$H$501,'Unos rashoda P4'!$A$3:$A$501,"=12",'Unos rashoda P4'!$S$3:$S$501,"=37")</f>
        <v>0</v>
      </c>
      <c r="G11" s="153">
        <f>SUMIFS('Unos rashoda i izdataka'!$J$3:$J$506,'Unos rashoda i izdataka'!$C$3:$C$506,"=31",'Unos rashoda i izdataka'!$P$3:$P$506,"=37")+SUMIFS('Unos rashoda P4'!$H$3:$H$501,'Unos rashoda P4'!$A$3:$A$501,"=31",'Unos rashoda P4'!$S$3:$S$501,"=37")</f>
        <v>14722</v>
      </c>
      <c r="H11" s="153">
        <f>SUMIFS('Unos rashoda i izdataka'!$J$3:$J$506,'Unos rashoda i izdataka'!$C$3:$C$506,"=41",'Unos rashoda i izdataka'!$P$3:$P$506,"=37")+SUMIFS('Unos rashoda P4'!$H$3:$H$501,'Unos rashoda P4'!$A$3:$A$501,"=41",'Unos rashoda P4'!$S$3:$S$501,"=37")</f>
        <v>0</v>
      </c>
      <c r="I11" s="153">
        <f>SUMIFS('Unos rashoda i izdataka'!$J$3:$J$506,'Unos rashoda i izdataka'!$C$3:$C$506,"=43",'Unos rashoda i izdataka'!$P$3:$P$506,"=37")+SUMIFS('Unos rashoda P4'!$H$3:$H$501,'Unos rashoda P4'!$A$3:$A$501,"=43",'Unos rashoda P4'!$S$3:$S$501,"=37")</f>
        <v>0</v>
      </c>
      <c r="J11" s="153">
        <f>SUMIFS('Unos rashoda i izdataka'!$J$3:$J$506,'Unos rashoda i izdataka'!$C$3:$C$506,"=51",'Unos rashoda i izdataka'!$P$3:$P$506,"=37")+SUMIFS('Unos rashoda P4'!$H$3:$H$501,'Unos rashoda P4'!$A$3:$A$501,"=51",'Unos rashoda P4'!$S$3:$S$501,"=37")</f>
        <v>0</v>
      </c>
      <c r="K11" s="153">
        <f>SUMIFS('Unos rashoda i izdataka'!$J$3:$J$506,'Unos rashoda i izdataka'!$C$3:$C$506,"=52",'Unos rashoda i izdataka'!$P$3:$P$506,"=37")+SUMIFS('Unos rashoda P4'!$H$3:$H$501,'Unos rashoda P4'!$A$3:$A$501,"=52",'Unos rashoda P4'!$S$3:$S$501,"=37")</f>
        <v>0</v>
      </c>
      <c r="L11" s="153">
        <f>SUMIFS('Unos rashoda i izdataka'!$J$3:$J$506,'Unos rashoda i izdataka'!$C$3:$C$506,"=552",'Unos rashoda i izdataka'!$P$3:$P$506,"=37")+SUMIFS('Unos rashoda P4'!$H$3:$H$501,'Unos rashoda P4'!$A$3:$A$501,"=552",'Unos rashoda P4'!$S$3:$S$501,"=37")</f>
        <v>0</v>
      </c>
      <c r="M11" s="153">
        <f>SUMIFS('Unos rashoda i izdataka'!$J$3:$J$506,'Unos rashoda i izdataka'!$C$3:$C$506,"=559",'Unos rashoda i izdataka'!$P$3:$P$506,"=37")+SUMIFS('Unos rashoda P4'!$H$3:$H$501,'Unos rashoda P4'!$A$3:$A$501,"=559",'Unos rashoda P4'!$S$3:$S$501,"=37")</f>
        <v>0</v>
      </c>
      <c r="N11" s="153">
        <f>SUMIFS('Unos rashoda i izdataka'!$J$3:$J$506,'Unos rashoda i izdataka'!$C$3:$C$506,"=561",'Unos rashoda i izdataka'!$P$3:$P$506,"=37")+SUMIFS('Unos rashoda P4'!$H$3:$H$501,'Unos rashoda P4'!$A$3:$A$501,"=561",'Unos rashoda P4'!$S$3:$S$501,"=37")</f>
        <v>0</v>
      </c>
      <c r="O11" s="153">
        <f>SUMIFS('Unos rashoda i izdataka'!$J$3:$J$506,'Unos rashoda i izdataka'!$C$3:$C$506,"=563",'Unos rashoda i izdataka'!$P$3:$P$506,"=37")+SUMIFS('Unos rashoda P4'!$H$3:$H$501,'Unos rashoda P4'!$A$3:$A$501,"=563",'Unos rashoda P4'!$S$3:$S$501,"=37")</f>
        <v>0</v>
      </c>
      <c r="P11" s="153">
        <f>SUMIFS('Unos rashoda i izdataka'!$J$3:$J$506,'Unos rashoda i izdataka'!$C$3:$C$506,"=573",'Unos rashoda i izdataka'!$P$3:$P$506,"=37")+SUMIFS('Unos rashoda P4'!$H$3:$H$501,'Unos rashoda P4'!$A$3:$A$501,"=573",'Unos rashoda P4'!$S$3:$S$501,"=37")</f>
        <v>0</v>
      </c>
      <c r="Q11" s="153">
        <f>SUMIFS('Unos rashoda i izdataka'!$J$3:$J$506,'Unos rashoda i izdataka'!$C$3:$C$506,"=575",'Unos rashoda i izdataka'!$P$3:$P$506,"=37")+SUMIFS('Unos rashoda P4'!$H$3:$H$501,'Unos rashoda P4'!$A$3:$A$501,"=575",'Unos rashoda P4'!$S$3:$S$501,"=37")</f>
        <v>0</v>
      </c>
      <c r="R11" s="153">
        <f>SUMIFS('Unos rashoda i izdataka'!$J$3:$J$506,'Unos rashoda i izdataka'!$Q$3:$Q$506,"=576",'Unos rashoda i izdataka'!$P$3:$P$506,"=37")+SUMIFS('Unos rashoda P4'!$H$3:$H$501,'Unos rashoda P4'!$A$3:$A$501,"=576",'Unos rashoda P4'!$S$3:$S$501,"=37")</f>
        <v>0</v>
      </c>
      <c r="S11" s="153">
        <f>SUMIFS('Unos rashoda i izdataka'!$J$3:$J$506,'Unos rashoda i izdataka'!$C$3:$C$506,"=581",'Unos rashoda i izdataka'!$P$3:$P$506,"=37")+SUMIFS('Unos rashoda P4'!$H$3:$H$501,'Unos rashoda P4'!$A$3:$A$501,"=581",'Unos rashoda P4'!$S$3:$S$501,"=37")</f>
        <v>0</v>
      </c>
      <c r="T11" s="153">
        <f>SUMIFS('Unos rashoda i izdataka'!$J$3:$J$506,'Unos rashoda i izdataka'!$C$3:$C$506,"=61",'Unos rashoda i izdataka'!$P$3:$P$506,"=37")+SUMIFS('Unos rashoda P4'!$H$3:$H$501,'Unos rashoda P4'!$A$3:$A$501,"=61",'Unos rashoda P4'!$S$3:$S$501,"=37")</f>
        <v>160</v>
      </c>
      <c r="U11" s="153">
        <f>SUMIFS('Unos rashoda i izdataka'!$J$3:$J$506,'Unos rashoda i izdataka'!$C$3:$C$506,"=63",'Unos rashoda i izdataka'!$P$3:$P$506,"=37")+SUMIFS('Unos rashoda P4'!$H$3:$H$501,'Unos rashoda P4'!$A$3:$A$501,"=63",'Unos rashoda P4'!$S$3:$S$501,"=37")</f>
        <v>0</v>
      </c>
      <c r="V11" s="153">
        <f>SUMIFS('Unos rashoda i izdataka'!$J$3:$J$506,'Unos rashoda i izdataka'!$C$3:$C$506,"=71",'Unos rashoda i izdataka'!$P$3:$P$506,"=37")+SUMIFS('Unos rashoda P4'!$H$3:$H$501,'Unos rashoda P4'!$A$3:$A$501,"=71",'Unos rashoda P4'!$S$3:$S$501,"=37")</f>
        <v>0</v>
      </c>
      <c r="W11" s="153">
        <f>SUMIFS('Unos rashoda i izdataka'!$J$3:$J$506,'Unos rashoda i izdataka'!$C$3:$C$506,"=81",'Unos rashoda i izdataka'!$P$3:$P$506,"=37")+SUMIFS('Unos rashoda P4'!$H$3:$H$501,'Unos rashoda P4'!$A$3:$A$501,"=81",'Unos rashoda P4'!$S$3:$S$501,"=37")</f>
        <v>0</v>
      </c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</row>
    <row r="12" spans="1:43" ht="12" customHeight="1">
      <c r="A12" s="143">
        <v>2023</v>
      </c>
      <c r="B12" s="155">
        <v>38</v>
      </c>
      <c r="C12" s="156" t="s">
        <v>3672</v>
      </c>
      <c r="D12" s="157">
        <f t="shared" si="0"/>
        <v>0</v>
      </c>
      <c r="E12" s="153">
        <f>SUMIFS('Unos rashoda i izdataka'!$J$3:$J$506,'Unos rashoda i izdataka'!$C$3:$C$506,"=11",'Unos rashoda i izdataka'!$P$3:$P$506,"=38")+SUMIFS('Unos rashoda P4'!$H$3:$H$501,'Unos rashoda P4'!$A$3:$A$501,"=11",'Unos rashoda P4'!$S$3:$S$501,"=38")</f>
        <v>0</v>
      </c>
      <c r="F12" s="153">
        <f>SUMIFS('Unos rashoda i izdataka'!$J$3:$J$506,'Unos rashoda i izdataka'!$C$3:$C$506,"=12",'Unos rashoda i izdataka'!$P$3:$P$506,"=38")+SUMIFS('Unos rashoda P4'!$H$3:$H$501,'Unos rashoda P4'!$A$3:$A$501,"=12",'Unos rashoda P4'!$S$3:$S$501,"=38")</f>
        <v>0</v>
      </c>
      <c r="G12" s="153">
        <f>SUMIFS('Unos rashoda i izdataka'!$J$3:$J$506,'Unos rashoda i izdataka'!$C$3:$C$506,"=31",'Unos rashoda i izdataka'!$P$3:$P$506,"=38")+SUMIFS('Unos rashoda P4'!$H$3:$H$501,'Unos rashoda P4'!$A$3:$A$501,"=31",'Unos rashoda P4'!$S$3:$S$501,"=38")</f>
        <v>0</v>
      </c>
      <c r="H12" s="153">
        <f>SUMIFS('Unos rashoda i izdataka'!$J$3:$J$506,'Unos rashoda i izdataka'!$C$3:$C$506,"=41",'Unos rashoda i izdataka'!$P$3:$P$506,"=38")+SUMIFS('Unos rashoda P4'!$H$3:$H$501,'Unos rashoda P4'!$A$3:$A$501,"=41",'Unos rashoda P4'!$S$3:$S$501,"=38")</f>
        <v>0</v>
      </c>
      <c r="I12" s="153">
        <f>SUMIFS('Unos rashoda i izdataka'!$J$3:$J$506,'Unos rashoda i izdataka'!$C$3:$C$506,"=43",'Unos rashoda i izdataka'!$P$3:$P$506,"=38")+SUMIFS('Unos rashoda P4'!$H$3:$H$501,'Unos rashoda P4'!$A$3:$A$501,"=43",'Unos rashoda P4'!$S$3:$S$501,"=38")</f>
        <v>0</v>
      </c>
      <c r="J12" s="153">
        <f>SUMIFS('Unos rashoda i izdataka'!$J$3:$J$506,'Unos rashoda i izdataka'!$C$3:$C$506,"=51",'Unos rashoda i izdataka'!$P$3:$P$506,"=38")+SUMIFS('Unos rashoda P4'!$H$3:$H$501,'Unos rashoda P4'!$A$3:$A$501,"=51",'Unos rashoda P4'!$S$3:$S$501,"=38")</f>
        <v>0</v>
      </c>
      <c r="K12" s="153">
        <f>SUMIFS('Unos rashoda i izdataka'!$J$3:$J$506,'Unos rashoda i izdataka'!$C$3:$C$506,"=52",'Unos rashoda i izdataka'!$P$3:$P$506,"=38")+SUMIFS('Unos rashoda P4'!$H$3:$H$501,'Unos rashoda P4'!$A$3:$A$501,"=52",'Unos rashoda P4'!$S$3:$S$501,"=38")</f>
        <v>0</v>
      </c>
      <c r="L12" s="153">
        <f>SUMIFS('Unos rashoda i izdataka'!$J$3:$J$506,'Unos rashoda i izdataka'!$C$3:$C$506,"=552",'Unos rashoda i izdataka'!$P$3:$P$506,"=38")+SUMIFS('Unos rashoda P4'!$H$3:$H$501,'Unos rashoda P4'!$A$3:$A$501,"=552",'Unos rashoda P4'!$S$3:$S$501,"=38")</f>
        <v>0</v>
      </c>
      <c r="M12" s="153">
        <f>SUMIFS('Unos rashoda i izdataka'!$J$3:$J$506,'Unos rashoda i izdataka'!$C$3:$C$506,"=559",'Unos rashoda i izdataka'!$P$3:$P$506,"=38")+SUMIFS('Unos rashoda P4'!$H$3:$H$501,'Unos rashoda P4'!$A$3:$A$501,"=559",'Unos rashoda P4'!$S$3:$S$501,"=38")</f>
        <v>0</v>
      </c>
      <c r="N12" s="153">
        <f>SUMIFS('Unos rashoda i izdataka'!$J$3:$J$506,'Unos rashoda i izdataka'!$C$3:$C$506,"=561",'Unos rashoda i izdataka'!$P$3:$P$506,"=38")+SUMIFS('Unos rashoda P4'!$H$3:$H$501,'Unos rashoda P4'!$A$3:$A$501,"=561",'Unos rashoda P4'!$S$3:$S$501,"=38")</f>
        <v>0</v>
      </c>
      <c r="O12" s="153">
        <f>SUMIFS('Unos rashoda i izdataka'!$J$3:$J$506,'Unos rashoda i izdataka'!$C$3:$C$506,"=563",'Unos rashoda i izdataka'!$P$3:$P$506,"=38")+SUMIFS('Unos rashoda P4'!$H$3:$H$501,'Unos rashoda P4'!$A$3:$A$501,"=563",'Unos rashoda P4'!$S$3:$S$501,"=38")</f>
        <v>0</v>
      </c>
      <c r="P12" s="153">
        <f>SUMIFS('Unos rashoda i izdataka'!$J$3:$J$506,'Unos rashoda i izdataka'!$C$3:$C$506,"=573",'Unos rashoda i izdataka'!$P$3:$P$506,"=38")+SUMIFS('Unos rashoda P4'!$H$3:$H$501,'Unos rashoda P4'!$A$3:$A$501,"=573",'Unos rashoda P4'!$S$3:$S$501,"=38")</f>
        <v>0</v>
      </c>
      <c r="Q12" s="153">
        <f>SUMIFS('Unos rashoda i izdataka'!$J$3:$J$506,'Unos rashoda i izdataka'!$C$3:$C$506,"=575",'Unos rashoda i izdataka'!$P$3:$P$506,"=38")+SUMIFS('Unos rashoda P4'!$H$3:$H$501,'Unos rashoda P4'!$A$3:$A$501,"=575",'Unos rashoda P4'!$S$3:$S$501,"=38")</f>
        <v>0</v>
      </c>
      <c r="R12" s="153">
        <f>SUMIFS('Unos rashoda i izdataka'!$J$3:$J$506,'Unos rashoda i izdataka'!$Q$3:$Q$506,"=576",'Unos rashoda i izdataka'!$P$3:$P$506,"=38")+SUMIFS('Unos rashoda P4'!$H$3:$H$501,'Unos rashoda P4'!$A$3:$A$501,"=576",'Unos rashoda P4'!$S$3:$S$501,"=38")</f>
        <v>0</v>
      </c>
      <c r="S12" s="153">
        <f>SUMIFS('Unos rashoda i izdataka'!$J$3:$J$506,'Unos rashoda i izdataka'!$C$3:$C$506,"=581",'Unos rashoda i izdataka'!$P$3:$P$506,"=38")+SUMIFS('Unos rashoda P4'!$H$3:$H$501,'Unos rashoda P4'!$A$3:$A$501,"=581",'Unos rashoda P4'!$S$3:$S$501,"=38")</f>
        <v>0</v>
      </c>
      <c r="T12" s="153">
        <f>SUMIFS('Unos rashoda i izdataka'!$J$3:$J$506,'Unos rashoda i izdataka'!$C$3:$C$506,"=61",'Unos rashoda i izdataka'!$P$3:$P$506,"=38")+SUMIFS('Unos rashoda P4'!$H$3:$H$501,'Unos rashoda P4'!$A$3:$A$501,"=61",'Unos rashoda P4'!$S$3:$S$501,"=38")</f>
        <v>0</v>
      </c>
      <c r="U12" s="153">
        <f>SUMIFS('Unos rashoda i izdataka'!$J$3:$J$506,'Unos rashoda i izdataka'!$C$3:$C$506,"=63",'Unos rashoda i izdataka'!$P$3:$P$506,"=38")+SUMIFS('Unos rashoda P4'!$H$3:$H$501,'Unos rashoda P4'!$A$3:$A$501,"=63",'Unos rashoda P4'!$S$3:$S$501,"=38")</f>
        <v>0</v>
      </c>
      <c r="V12" s="153">
        <f>SUMIFS('Unos rashoda i izdataka'!$J$3:$J$506,'Unos rashoda i izdataka'!$C$3:$C$506,"=71",'Unos rashoda i izdataka'!$P$3:$P$506,"=38")+SUMIFS('Unos rashoda P4'!$H$3:$H$501,'Unos rashoda P4'!$A$3:$A$501,"=71",'Unos rashoda P4'!$S$3:$S$501,"=38")</f>
        <v>0</v>
      </c>
      <c r="W12" s="153">
        <f>SUMIFS('Unos rashoda i izdataka'!$J$3:$J$506,'Unos rashoda i izdataka'!$C$3:$C$506,"=81",'Unos rashoda i izdataka'!$P$3:$P$506,"=38")+SUMIFS('Unos rashoda P4'!$H$3:$H$501,'Unos rashoda P4'!$A$3:$A$501,"=81",'Unos rashoda P4'!$S$3:$S$501,"=38")</f>
        <v>0</v>
      </c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</row>
    <row r="13" spans="1:43" ht="12" customHeight="1">
      <c r="A13" s="143">
        <v>2023</v>
      </c>
      <c r="B13" s="159">
        <v>4</v>
      </c>
      <c r="C13" s="160" t="s">
        <v>3673</v>
      </c>
      <c r="D13" s="161">
        <f t="shared" si="0"/>
        <v>34882153.956105478</v>
      </c>
      <c r="E13" s="162">
        <f t="shared" ref="E13:W13" si="3">SUM(E14:E18)</f>
        <v>316744</v>
      </c>
      <c r="F13" s="162">
        <f t="shared" si="3"/>
        <v>3934866.208640255</v>
      </c>
      <c r="G13" s="162">
        <f t="shared" si="3"/>
        <v>311726</v>
      </c>
      <c r="H13" s="162">
        <f t="shared" si="3"/>
        <v>0</v>
      </c>
      <c r="I13" s="162">
        <f t="shared" si="3"/>
        <v>0</v>
      </c>
      <c r="J13" s="162">
        <f t="shared" si="3"/>
        <v>184186</v>
      </c>
      <c r="K13" s="162">
        <f t="shared" si="3"/>
        <v>940359</v>
      </c>
      <c r="L13" s="162">
        <f t="shared" si="3"/>
        <v>0</v>
      </c>
      <c r="M13" s="162">
        <f t="shared" si="3"/>
        <v>0</v>
      </c>
      <c r="N13" s="162">
        <f t="shared" si="3"/>
        <v>0</v>
      </c>
      <c r="O13" s="162">
        <f t="shared" si="3"/>
        <v>28961376.123764016</v>
      </c>
      <c r="P13" s="162">
        <f t="shared" si="3"/>
        <v>0</v>
      </c>
      <c r="Q13" s="162">
        <f t="shared" si="3"/>
        <v>0</v>
      </c>
      <c r="R13" s="162">
        <f t="shared" si="3"/>
        <v>210628.623701206</v>
      </c>
      <c r="S13" s="162">
        <f t="shared" si="3"/>
        <v>0</v>
      </c>
      <c r="T13" s="162">
        <f t="shared" si="3"/>
        <v>22268</v>
      </c>
      <c r="U13" s="162">
        <f t="shared" si="3"/>
        <v>0</v>
      </c>
      <c r="V13" s="162">
        <f t="shared" si="3"/>
        <v>0</v>
      </c>
      <c r="W13" s="162">
        <f t="shared" si="3"/>
        <v>0</v>
      </c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</row>
    <row r="14" spans="1:43" ht="12" customHeight="1">
      <c r="A14" s="143">
        <v>2023</v>
      </c>
      <c r="B14" s="150">
        <v>41</v>
      </c>
      <c r="C14" s="151" t="s">
        <v>3674</v>
      </c>
      <c r="D14" s="157">
        <f t="shared" si="0"/>
        <v>0</v>
      </c>
      <c r="E14" s="153">
        <f>SUMIFS('Unos rashoda i izdataka'!$J$3:$J$506,'Unos rashoda i izdataka'!$C$3:$C$506,"=11",'Unos rashoda i izdataka'!$P$3:$P$506,"=41")+SUMIFS('Unos rashoda P4'!$H$3:$H$501,'Unos rashoda P4'!$A$3:$A$501,"=11",'Unos rashoda P4'!$S$3:$S$501,"=41")</f>
        <v>0</v>
      </c>
      <c r="F14" s="153">
        <f>SUMIFS('Unos rashoda i izdataka'!$J$3:$J$506,'Unos rashoda i izdataka'!$C$3:$C$506,"=12",'Unos rashoda i izdataka'!$P$3:$P$506,"=41")+SUMIFS('Unos rashoda P4'!$H$3:$H$501,'Unos rashoda P4'!$A$3:$A$501,"=12",'Unos rashoda P4'!$S$3:$S$501,"=41")</f>
        <v>0</v>
      </c>
      <c r="G14" s="153">
        <f>SUMIFS('Unos rashoda i izdataka'!$J$3:$J$506,'Unos rashoda i izdataka'!$C$3:$C$506,"=31",'Unos rashoda i izdataka'!$P$3:$P$506,"=41")+SUMIFS('Unos rashoda P4'!$H$3:$H$501,'Unos rashoda P4'!$A$3:$A$501,"=31",'Unos rashoda P4'!$S$3:$S$501,"=41")</f>
        <v>0</v>
      </c>
      <c r="H14" s="153">
        <f>SUMIFS('Unos rashoda i izdataka'!$J$3:$J$506,'Unos rashoda i izdataka'!$C$3:$C$506,"=41",'Unos rashoda i izdataka'!$P$3:$P$506,"=41")+SUMIFS('Unos rashoda P4'!$H$3:$H$501,'Unos rashoda P4'!$A$3:$A$501,"=41",'Unos rashoda P4'!$S$3:$S$501,"=41")</f>
        <v>0</v>
      </c>
      <c r="I14" s="153">
        <f>SUMIFS('Unos rashoda i izdataka'!$J$3:$J$506,'Unos rashoda i izdataka'!$C$3:$C$506,"=43",'Unos rashoda i izdataka'!$P$3:$P$506,"=41")+SUMIFS('Unos rashoda P4'!$H$3:$H$501,'Unos rashoda P4'!$A$3:$A$501,"=43",'Unos rashoda P4'!$S$3:$S$501,"=41")</f>
        <v>0</v>
      </c>
      <c r="J14" s="153">
        <f>SUMIFS('Unos rashoda i izdataka'!$J$3:$J$506,'Unos rashoda i izdataka'!$C$3:$C$506,"=51",'Unos rashoda i izdataka'!$P$3:$P$506,"=41")+SUMIFS('Unos rashoda P4'!$H$3:$H$501,'Unos rashoda P4'!$A$3:$A$501,"=51",'Unos rashoda P4'!$S$3:$S$501,"=41")</f>
        <v>0</v>
      </c>
      <c r="K14" s="153">
        <f>SUMIFS('Unos rashoda i izdataka'!$J$3:$J$506,'Unos rashoda i izdataka'!$C$3:$C$506,"=52",'Unos rashoda i izdataka'!$P$3:$P$506,"=41")+SUMIFS('Unos rashoda P4'!$H$3:$H$501,'Unos rashoda P4'!$A$3:$A$501,"=52",'Unos rashoda P4'!$S$3:$S$501,"=41")</f>
        <v>0</v>
      </c>
      <c r="L14" s="153">
        <f>SUMIFS('Unos rashoda i izdataka'!$J$3:$J$506,'Unos rashoda i izdataka'!$C$3:$C$506,"=552",'Unos rashoda i izdataka'!$P$3:$P$506,"=41")+SUMIFS('Unos rashoda P4'!$H$3:$H$501,'Unos rashoda P4'!$A$3:$A$501,"=552",'Unos rashoda P4'!$S$3:$S$501,"=41")</f>
        <v>0</v>
      </c>
      <c r="M14" s="153">
        <f>SUMIFS('Unos rashoda i izdataka'!$J$3:$J$506,'Unos rashoda i izdataka'!$C$3:$C$506,"=559",'Unos rashoda i izdataka'!$P$3:$P$506,"=41")+SUMIFS('Unos rashoda P4'!$H$3:$H$501,'Unos rashoda P4'!$A$3:$A$501,"=559",'Unos rashoda P4'!$S$3:$S$501,"=41")</f>
        <v>0</v>
      </c>
      <c r="N14" s="153">
        <f>SUMIFS('Unos rashoda i izdataka'!$J$3:$J$506,'Unos rashoda i izdataka'!$C$3:$C$506,"=561",'Unos rashoda i izdataka'!$P$3:$P$506,"=41")+SUMIFS('Unos rashoda P4'!$H$3:$H$501,'Unos rashoda P4'!$A$3:$A$501,"=561",'Unos rashoda P4'!$S$3:$S$501,"=41")</f>
        <v>0</v>
      </c>
      <c r="O14" s="153">
        <f>SUMIFS('Unos rashoda i izdataka'!$J$3:$J$506,'Unos rashoda i izdataka'!$C$3:$C$506,"=563",'Unos rashoda i izdataka'!$P$3:$P$506,"=41")+SUMIFS('Unos rashoda P4'!$H$3:$H$501,'Unos rashoda P4'!$A$3:$A$501,"=563",'Unos rashoda P4'!$S$3:$S$501,"=41")</f>
        <v>0</v>
      </c>
      <c r="P14" s="153">
        <f>SUMIFS('Unos rashoda i izdataka'!$J$3:$J$506,'Unos rashoda i izdataka'!$C$3:$C$506,"=573",'Unos rashoda i izdataka'!$P$3:$P$506,"=41")+SUMIFS('Unos rashoda P4'!$H$3:$H$501,'Unos rashoda P4'!$A$3:$A$501,"=573",'Unos rashoda P4'!$S$3:$S$501,"=41")</f>
        <v>0</v>
      </c>
      <c r="Q14" s="153">
        <f>SUMIFS('Unos rashoda i izdataka'!$J$3:$J$506,'Unos rashoda i izdataka'!$C$3:$C$506,"=575",'Unos rashoda i izdataka'!$P$3:$P$506,"=41")+SUMIFS('Unos rashoda P4'!$H$3:$H$501,'Unos rashoda P4'!$A$3:$A$501,"=575",'Unos rashoda P4'!$S$3:$S$501,"=41")</f>
        <v>0</v>
      </c>
      <c r="R14" s="153">
        <f>SUMIFS('Unos rashoda i izdataka'!$J$3:$J$506,'Unos rashoda i izdataka'!$Q$3:$Q$506,"=576",'Unos rashoda i izdataka'!$P$3:$P$506,"=41")+SUMIFS('Unos rashoda P4'!$H$3:$H$501,'Unos rashoda P4'!$A$3:$A$501,"=576",'Unos rashoda P4'!$S$3:$S$501,"=41")</f>
        <v>0</v>
      </c>
      <c r="S14" s="153">
        <f>SUMIFS('Unos rashoda i izdataka'!$J$3:$J$506,'Unos rashoda i izdataka'!$C$3:$C$506,"=581",'Unos rashoda i izdataka'!$P$3:$P$506,"=41")+SUMIFS('Unos rashoda P4'!$H$3:$H$501,'Unos rashoda P4'!$A$3:$A$501,"=581",'Unos rashoda P4'!$S$3:$S$501,"=41")</f>
        <v>0</v>
      </c>
      <c r="T14" s="153">
        <f>SUMIFS('Unos rashoda i izdataka'!$J$3:$J$506,'Unos rashoda i izdataka'!$C$3:$C$506,"=61",'Unos rashoda i izdataka'!$P$3:$P$506,"=41")+SUMIFS('Unos rashoda P4'!$H$3:$H$501,'Unos rashoda P4'!$A$3:$A$501,"=61",'Unos rashoda P4'!$S$3:$S$501,"=41")</f>
        <v>0</v>
      </c>
      <c r="U14" s="153">
        <f>SUMIFS('Unos rashoda i izdataka'!$J$3:$J$506,'Unos rashoda i izdataka'!$C$3:$C$506,"=63",'Unos rashoda i izdataka'!$P$3:$P$506,"=41")+SUMIFS('Unos rashoda P4'!$H$3:$H$501,'Unos rashoda P4'!$A$3:$A$501,"=63",'Unos rashoda P4'!$S$3:$S$501,"=41")</f>
        <v>0</v>
      </c>
      <c r="V14" s="153">
        <f>SUMIFS('Unos rashoda i izdataka'!$J$3:$J$506,'Unos rashoda i izdataka'!$C$3:$C$506,"=71",'Unos rashoda i izdataka'!$P$3:$P$506,"=41")+SUMIFS('Unos rashoda P4'!$H$3:$H$501,'Unos rashoda P4'!$A$3:$A$501,"=71",'Unos rashoda P4'!$S$3:$S$501,"=41")</f>
        <v>0</v>
      </c>
      <c r="W14" s="153">
        <f>SUMIFS('Unos rashoda i izdataka'!$J$3:$J$506,'Unos rashoda i izdataka'!$C$3:$C$506,"=81",'Unos rashoda i izdataka'!$P$3:$P$506,"=41")+SUMIFS('Unos rashoda P4'!$H$3:$H$501,'Unos rashoda P4'!$A$3:$A$501,"=81",'Unos rashoda P4'!$S$3:$S$501,"=41")</f>
        <v>0</v>
      </c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</row>
    <row r="15" spans="1:43" ht="12" customHeight="1">
      <c r="A15" s="143">
        <v>2023</v>
      </c>
      <c r="B15" s="155">
        <v>42</v>
      </c>
      <c r="C15" s="156" t="s">
        <v>3675</v>
      </c>
      <c r="D15" s="157">
        <f t="shared" si="0"/>
        <v>34865316.956105478</v>
      </c>
      <c r="E15" s="153">
        <f>SUMIFS('Unos rashoda i izdataka'!$J$3:$J$506,'Unos rashoda i izdataka'!$C$3:$C$506,"=11",'Unos rashoda i izdataka'!$P$3:$P$506,"=42")+SUMIFS('Unos rashoda P4'!$H$3:$H$501,'Unos rashoda P4'!$A$3:$A$501,"=11",'Unos rashoda P4'!$S$3:$S$501,"=42")</f>
        <v>299907</v>
      </c>
      <c r="F15" s="153">
        <f>SUMIFS('Unos rashoda i izdataka'!$J$3:$J$506,'Unos rashoda i izdataka'!$C$3:$C$506,"=12",'Unos rashoda i izdataka'!$P$3:$P$506,"=42")+SUMIFS('Unos rashoda P4'!$H$3:$H$501,'Unos rashoda P4'!$A$3:$A$501,"=12",'Unos rashoda P4'!$S$3:$S$501,"=42")</f>
        <v>3934866.208640255</v>
      </c>
      <c r="G15" s="153">
        <f>SUMIFS('Unos rashoda i izdataka'!$J$3:$J$506,'Unos rashoda i izdataka'!$C$3:$C$506,"=31",'Unos rashoda i izdataka'!$P$3:$P$506,"=42")+SUMIFS('Unos rashoda P4'!$H$3:$H$501,'Unos rashoda P4'!$A$3:$A$501,"=31",'Unos rashoda P4'!$S$3:$S$501,"=42")</f>
        <v>311726</v>
      </c>
      <c r="H15" s="153">
        <f>SUMIFS('Unos rashoda i izdataka'!$J$3:$J$506,'Unos rashoda i izdataka'!$C$3:$C$506,"=41",'Unos rashoda i izdataka'!$P$3:$P$506,"=42")+SUMIFS('Unos rashoda P4'!$H$3:$H$501,'Unos rashoda P4'!$A$3:$A$501,"=41",'Unos rashoda P4'!$S$3:$S$501,"=42")</f>
        <v>0</v>
      </c>
      <c r="I15" s="153">
        <f>SUMIFS('Unos rashoda i izdataka'!$J$3:$J$506,'Unos rashoda i izdataka'!$C$3:$C$506,"=43",'Unos rashoda i izdataka'!$P$3:$P$506,"=42")+SUMIFS('Unos rashoda P4'!$H$3:$H$501,'Unos rashoda P4'!$A$3:$A$501,"=43",'Unos rashoda P4'!$S$3:$S$501,"=42")</f>
        <v>0</v>
      </c>
      <c r="J15" s="153">
        <f>SUMIFS('Unos rashoda i izdataka'!$J$3:$J$506,'Unos rashoda i izdataka'!$C$3:$C$506,"=51",'Unos rashoda i izdataka'!$P$3:$P$506,"=42")+SUMIFS('Unos rashoda P4'!$H$3:$H$501,'Unos rashoda P4'!$A$3:$A$501,"=51",'Unos rashoda P4'!$S$3:$S$501,"=42")</f>
        <v>184186</v>
      </c>
      <c r="K15" s="153">
        <f>SUMIFS('Unos rashoda i izdataka'!$J$3:$J$506,'Unos rashoda i izdataka'!$C$3:$C$506,"=52",'Unos rashoda i izdataka'!$P$3:$P$506,"=42")+SUMIFS('Unos rashoda P4'!$H$3:$H$501,'Unos rashoda P4'!$A$3:$A$501,"=52",'Unos rashoda P4'!$S$3:$S$501,"=42")</f>
        <v>940359</v>
      </c>
      <c r="L15" s="153">
        <f>SUMIFS('Unos rashoda i izdataka'!$J$3:$J$506,'Unos rashoda i izdataka'!$C$3:$C$506,"=552",'Unos rashoda i izdataka'!$P$3:$P$506,"=42")+SUMIFS('Unos rashoda P4'!$H$3:$H$501,'Unos rashoda P4'!$A$3:$A$501,"=552",'Unos rashoda P4'!$S$3:$S$501,"=42")</f>
        <v>0</v>
      </c>
      <c r="M15" s="153">
        <f>SUMIFS('Unos rashoda i izdataka'!$J$3:$J$506,'Unos rashoda i izdataka'!$C$3:$C$506,"=559",'Unos rashoda i izdataka'!$P$3:$P$506,"=42")+SUMIFS('Unos rashoda P4'!$H$3:$H$501,'Unos rashoda P4'!$A$3:$A$501,"=559",'Unos rashoda P4'!$S$3:$S$501,"=42")</f>
        <v>0</v>
      </c>
      <c r="N15" s="153">
        <f>SUMIFS('Unos rashoda i izdataka'!$J$3:$J$506,'Unos rashoda i izdataka'!$C$3:$C$506,"=561",'Unos rashoda i izdataka'!$P$3:$P$506,"=42")+SUMIFS('Unos rashoda P4'!$H$3:$H$501,'Unos rashoda P4'!$A$3:$A$501,"=561",'Unos rashoda P4'!$S$3:$S$501,"=42")</f>
        <v>0</v>
      </c>
      <c r="O15" s="153">
        <f>SUMIFS('Unos rashoda i izdataka'!$J$3:$J$506,'Unos rashoda i izdataka'!$C$3:$C$506,"=563",'Unos rashoda i izdataka'!$P$3:$P$506,"=42")+SUMIFS('Unos rashoda P4'!$H$3:$H$501,'Unos rashoda P4'!$A$3:$A$501,"=563",'Unos rashoda P4'!$S$3:$S$501,"=42")</f>
        <v>28961376.123764016</v>
      </c>
      <c r="P15" s="153">
        <f>SUMIFS('Unos rashoda i izdataka'!$J$3:$J$506,'Unos rashoda i izdataka'!$C$3:$C$506,"=573",'Unos rashoda i izdataka'!$P$3:$P$506,"=42")+SUMIFS('Unos rashoda P4'!$H$3:$H$501,'Unos rashoda P4'!$A$3:$A$501,"=573",'Unos rashoda P4'!$S$3:$S$501,"=42")</f>
        <v>0</v>
      </c>
      <c r="Q15" s="153">
        <f>SUMIFS('Unos rashoda i izdataka'!$J$3:$J$506,'Unos rashoda i izdataka'!$C$3:$C$506,"=575",'Unos rashoda i izdataka'!$P$3:$P$506,"=42")+SUMIFS('Unos rashoda P4'!$H$3:$H$501,'Unos rashoda P4'!$A$3:$A$501,"=575",'Unos rashoda P4'!$S$3:$S$501,"=42")</f>
        <v>0</v>
      </c>
      <c r="R15" s="153">
        <f>SUMIFS('Unos rashoda i izdataka'!$J$3:$J$506,'Unos rashoda i izdataka'!$Q$3:$Q$506,"=576",'Unos rashoda i izdataka'!$P$3:$P$506,"=42")+SUMIFS('Unos rashoda P4'!$H$3:$H$501,'Unos rashoda P4'!$A$3:$A$501,"=576",'Unos rashoda P4'!$S$3:$S$501,"=42")</f>
        <v>210628.623701206</v>
      </c>
      <c r="S15" s="153">
        <f>SUMIFS('Unos rashoda i izdataka'!$J$3:$J$506,'Unos rashoda i izdataka'!$C$3:$C$506,"=581",'Unos rashoda i izdataka'!$P$3:$P$506,"=42")+SUMIFS('Unos rashoda P4'!$H$3:$H$501,'Unos rashoda P4'!$A$3:$A$501,"=581",'Unos rashoda P4'!$S$3:$S$501,"=42")</f>
        <v>0</v>
      </c>
      <c r="T15" s="153">
        <f>SUMIFS('Unos rashoda i izdataka'!$J$3:$J$506,'Unos rashoda i izdataka'!$C$3:$C$506,"=61",'Unos rashoda i izdataka'!$P$3:$P$506,"=42")+SUMIFS('Unos rashoda P4'!$H$3:$H$501,'Unos rashoda P4'!$A$3:$A$501,"=61",'Unos rashoda P4'!$S$3:$S$501,"=42")</f>
        <v>22268</v>
      </c>
      <c r="U15" s="153">
        <f>SUMIFS('Unos rashoda i izdataka'!$J$3:$J$506,'Unos rashoda i izdataka'!$C$3:$C$506,"=63",'Unos rashoda i izdataka'!$P$3:$P$506,"=42")+SUMIFS('Unos rashoda P4'!$H$3:$H$501,'Unos rashoda P4'!$A$3:$A$501,"=63",'Unos rashoda P4'!$S$3:$S$501,"=42")</f>
        <v>0</v>
      </c>
      <c r="V15" s="153">
        <f>SUMIFS('Unos rashoda i izdataka'!$J$3:$J$506,'Unos rashoda i izdataka'!$C$3:$C$506,"=71",'Unos rashoda i izdataka'!$P$3:$P$506,"=42")+SUMIFS('Unos rashoda P4'!$H$3:$H$501,'Unos rashoda P4'!$A$3:$A$501,"=71",'Unos rashoda P4'!$S$3:$S$501,"=42")</f>
        <v>0</v>
      </c>
      <c r="W15" s="153">
        <f>SUMIFS('Unos rashoda i izdataka'!$J$3:$J$506,'Unos rashoda i izdataka'!$C$3:$C$506,"=81",'Unos rashoda i izdataka'!$P$3:$P$506,"=42")+SUMIFS('Unos rashoda P4'!$H$3:$H$501,'Unos rashoda P4'!$A$3:$A$501,"=81",'Unos rashoda P4'!$S$3:$S$501,"=42")</f>
        <v>0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</row>
    <row r="16" spans="1:43" ht="12" customHeight="1">
      <c r="A16" s="143">
        <v>2023</v>
      </c>
      <c r="B16" s="150">
        <v>43</v>
      </c>
      <c r="C16" s="151" t="s">
        <v>3676</v>
      </c>
      <c r="D16" s="157">
        <f t="shared" si="0"/>
        <v>0</v>
      </c>
      <c r="E16" s="153">
        <f>SUMIFS('Unos rashoda i izdataka'!$J$3:$J$506,'Unos rashoda i izdataka'!$C$3:$C$506,"=11",'Unos rashoda i izdataka'!$P$3:$P$506,"=43")+SUMIFS('Unos rashoda P4'!$H$3:$H$501,'Unos rashoda P4'!$A$3:$A$501,"=11",'Unos rashoda P4'!$S$3:$S$501,"=43")</f>
        <v>0</v>
      </c>
      <c r="F16" s="153">
        <f>SUMIFS('Unos rashoda i izdataka'!$J$3:$J$506,'Unos rashoda i izdataka'!$C$3:$C$506,"=12",'Unos rashoda i izdataka'!$P$3:$P$506,"=43")+SUMIFS('Unos rashoda P4'!$H$3:$H$501,'Unos rashoda P4'!$A$3:$A$501,"=12",'Unos rashoda P4'!$S$3:$S$501,"=43")</f>
        <v>0</v>
      </c>
      <c r="G16" s="153">
        <f>SUMIFS('Unos rashoda i izdataka'!$J$3:$J$506,'Unos rashoda i izdataka'!$C$3:$C$506,"=31",'Unos rashoda i izdataka'!$P$3:$P$506,"=43")+SUMIFS('Unos rashoda P4'!$H$3:$H$501,'Unos rashoda P4'!$A$3:$A$501,"=31",'Unos rashoda P4'!$S$3:$S$501,"=43")</f>
        <v>0</v>
      </c>
      <c r="H16" s="153">
        <f>SUMIFS('Unos rashoda i izdataka'!$J$3:$J$506,'Unos rashoda i izdataka'!$C$3:$C$506,"=41",'Unos rashoda i izdataka'!$P$3:$P$506,"=43")+SUMIFS('Unos rashoda P4'!$H$3:$H$501,'Unos rashoda P4'!$A$3:$A$501,"=41",'Unos rashoda P4'!$S$3:$S$501,"=43")</f>
        <v>0</v>
      </c>
      <c r="I16" s="153">
        <f>SUMIFS('Unos rashoda i izdataka'!$J$3:$J$506,'Unos rashoda i izdataka'!$C$3:$C$506,"=43",'Unos rashoda i izdataka'!$P$3:$P$506,"=43")+SUMIFS('Unos rashoda P4'!$H$3:$H$501,'Unos rashoda P4'!$A$3:$A$501,"=43",'Unos rashoda P4'!$S$3:$S$501,"=43")</f>
        <v>0</v>
      </c>
      <c r="J16" s="153">
        <f>SUMIFS('Unos rashoda i izdataka'!$J$3:$J$506,'Unos rashoda i izdataka'!$C$3:$C$506,"=51",'Unos rashoda i izdataka'!$P$3:$P$506,"=43")+SUMIFS('Unos rashoda P4'!$H$3:$H$501,'Unos rashoda P4'!$A$3:$A$501,"=51",'Unos rashoda P4'!$S$3:$S$501,"=43")</f>
        <v>0</v>
      </c>
      <c r="K16" s="153">
        <f>SUMIFS('Unos rashoda i izdataka'!$J$3:$J$506,'Unos rashoda i izdataka'!$C$3:$C$506,"=52",'Unos rashoda i izdataka'!$P$3:$P$506,"=43")+SUMIFS('Unos rashoda P4'!$H$3:$H$501,'Unos rashoda P4'!$A$3:$A$501,"=52",'Unos rashoda P4'!$S$3:$S$501,"=43")</f>
        <v>0</v>
      </c>
      <c r="L16" s="153">
        <f>SUMIFS('Unos rashoda i izdataka'!$J$3:$J$506,'Unos rashoda i izdataka'!$C$3:$C$506,"=552",'Unos rashoda i izdataka'!$P$3:$P$506,"=43")+SUMIFS('Unos rashoda P4'!$H$3:$H$501,'Unos rashoda P4'!$A$3:$A$501,"=552",'Unos rashoda P4'!$S$3:$S$501,"=43")</f>
        <v>0</v>
      </c>
      <c r="M16" s="153">
        <f>SUMIFS('Unos rashoda i izdataka'!$J$3:$J$506,'Unos rashoda i izdataka'!$C$3:$C$506,"=559",'Unos rashoda i izdataka'!$P$3:$P$506,"=43")+SUMIFS('Unos rashoda P4'!$H$3:$H$501,'Unos rashoda P4'!$A$3:$A$501,"=559",'Unos rashoda P4'!$S$3:$S$501,"=43")</f>
        <v>0</v>
      </c>
      <c r="N16" s="153">
        <f>SUMIFS('Unos rashoda i izdataka'!$J$3:$J$506,'Unos rashoda i izdataka'!$C$3:$C$506,"=561",'Unos rashoda i izdataka'!$P$3:$P$506,"=43")+SUMIFS('Unos rashoda P4'!$H$3:$H$501,'Unos rashoda P4'!$A$3:$A$501,"=561",'Unos rashoda P4'!$S$3:$S$501,"=43")</f>
        <v>0</v>
      </c>
      <c r="O16" s="153">
        <f>SUMIFS('Unos rashoda i izdataka'!$J$3:$J$506,'Unos rashoda i izdataka'!$C$3:$C$506,"=563",'Unos rashoda i izdataka'!$P$3:$P$506,"=43")+SUMIFS('Unos rashoda P4'!$H$3:$H$501,'Unos rashoda P4'!$A$3:$A$501,"=563",'Unos rashoda P4'!$S$3:$S$501,"=43")</f>
        <v>0</v>
      </c>
      <c r="P16" s="153">
        <f>SUMIFS('Unos rashoda i izdataka'!$J$3:$J$506,'Unos rashoda i izdataka'!$C$3:$C$506,"=573",'Unos rashoda i izdataka'!$P$3:$P$506,"=43")+SUMIFS('Unos rashoda P4'!$H$3:$H$501,'Unos rashoda P4'!$A$3:$A$501,"=573",'Unos rashoda P4'!$S$3:$S$501,"=43")</f>
        <v>0</v>
      </c>
      <c r="Q16" s="153">
        <f>SUMIFS('Unos rashoda i izdataka'!$J$3:$J$506,'Unos rashoda i izdataka'!$C$3:$C$506,"=575",'Unos rashoda i izdataka'!$P$3:$P$506,"=43")+SUMIFS('Unos rashoda P4'!$H$3:$H$501,'Unos rashoda P4'!$A$3:$A$501,"=575",'Unos rashoda P4'!$S$3:$S$501,"=43")</f>
        <v>0</v>
      </c>
      <c r="R16" s="153">
        <f>SUMIFS('Unos rashoda i izdataka'!$J$3:$J$506,'Unos rashoda i izdataka'!$Q$3:$Q$506,"=576",'Unos rashoda i izdataka'!$P$3:$P$506,"=43")+SUMIFS('Unos rashoda P4'!$H$3:$H$501,'Unos rashoda P4'!$A$3:$A$501,"=576",'Unos rashoda P4'!$S$3:$S$501,"=43")</f>
        <v>0</v>
      </c>
      <c r="S16" s="153">
        <f>SUMIFS('Unos rashoda i izdataka'!$J$3:$J$506,'Unos rashoda i izdataka'!$C$3:$C$506,"=581",'Unos rashoda i izdataka'!$P$3:$P$506,"=43")+SUMIFS('Unos rashoda P4'!$H$3:$H$501,'Unos rashoda P4'!$A$3:$A$501,"=581",'Unos rashoda P4'!$S$3:$S$501,"=43")</f>
        <v>0</v>
      </c>
      <c r="T16" s="153">
        <f>SUMIFS('Unos rashoda i izdataka'!$J$3:$J$506,'Unos rashoda i izdataka'!$C$3:$C$506,"=61",'Unos rashoda i izdataka'!$P$3:$P$506,"=43")+SUMIFS('Unos rashoda P4'!$H$3:$H$501,'Unos rashoda P4'!$A$3:$A$501,"=61",'Unos rashoda P4'!$S$3:$S$501,"=43")</f>
        <v>0</v>
      </c>
      <c r="U16" s="153">
        <f>SUMIFS('Unos rashoda i izdataka'!$J$3:$J$506,'Unos rashoda i izdataka'!$C$3:$C$506,"=63",'Unos rashoda i izdataka'!$P$3:$P$506,"=43")+SUMIFS('Unos rashoda P4'!$H$3:$H$501,'Unos rashoda P4'!$A$3:$A$501,"=63",'Unos rashoda P4'!$S$3:$S$501,"=43")</f>
        <v>0</v>
      </c>
      <c r="V16" s="153">
        <f>SUMIFS('Unos rashoda i izdataka'!$J$3:$J$506,'Unos rashoda i izdataka'!$C$3:$C$506,"=71",'Unos rashoda i izdataka'!$P$3:$P$506,"=43")+SUMIFS('Unos rashoda P4'!$H$3:$H$501,'Unos rashoda P4'!$A$3:$A$501,"=71",'Unos rashoda P4'!$S$3:$S$501,"=43")</f>
        <v>0</v>
      </c>
      <c r="W16" s="153">
        <f>SUMIFS('Unos rashoda i izdataka'!$J$3:$J$506,'Unos rashoda i izdataka'!$C$3:$C$506,"=81",'Unos rashoda i izdataka'!$P$3:$P$506,"=43")+SUMIFS('Unos rashoda P4'!$H$3:$H$501,'Unos rashoda P4'!$A$3:$A$501,"=81",'Unos rashoda P4'!$S$3:$S$501,"=43")</f>
        <v>0</v>
      </c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</row>
    <row r="17" spans="1:43" ht="12" customHeight="1">
      <c r="A17" s="143">
        <v>2023</v>
      </c>
      <c r="B17" s="150">
        <v>44</v>
      </c>
      <c r="C17" s="151" t="s">
        <v>3677</v>
      </c>
      <c r="D17" s="157">
        <f t="shared" si="0"/>
        <v>0</v>
      </c>
      <c r="E17" s="153">
        <f>SUMIFS('Unos rashoda i izdataka'!$J$3:$J$506,'Unos rashoda i izdataka'!$C$3:$C$506,"=11",'Unos rashoda i izdataka'!$P$3:$P$506,"=44")+SUMIFS('Unos rashoda P4'!$H$3:$H$501,'Unos rashoda P4'!$A$3:$A$501,"=11",'Unos rashoda P4'!$S$3:$S$501,"=44")</f>
        <v>0</v>
      </c>
      <c r="F17" s="153">
        <f>SUMIFS('Unos rashoda i izdataka'!$J$3:$J$506,'Unos rashoda i izdataka'!$C$3:$C$506,"=12",'Unos rashoda i izdataka'!$P$3:$P$506,"=44")+SUMIFS('Unos rashoda P4'!$H$3:$H$501,'Unos rashoda P4'!$A$3:$A$501,"=12",'Unos rashoda P4'!$S$3:$S$501,"=44")</f>
        <v>0</v>
      </c>
      <c r="G17" s="153">
        <f>SUMIFS('Unos rashoda i izdataka'!$J$3:$J$506,'Unos rashoda i izdataka'!$C$3:$C$506,"=31",'Unos rashoda i izdataka'!$P$3:$P$506,"=44")+SUMIFS('Unos rashoda P4'!$H$3:$H$501,'Unos rashoda P4'!$A$3:$A$501,"=31",'Unos rashoda P4'!$S$3:$S$501,"=44")</f>
        <v>0</v>
      </c>
      <c r="H17" s="153">
        <f>SUMIFS('Unos rashoda i izdataka'!$J$3:$J$506,'Unos rashoda i izdataka'!$C$3:$C$506,"=41",'Unos rashoda i izdataka'!$P$3:$P$506,"=44")+SUMIFS('Unos rashoda P4'!$H$3:$H$501,'Unos rashoda P4'!$A$3:$A$501,"=41",'Unos rashoda P4'!$S$3:$S$501,"=44")</f>
        <v>0</v>
      </c>
      <c r="I17" s="153">
        <f>SUMIFS('Unos rashoda i izdataka'!$J$3:$J$506,'Unos rashoda i izdataka'!$C$3:$C$506,"=43",'Unos rashoda i izdataka'!$P$3:$P$506,"=44")+SUMIFS('Unos rashoda P4'!$H$3:$H$501,'Unos rashoda P4'!$A$3:$A$501,"=43",'Unos rashoda P4'!$S$3:$S$501,"=44")</f>
        <v>0</v>
      </c>
      <c r="J17" s="153">
        <f>SUMIFS('Unos rashoda i izdataka'!$J$3:$J$506,'Unos rashoda i izdataka'!$C$3:$C$506,"=51",'Unos rashoda i izdataka'!$P$3:$P$506,"=44")+SUMIFS('Unos rashoda P4'!$H$3:$H$501,'Unos rashoda P4'!$A$3:$A$501,"=51",'Unos rashoda P4'!$S$3:$S$501,"=44")</f>
        <v>0</v>
      </c>
      <c r="K17" s="153">
        <f>SUMIFS('Unos rashoda i izdataka'!$J$3:$J$506,'Unos rashoda i izdataka'!$C$3:$C$506,"=52",'Unos rashoda i izdataka'!$P$3:$P$506,"=44")+SUMIFS('Unos rashoda P4'!$H$3:$H$501,'Unos rashoda P4'!$A$3:$A$501,"=52",'Unos rashoda P4'!$S$3:$S$501,"=44")</f>
        <v>0</v>
      </c>
      <c r="L17" s="153">
        <f>SUMIFS('Unos rashoda i izdataka'!$J$3:$J$506,'Unos rashoda i izdataka'!$C$3:$C$506,"=552",'Unos rashoda i izdataka'!$P$3:$P$506,"=44")+SUMIFS('Unos rashoda P4'!$H$3:$H$501,'Unos rashoda P4'!$A$3:$A$501,"=552",'Unos rashoda P4'!$S$3:$S$501,"=44")</f>
        <v>0</v>
      </c>
      <c r="M17" s="153">
        <f>SUMIFS('Unos rashoda i izdataka'!$J$3:$J$506,'Unos rashoda i izdataka'!$C$3:$C$506,"=559",'Unos rashoda i izdataka'!$P$3:$P$506,"=44")+SUMIFS('Unos rashoda P4'!$H$3:$H$501,'Unos rashoda P4'!$A$3:$A$501,"=559",'Unos rashoda P4'!$S$3:$S$501,"=44")</f>
        <v>0</v>
      </c>
      <c r="N17" s="153">
        <f>SUMIFS('Unos rashoda i izdataka'!$J$3:$J$506,'Unos rashoda i izdataka'!$C$3:$C$506,"=561",'Unos rashoda i izdataka'!$P$3:$P$506,"=44")+SUMIFS('Unos rashoda P4'!$H$3:$H$501,'Unos rashoda P4'!$A$3:$A$501,"=561",'Unos rashoda P4'!$S$3:$S$501,"=44")</f>
        <v>0</v>
      </c>
      <c r="O17" s="153">
        <f>SUMIFS('Unos rashoda i izdataka'!$J$3:$J$506,'Unos rashoda i izdataka'!$C$3:$C$506,"=563",'Unos rashoda i izdataka'!$P$3:$P$506,"=44")+SUMIFS('Unos rashoda P4'!$H$3:$H$501,'Unos rashoda P4'!$A$3:$A$501,"=563",'Unos rashoda P4'!$S$3:$S$501,"=44")</f>
        <v>0</v>
      </c>
      <c r="P17" s="153">
        <f>SUMIFS('Unos rashoda i izdataka'!$J$3:$J$506,'Unos rashoda i izdataka'!$C$3:$C$506,"=573",'Unos rashoda i izdataka'!$P$3:$P$506,"=44")+SUMIFS('Unos rashoda P4'!$H$3:$H$501,'Unos rashoda P4'!$A$3:$A$501,"=573",'Unos rashoda P4'!$S$3:$S$501,"=44")</f>
        <v>0</v>
      </c>
      <c r="Q17" s="153">
        <f>SUMIFS('Unos rashoda i izdataka'!$J$3:$J$506,'Unos rashoda i izdataka'!$C$3:$C$506,"=575",'Unos rashoda i izdataka'!$P$3:$P$506,"=44")+SUMIFS('Unos rashoda P4'!$H$3:$H$501,'Unos rashoda P4'!$A$3:$A$501,"=575",'Unos rashoda P4'!$S$3:$S$501,"=44")</f>
        <v>0</v>
      </c>
      <c r="R17" s="153">
        <f>SUMIFS('Unos rashoda i izdataka'!$J$3:$J$506,'Unos rashoda i izdataka'!$Q$3:$Q$506,"=576",'Unos rashoda i izdataka'!$P$3:$P$506,"=44")+SUMIFS('Unos rashoda P4'!$H$3:$H$501,'Unos rashoda P4'!$A$3:$A$501,"=576",'Unos rashoda P4'!$S$3:$S$501,"=44")</f>
        <v>0</v>
      </c>
      <c r="S17" s="153">
        <f>SUMIFS('Unos rashoda i izdataka'!$J$3:$J$506,'Unos rashoda i izdataka'!$C$3:$C$506,"=581",'Unos rashoda i izdataka'!$P$3:$P$506,"=44")+SUMIFS('Unos rashoda P4'!$H$3:$H$501,'Unos rashoda P4'!$A$3:$A$501,"=581",'Unos rashoda P4'!$S$3:$S$501,"=44")</f>
        <v>0</v>
      </c>
      <c r="T17" s="153">
        <f>SUMIFS('Unos rashoda i izdataka'!$J$3:$J$506,'Unos rashoda i izdataka'!$C$3:$C$506,"=61",'Unos rashoda i izdataka'!$P$3:$P$506,"=44")+SUMIFS('Unos rashoda P4'!$H$3:$H$501,'Unos rashoda P4'!$A$3:$A$501,"=61",'Unos rashoda P4'!$S$3:$S$501,"=44")</f>
        <v>0</v>
      </c>
      <c r="U17" s="153">
        <f>SUMIFS('Unos rashoda i izdataka'!$J$3:$J$506,'Unos rashoda i izdataka'!$C$3:$C$506,"=63",'Unos rashoda i izdataka'!$P$3:$P$506,"=44")+SUMIFS('Unos rashoda P4'!$H$3:$H$501,'Unos rashoda P4'!$A$3:$A$501,"=63",'Unos rashoda P4'!$S$3:$S$501,"=44")</f>
        <v>0</v>
      </c>
      <c r="V17" s="153">
        <f>SUMIFS('Unos rashoda i izdataka'!$J$3:$J$506,'Unos rashoda i izdataka'!$C$3:$C$506,"=71",'Unos rashoda i izdataka'!$P$3:$P$506,"=44")+SUMIFS('Unos rashoda P4'!$H$3:$H$501,'Unos rashoda P4'!$A$3:$A$501,"=71",'Unos rashoda P4'!$S$3:$S$501,"=44")</f>
        <v>0</v>
      </c>
      <c r="W17" s="153">
        <f>SUMIFS('Unos rashoda i izdataka'!$J$3:$J$506,'Unos rashoda i izdataka'!$C$3:$C$506,"=81",'Unos rashoda i izdataka'!$P$3:$P$506,"=44")+SUMIFS('Unos rashoda P4'!$H$3:$H$501,'Unos rashoda P4'!$A$3:$A$501,"=81",'Unos rashoda P4'!$S$3:$S$501,"=44")</f>
        <v>0</v>
      </c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</row>
    <row r="18" spans="1:43" ht="12" customHeight="1">
      <c r="A18" s="143">
        <v>2023</v>
      </c>
      <c r="B18" s="155">
        <v>45</v>
      </c>
      <c r="C18" s="156" t="s">
        <v>3678</v>
      </c>
      <c r="D18" s="157">
        <f t="shared" si="0"/>
        <v>16837</v>
      </c>
      <c r="E18" s="153">
        <f>SUMIFS('Unos rashoda i izdataka'!$J$3:$J$506,'Unos rashoda i izdataka'!$C$3:$C$506,"=11",'Unos rashoda i izdataka'!$P$3:$P$506,"=45")+SUMIFS('Unos rashoda P4'!$H$3:$H$501,'Unos rashoda P4'!$A$3:$A$501,"=11",'Unos rashoda P4'!$S$3:$S$501,"=45")</f>
        <v>16837</v>
      </c>
      <c r="F18" s="153">
        <f>SUMIFS('Unos rashoda i izdataka'!$J$3:$J$506,'Unos rashoda i izdataka'!$C$3:$C$506,"=12",'Unos rashoda i izdataka'!$P$3:$P$506,"=45")+SUMIFS('Unos rashoda P4'!$H$3:$H$501,'Unos rashoda P4'!$A$3:$A$501,"=12",'Unos rashoda P4'!$S$3:$S$501,"=45")</f>
        <v>0</v>
      </c>
      <c r="G18" s="153">
        <f>SUMIFS('Unos rashoda i izdataka'!$J$3:$J$506,'Unos rashoda i izdataka'!$C$3:$C$506,"=31",'Unos rashoda i izdataka'!$P$3:$P$506,"=45")+SUMIFS('Unos rashoda P4'!$H$3:$H$501,'Unos rashoda P4'!$A$3:$A$501,"=31",'Unos rashoda P4'!$S$3:$S$501,"=45")</f>
        <v>0</v>
      </c>
      <c r="H18" s="153">
        <f>SUMIFS('Unos rashoda i izdataka'!$J$3:$J$506,'Unos rashoda i izdataka'!$C$3:$C$506,"=41",'Unos rashoda i izdataka'!$P$3:$P$506,"=45")+SUMIFS('Unos rashoda P4'!$H$3:$H$501,'Unos rashoda P4'!$A$3:$A$501,"=41",'Unos rashoda P4'!$S$3:$S$501,"=45")</f>
        <v>0</v>
      </c>
      <c r="I18" s="153">
        <f>SUMIFS('Unos rashoda i izdataka'!$J$3:$J$506,'Unos rashoda i izdataka'!$C$3:$C$506,"=43",'Unos rashoda i izdataka'!$P$3:$P$506,"=45")+SUMIFS('Unos rashoda P4'!$H$3:$H$501,'Unos rashoda P4'!$A$3:$A$501,"=43",'Unos rashoda P4'!$S$3:$S$501,"=45")</f>
        <v>0</v>
      </c>
      <c r="J18" s="153">
        <f>SUMIFS('Unos rashoda i izdataka'!$J$3:$J$506,'Unos rashoda i izdataka'!$C$3:$C$506,"=51",'Unos rashoda i izdataka'!$P$3:$P$506,"=45")+SUMIFS('Unos rashoda P4'!$H$3:$H$501,'Unos rashoda P4'!$A$3:$A$501,"=51",'Unos rashoda P4'!$S$3:$S$501,"=45")</f>
        <v>0</v>
      </c>
      <c r="K18" s="153">
        <f>SUMIFS('Unos rashoda i izdataka'!$J$3:$J$506,'Unos rashoda i izdataka'!$C$3:$C$506,"=52",'Unos rashoda i izdataka'!$P$3:$P$506,"=45")+SUMIFS('Unos rashoda P4'!$H$3:$H$501,'Unos rashoda P4'!$A$3:$A$501,"=52",'Unos rashoda P4'!$S$3:$S$501,"=45")</f>
        <v>0</v>
      </c>
      <c r="L18" s="153">
        <f>SUMIFS('Unos rashoda i izdataka'!$J$3:$J$506,'Unos rashoda i izdataka'!$C$3:$C$506,"=552",'Unos rashoda i izdataka'!$P$3:$P$506,"=45")+SUMIFS('Unos rashoda P4'!$H$3:$H$501,'Unos rashoda P4'!$A$3:$A$501,"=552",'Unos rashoda P4'!$S$3:$S$501,"=45")</f>
        <v>0</v>
      </c>
      <c r="M18" s="153">
        <f>SUMIFS('Unos rashoda i izdataka'!$J$3:$J$506,'Unos rashoda i izdataka'!$C$3:$C$506,"=559",'Unos rashoda i izdataka'!$P$3:$P$506,"=45")+SUMIFS('Unos rashoda P4'!$H$3:$H$501,'Unos rashoda P4'!$A$3:$A$501,"=559",'Unos rashoda P4'!$S$3:$S$501,"=45")</f>
        <v>0</v>
      </c>
      <c r="N18" s="153">
        <f>SUMIFS('Unos rashoda i izdataka'!$J$3:$J$506,'Unos rashoda i izdataka'!$C$3:$C$506,"=561",'Unos rashoda i izdataka'!$P$3:$P$506,"=45")+SUMIFS('Unos rashoda P4'!$H$3:$H$501,'Unos rashoda P4'!$A$3:$A$501,"=561",'Unos rashoda P4'!$S$3:$S$501,"=45")</f>
        <v>0</v>
      </c>
      <c r="O18" s="153">
        <f>SUMIFS('Unos rashoda i izdataka'!$J$3:$J$506,'Unos rashoda i izdataka'!$C$3:$C$506,"=563",'Unos rashoda i izdataka'!$P$3:$P$506,"=45")+SUMIFS('Unos rashoda P4'!$H$3:$H$501,'Unos rashoda P4'!$A$3:$A$501,"=563",'Unos rashoda P4'!$S$3:$S$501,"=45")</f>
        <v>0</v>
      </c>
      <c r="P18" s="153">
        <f>SUMIFS('Unos rashoda i izdataka'!$J$3:$J$506,'Unos rashoda i izdataka'!$C$3:$C$506,"=573",'Unos rashoda i izdataka'!$P$3:$P$506,"=45")+SUMIFS('Unos rashoda P4'!$H$3:$H$501,'Unos rashoda P4'!$A$3:$A$501,"=573",'Unos rashoda P4'!$S$3:$S$501,"=45")</f>
        <v>0</v>
      </c>
      <c r="Q18" s="153">
        <f>SUMIFS('Unos rashoda i izdataka'!$J$3:$J$506,'Unos rashoda i izdataka'!$C$3:$C$506,"=575",'Unos rashoda i izdataka'!$P$3:$P$506,"=45")+SUMIFS('Unos rashoda P4'!$H$3:$H$501,'Unos rashoda P4'!$A$3:$A$501,"=575",'Unos rashoda P4'!$S$3:$S$501,"=45")</f>
        <v>0</v>
      </c>
      <c r="R18" s="153">
        <f>SUMIFS('Unos rashoda i izdataka'!$J$3:$J$506,'Unos rashoda i izdataka'!$Q$3:$Q$506,"=576",'Unos rashoda i izdataka'!$P$3:$P$506,"=45")+SUMIFS('Unos rashoda P4'!$H$3:$H$501,'Unos rashoda P4'!$A$3:$A$501,"=576",'Unos rashoda P4'!$S$3:$S$501,"=45")</f>
        <v>0</v>
      </c>
      <c r="S18" s="153">
        <f>SUMIFS('Unos rashoda i izdataka'!$J$3:$J$506,'Unos rashoda i izdataka'!$C$3:$C$506,"=581",'Unos rashoda i izdataka'!$P$3:$P$506,"=45")+SUMIFS('Unos rashoda P4'!$H$3:$H$501,'Unos rashoda P4'!$A$3:$A$501,"=581",'Unos rashoda P4'!$S$3:$S$501,"=45")</f>
        <v>0</v>
      </c>
      <c r="T18" s="153">
        <f>SUMIFS('Unos rashoda i izdataka'!$J$3:$J$506,'Unos rashoda i izdataka'!$C$3:$C$506,"=61",'Unos rashoda i izdataka'!$P$3:$P$506,"=45")+SUMIFS('Unos rashoda P4'!$H$3:$H$501,'Unos rashoda P4'!$A$3:$A$501,"=61",'Unos rashoda P4'!$S$3:$S$501,"=45")</f>
        <v>0</v>
      </c>
      <c r="U18" s="153">
        <f>SUMIFS('Unos rashoda i izdataka'!$J$3:$J$506,'Unos rashoda i izdataka'!$C$3:$C$506,"=63",'Unos rashoda i izdataka'!$P$3:$P$506,"=45")+SUMIFS('Unos rashoda P4'!$H$3:$H$501,'Unos rashoda P4'!$A$3:$A$501,"=63",'Unos rashoda P4'!$S$3:$S$501,"=45")</f>
        <v>0</v>
      </c>
      <c r="V18" s="153">
        <f>SUMIFS('Unos rashoda i izdataka'!$J$3:$J$506,'Unos rashoda i izdataka'!$C$3:$C$506,"=71",'Unos rashoda i izdataka'!$P$3:$P$506,"=45")+SUMIFS('Unos rashoda P4'!$H$3:$H$501,'Unos rashoda P4'!$A$3:$A$501,"=71",'Unos rashoda P4'!$S$3:$S$501,"=45")</f>
        <v>0</v>
      </c>
      <c r="W18" s="153">
        <f>SUMIFS('Unos rashoda i izdataka'!$J$3:$J$506,'Unos rashoda i izdataka'!$C$3:$C$506,"=81",'Unos rashoda i izdataka'!$P$3:$P$506,"=45")+SUMIFS('Unos rashoda P4'!$H$3:$H$501,'Unos rashoda P4'!$A$3:$A$501,"=81",'Unos rashoda P4'!$S$3:$S$501,"=45")</f>
        <v>0</v>
      </c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</row>
    <row r="19" spans="1:43" ht="12.75" customHeight="1">
      <c r="A19" s="13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</row>
    <row r="20" spans="1:43" ht="71.25" customHeight="1">
      <c r="A20" s="141" t="s">
        <v>3598</v>
      </c>
      <c r="B20" s="101" t="s">
        <v>3656</v>
      </c>
      <c r="C20" s="101" t="s">
        <v>3657</v>
      </c>
      <c r="D20" s="101" t="s">
        <v>3679</v>
      </c>
      <c r="E20" s="101" t="s">
        <v>3659</v>
      </c>
      <c r="F20" s="101" t="s">
        <v>3603</v>
      </c>
      <c r="G20" s="101" t="s">
        <v>3604</v>
      </c>
      <c r="H20" s="101" t="s">
        <v>3660</v>
      </c>
      <c r="I20" s="101" t="s">
        <v>3606</v>
      </c>
      <c r="J20" s="101" t="s">
        <v>3607</v>
      </c>
      <c r="K20" s="101" t="s">
        <v>3608</v>
      </c>
      <c r="L20" s="101" t="s">
        <v>3609</v>
      </c>
      <c r="M20" s="101" t="s">
        <v>3610</v>
      </c>
      <c r="N20" s="101" t="s">
        <v>3611</v>
      </c>
      <c r="O20" s="101" t="s">
        <v>3612</v>
      </c>
      <c r="P20" s="101" t="s">
        <v>3613</v>
      </c>
      <c r="Q20" s="101" t="s">
        <v>3661</v>
      </c>
      <c r="R20" s="101" t="s">
        <v>3662</v>
      </c>
      <c r="S20" s="101" t="s">
        <v>3616</v>
      </c>
      <c r="T20" s="101" t="s">
        <v>3617</v>
      </c>
      <c r="U20" s="101" t="s">
        <v>3618</v>
      </c>
      <c r="V20" s="101" t="s">
        <v>3663</v>
      </c>
      <c r="W20" s="101" t="s">
        <v>3620</v>
      </c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</row>
    <row r="21" spans="1:43" ht="19.5" customHeight="1">
      <c r="A21" s="143">
        <v>2024</v>
      </c>
      <c r="B21" s="115">
        <v>2024</v>
      </c>
      <c r="C21" s="115" t="s">
        <v>3664</v>
      </c>
      <c r="D21" s="116">
        <f t="shared" ref="D21:D35" si="4">SUM(E21:W21)</f>
        <v>37332206.299003847</v>
      </c>
      <c r="E21" s="144">
        <f t="shared" ref="E21:W21" si="5">+E22+E30</f>
        <v>27727633.223750014</v>
      </c>
      <c r="F21" s="144">
        <f t="shared" si="5"/>
        <v>570172.71524321451</v>
      </c>
      <c r="G21" s="144">
        <f t="shared" si="5"/>
        <v>2096337</v>
      </c>
      <c r="H21" s="144">
        <f t="shared" si="5"/>
        <v>0</v>
      </c>
      <c r="I21" s="144">
        <f t="shared" si="5"/>
        <v>0</v>
      </c>
      <c r="J21" s="144">
        <f t="shared" si="5"/>
        <v>1233195</v>
      </c>
      <c r="K21" s="144">
        <f t="shared" si="5"/>
        <v>2108296</v>
      </c>
      <c r="L21" s="144">
        <f t="shared" si="5"/>
        <v>0</v>
      </c>
      <c r="M21" s="144">
        <f t="shared" si="5"/>
        <v>0</v>
      </c>
      <c r="N21" s="144">
        <f t="shared" si="5"/>
        <v>0</v>
      </c>
      <c r="O21" s="144">
        <f t="shared" si="5"/>
        <v>3548490.3600106174</v>
      </c>
      <c r="P21" s="144">
        <f t="shared" si="5"/>
        <v>0</v>
      </c>
      <c r="Q21" s="144">
        <f t="shared" si="5"/>
        <v>0</v>
      </c>
      <c r="R21" s="144">
        <f t="shared" si="5"/>
        <v>0</v>
      </c>
      <c r="S21" s="144">
        <f t="shared" si="5"/>
        <v>0</v>
      </c>
      <c r="T21" s="144">
        <f t="shared" si="5"/>
        <v>48082</v>
      </c>
      <c r="U21" s="144">
        <f t="shared" si="5"/>
        <v>0</v>
      </c>
      <c r="V21" s="144">
        <f t="shared" si="5"/>
        <v>0</v>
      </c>
      <c r="W21" s="144">
        <f t="shared" si="5"/>
        <v>0</v>
      </c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145"/>
      <c r="AO21" s="145"/>
      <c r="AP21" s="145"/>
      <c r="AQ21" s="145"/>
    </row>
    <row r="22" spans="1:43" ht="12" customHeight="1">
      <c r="A22" s="143">
        <v>2024</v>
      </c>
      <c r="B22" s="146">
        <v>3</v>
      </c>
      <c r="C22" s="147" t="s">
        <v>3665</v>
      </c>
      <c r="D22" s="148">
        <f t="shared" si="4"/>
        <v>32527503.038601696</v>
      </c>
      <c r="E22" s="149">
        <f t="shared" ref="E22:W22" si="6">SUM(E23:E29)</f>
        <v>27410889.223750014</v>
      </c>
      <c r="F22" s="149">
        <f t="shared" si="6"/>
        <v>86909.814851682255</v>
      </c>
      <c r="G22" s="149">
        <f t="shared" si="6"/>
        <v>1769022</v>
      </c>
      <c r="H22" s="149">
        <f t="shared" si="6"/>
        <v>0</v>
      </c>
      <c r="I22" s="149">
        <f t="shared" si="6"/>
        <v>0</v>
      </c>
      <c r="J22" s="149">
        <f t="shared" si="6"/>
        <v>1097544</v>
      </c>
      <c r="K22" s="149">
        <f t="shared" si="6"/>
        <v>1627790</v>
      </c>
      <c r="L22" s="149">
        <f t="shared" si="6"/>
        <v>0</v>
      </c>
      <c r="M22" s="149">
        <f t="shared" si="6"/>
        <v>0</v>
      </c>
      <c r="N22" s="149">
        <f t="shared" si="6"/>
        <v>0</v>
      </c>
      <c r="O22" s="149">
        <f t="shared" si="6"/>
        <v>492489</v>
      </c>
      <c r="P22" s="149">
        <f t="shared" si="6"/>
        <v>0</v>
      </c>
      <c r="Q22" s="149">
        <f t="shared" si="6"/>
        <v>0</v>
      </c>
      <c r="R22" s="149">
        <f t="shared" si="6"/>
        <v>0</v>
      </c>
      <c r="S22" s="149">
        <f t="shared" si="6"/>
        <v>0</v>
      </c>
      <c r="T22" s="149">
        <f t="shared" si="6"/>
        <v>42859</v>
      </c>
      <c r="U22" s="149">
        <f t="shared" si="6"/>
        <v>0</v>
      </c>
      <c r="V22" s="149">
        <f t="shared" si="6"/>
        <v>0</v>
      </c>
      <c r="W22" s="149">
        <f t="shared" si="6"/>
        <v>0</v>
      </c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</row>
    <row r="23" spans="1:43" ht="12" customHeight="1">
      <c r="A23" s="143">
        <v>2024</v>
      </c>
      <c r="B23" s="150">
        <v>31</v>
      </c>
      <c r="C23" s="151" t="s">
        <v>3666</v>
      </c>
      <c r="D23" s="152">
        <f t="shared" si="4"/>
        <v>26200638.490095031</v>
      </c>
      <c r="E23" s="153">
        <f>SUMIFS('Unos rashoda i izdataka'!$K$3:$K$506,'Unos rashoda i izdataka'!$C$3:$C$506,"=11",'Unos rashoda i izdataka'!$P$3:$P$506,"=31")+SUMIFS('Unos rashoda P4'!$I$3:$I$501,'Unos rashoda P4'!$A$3:$A$501,"=11",'Unos rashoda P4'!$S$3:$S$501,"=31")</f>
        <v>24115787.490095031</v>
      </c>
      <c r="F23" s="153">
        <f>SUMIFS('Unos rashoda i izdataka'!$K$3:$K$506,'Unos rashoda i izdataka'!$C$3:$C$506,"=12",'Unos rashoda i izdataka'!$P$3:$P$506,"=31")+SUMIFS('Unos rashoda P4'!$I$3:$I$501,'Unos rashoda P4'!$A$3:$A$501,"=12",'Unos rashoda P4'!$S$3:$S$501,"=31")</f>
        <v>0</v>
      </c>
      <c r="G23" s="153">
        <f>SUMIFS('Unos rashoda i izdataka'!$K$3:$K$506,'Unos rashoda i izdataka'!$C$3:$C$506,"=31",'Unos rashoda i izdataka'!$P$3:$P$506,"=31")+SUMIFS('Unos rashoda P4'!$I$3:$I$501,'Unos rashoda P4'!$A$3:$A$501,"=31",'Unos rashoda P4'!$S$3:$S$501,"=31")</f>
        <v>656601</v>
      </c>
      <c r="H23" s="153">
        <f>SUMIFS('Unos rashoda i izdataka'!$K$3:$K$506,'Unos rashoda i izdataka'!$C$3:$C$506,"=41",'Unos rashoda i izdataka'!$P$3:$P$506,"=31")+SUMIFS('Unos rashoda P4'!$I$3:$I$501,'Unos rashoda P4'!$A$3:$A$501,"=41",'Unos rashoda P4'!$S$3:$S$501,"=31")</f>
        <v>0</v>
      </c>
      <c r="I23" s="153">
        <f>SUMIFS('Unos rashoda i izdataka'!$K$3:$K$506,'Unos rashoda i izdataka'!$C$3:$C$506,"=43",'Unos rashoda i izdataka'!$P$3:$P$506,"=31")+SUMIFS('Unos rashoda P4'!$I$3:$I$501,'Unos rashoda P4'!$A$3:$A$501,"=43",'Unos rashoda P4'!$S$3:$S$501,"=31")</f>
        <v>0</v>
      </c>
      <c r="J23" s="153">
        <f>SUMIFS('Unos rashoda i izdataka'!$K$3:$K$506,'Unos rashoda i izdataka'!$C$3:$C$506,"=51",'Unos rashoda i izdataka'!$P$3:$P$506,"=31")+SUMIFS('Unos rashoda P4'!$I$3:$I$501,'Unos rashoda P4'!$A$3:$A$501,"=51",'Unos rashoda P4'!$S$3:$S$501,"=31")</f>
        <v>517943</v>
      </c>
      <c r="K23" s="153">
        <f>SUMIFS('Unos rashoda i izdataka'!$K$3:$K$506,'Unos rashoda i izdataka'!$C$3:$C$506,"=52",'Unos rashoda i izdataka'!$P$3:$P$506,"=31")+SUMIFS('Unos rashoda P4'!$I$3:$I$501,'Unos rashoda P4'!$A$3:$A$501,"=52",'Unos rashoda P4'!$S$3:$S$501,"=31")</f>
        <v>889721</v>
      </c>
      <c r="L23" s="153">
        <f>SUMIFS('Unos rashoda i izdataka'!$K$3:$K$506,'Unos rashoda i izdataka'!$C$3:$C$506,"=552",'Unos rashoda i izdataka'!$P$3:$P$506,"=31")+SUMIFS('Unos rashoda P4'!$I$3:$I$501,'Unos rashoda P4'!$A$3:$A$501,"=552",'Unos rashoda P4'!$S$3:$S$501,"=31")</f>
        <v>0</v>
      </c>
      <c r="M23" s="153">
        <f>SUMIFS('Unos rashoda i izdataka'!$K$3:$K$506,'Unos rashoda i izdataka'!$C$3:$C$506,"=559",'Unos rashoda i izdataka'!$P$3:$P$506,"=31")+SUMIFS('Unos rashoda P4'!$I$3:$I$501,'Unos rashoda P4'!$A$3:$A$501,"=559",'Unos rashoda P4'!$S$3:$S$501,"=31")</f>
        <v>0</v>
      </c>
      <c r="N23" s="153">
        <f>SUMIFS('Unos rashoda i izdataka'!$K$3:$K$506,'Unos rashoda i izdataka'!$C$3:$C$506,"=561",'Unos rashoda i izdataka'!$P$3:$P$506,"=31")+SUMIFS('Unos rashoda P4'!$I$3:$I$501,'Unos rashoda P4'!$A$3:$A$501,"=561",'Unos rashoda P4'!$S$3:$S$501,"=31")</f>
        <v>0</v>
      </c>
      <c r="O23" s="153">
        <f>SUMIFS('Unos rashoda i izdataka'!$K$3:$K$506,'Unos rashoda i izdataka'!$C$3:$C$506,"=563",'Unos rashoda i izdataka'!$P$3:$P$506,"=31")+SUMIFS('Unos rashoda P4'!$I$3:$I$501,'Unos rashoda P4'!$A$3:$A$501,"=563",'Unos rashoda P4'!$S$3:$S$501,"=31")</f>
        <v>0</v>
      </c>
      <c r="P23" s="153">
        <f>SUMIFS('Unos rashoda i izdataka'!$K$3:$K$506,'Unos rashoda i izdataka'!$C$3:$C$506,"=573",'Unos rashoda i izdataka'!$P$3:$P$506,"=31")+SUMIFS('Unos rashoda P4'!$I$3:$I$501,'Unos rashoda P4'!$A$3:$A$501,"=573",'Unos rashoda P4'!$S$3:$S$501,"=31")</f>
        <v>0</v>
      </c>
      <c r="Q23" s="153">
        <f>SUMIFS('Unos rashoda i izdataka'!$K$3:$K$506,'Unos rashoda i izdataka'!$C$3:$C$506,"=575",'Unos rashoda i izdataka'!$P$3:$P$506,"=31")+SUMIFS('Unos rashoda P4'!$I$3:$I$501,'Unos rashoda P4'!$A$3:$A$501,"=575",'Unos rashoda P4'!$S$3:$S$501,"=31")</f>
        <v>0</v>
      </c>
      <c r="R23" s="153">
        <f>SUMIFS('Unos rashoda i izdataka'!$K$3:$K$506,'Unos rashoda i izdataka'!$Q$3:$Q$506,"=576",'Unos rashoda i izdataka'!$P$3:$P$506,"=31")+SUMIFS('Unos rashoda P4'!$I$3:$I$501,'Unos rashoda P4'!$A$3:$A$501,"=576",'Unos rashoda P4'!$S$3:$S$501,"=31")</f>
        <v>0</v>
      </c>
      <c r="S23" s="153">
        <f>SUMIFS('Unos rashoda i izdataka'!$K$3:$K$506,'Unos rashoda i izdataka'!$C$3:$C$506,"=581",'Unos rashoda i izdataka'!$P$3:$P$506,"=31")+SUMIFS('Unos rashoda P4'!$I$3:$I$501,'Unos rashoda P4'!$A$3:$A$501,"=581",'Unos rashoda P4'!$S$3:$S$501,"=31")</f>
        <v>0</v>
      </c>
      <c r="T23" s="153">
        <f>SUMIFS('Unos rashoda i izdataka'!$K$3:$K$506,'Unos rashoda i izdataka'!$C$3:$C$506,"=61",'Unos rashoda i izdataka'!$P$3:$P$506,"=31")+SUMIFS('Unos rashoda P4'!$I$3:$I$501,'Unos rashoda P4'!$A$3:$A$501,"=61",'Unos rashoda P4'!$S$3:$S$501,"=31")</f>
        <v>20586</v>
      </c>
      <c r="U23" s="153">
        <f>SUMIFS('Unos rashoda i izdataka'!$K$3:$K$506,'Unos rashoda i izdataka'!$C$3:$C$506,"=63",'Unos rashoda i izdataka'!$P$3:$P$506,"=31")+SUMIFS('Unos rashoda P4'!$I$3:$I$501,'Unos rashoda P4'!$A$3:$A$501,"=63",'Unos rashoda P4'!$S$3:$S$501,"=31")</f>
        <v>0</v>
      </c>
      <c r="V23" s="153">
        <f>SUMIFS('Unos rashoda i izdataka'!$K$3:$K$506,'Unos rashoda i izdataka'!$C$3:$C$506,"=71",'Unos rashoda i izdataka'!$P$3:$P$506,"=31")+SUMIFS('Unos rashoda P4'!$I$3:$I$501,'Unos rashoda P4'!$A$3:$A$501,"=71",'Unos rashoda P4'!$S$3:$S$501,"=31")</f>
        <v>0</v>
      </c>
      <c r="W23" s="153">
        <f>SUMIFS('Unos rashoda i izdataka'!$K$3:$K$506,'Unos rashoda i izdataka'!$C$3:$C$506,"=81",'Unos rashoda i izdataka'!$P$3:$P$506,"=31")+SUMIFS('Unos rashoda P4'!$I$3:$I$501,'Unos rashoda P4'!$A$3:$A$501,"=81",'Unos rashoda P4'!$S$3:$S$501,"=31")</f>
        <v>0</v>
      </c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</row>
    <row r="24" spans="1:43" ht="12" customHeight="1">
      <c r="A24" s="143">
        <v>2024</v>
      </c>
      <c r="B24" s="155">
        <v>32</v>
      </c>
      <c r="C24" s="156" t="s">
        <v>3667</v>
      </c>
      <c r="D24" s="157">
        <f t="shared" si="4"/>
        <v>6276791.548506665</v>
      </c>
      <c r="E24" s="153">
        <f>SUMIFS('Unos rashoda i izdataka'!$K$3:$K$506,'Unos rashoda i izdataka'!$C$3:$C$506,"=11",'Unos rashoda i izdataka'!$P$3:$P$506,"=32")+SUMIFS('Unos rashoda P4'!$I$3:$I$501,'Unos rashoda P4'!$A$3:$A$501,"=11",'Unos rashoda P4'!$S$3:$S$501,"=32")</f>
        <v>3288552.7336549829</v>
      </c>
      <c r="F24" s="153">
        <f>SUMIFS('Unos rashoda i izdataka'!$K$3:$K$506,'Unos rashoda i izdataka'!$C$3:$C$506,"=12",'Unos rashoda i izdataka'!$P$3:$P$506,"=32")+SUMIFS('Unos rashoda P4'!$I$3:$I$501,'Unos rashoda P4'!$A$3:$A$501,"=12",'Unos rashoda P4'!$S$3:$S$501,"=32")</f>
        <v>86909.814851682255</v>
      </c>
      <c r="G24" s="153">
        <f>SUMIFS('Unos rashoda i izdataka'!$K$3:$K$506,'Unos rashoda i izdataka'!$C$3:$C$506,"=31",'Unos rashoda i izdataka'!$P$3:$P$506,"=32")+SUMIFS('Unos rashoda P4'!$I$3:$I$501,'Unos rashoda P4'!$A$3:$A$501,"=31",'Unos rashoda P4'!$S$3:$S$501,"=32")</f>
        <v>1076338</v>
      </c>
      <c r="H24" s="153">
        <f>SUMIFS('Unos rashoda i izdataka'!$K$3:$K$506,'Unos rashoda i izdataka'!$C$3:$C$506,"=41",'Unos rashoda i izdataka'!$P$3:$P$506,"=32")+SUMIFS('Unos rashoda P4'!$I$3:$I$501,'Unos rashoda P4'!$A$3:$A$501,"=41",'Unos rashoda P4'!$S$3:$S$501,"=32")</f>
        <v>0</v>
      </c>
      <c r="I24" s="153">
        <f>SUMIFS('Unos rashoda i izdataka'!$K$3:$K$506,'Unos rashoda i izdataka'!$C$3:$C$506,"=43",'Unos rashoda i izdataka'!$P$3:$P$506,"=32")+SUMIFS('Unos rashoda P4'!$I$3:$I$501,'Unos rashoda P4'!$A$3:$A$501,"=43",'Unos rashoda P4'!$S$3:$S$501,"=32")</f>
        <v>0</v>
      </c>
      <c r="J24" s="153">
        <f>SUMIFS('Unos rashoda i izdataka'!$K$3:$K$506,'Unos rashoda i izdataka'!$C$3:$C$506,"=51",'Unos rashoda i izdataka'!$P$3:$P$506,"=32")+SUMIFS('Unos rashoda P4'!$I$3:$I$501,'Unos rashoda P4'!$A$3:$A$501,"=51",'Unos rashoda P4'!$S$3:$S$501,"=32")</f>
        <v>579601</v>
      </c>
      <c r="K24" s="153">
        <f>SUMIFS('Unos rashoda i izdataka'!$K$3:$K$506,'Unos rashoda i izdataka'!$C$3:$C$506,"=52",'Unos rashoda i izdataka'!$P$3:$P$506,"=32")+SUMIFS('Unos rashoda P4'!$I$3:$I$501,'Unos rashoda P4'!$A$3:$A$501,"=52",'Unos rashoda P4'!$S$3:$S$501,"=32")</f>
        <v>730750</v>
      </c>
      <c r="L24" s="153">
        <f>SUMIFS('Unos rashoda i izdataka'!$K$3:$K$506,'Unos rashoda i izdataka'!$C$3:$C$506,"=552",'Unos rashoda i izdataka'!$P$3:$P$506,"=32")+SUMIFS('Unos rashoda P4'!$I$3:$I$501,'Unos rashoda P4'!$A$3:$A$501,"=552",'Unos rashoda P4'!$S$3:$S$501,"=32")</f>
        <v>0</v>
      </c>
      <c r="M24" s="153">
        <f>SUMIFS('Unos rashoda i izdataka'!$K$3:$K$506,'Unos rashoda i izdataka'!$C$3:$C$506,"=559",'Unos rashoda i izdataka'!$P$3:$P$506,"=32")+SUMIFS('Unos rashoda P4'!$I$3:$I$501,'Unos rashoda P4'!$A$3:$A$501,"=559",'Unos rashoda P4'!$S$3:$S$501,"=32")</f>
        <v>0</v>
      </c>
      <c r="N24" s="153">
        <f>SUMIFS('Unos rashoda i izdataka'!$K$3:$K$506,'Unos rashoda i izdataka'!$C$3:$C$506,"=561",'Unos rashoda i izdataka'!$P$3:$P$506,"=32")+SUMIFS('Unos rashoda P4'!$I$3:$I$501,'Unos rashoda P4'!$A$3:$A$501,"=561",'Unos rashoda P4'!$S$3:$S$501,"=32")</f>
        <v>0</v>
      </c>
      <c r="O24" s="153">
        <f>SUMIFS('Unos rashoda i izdataka'!$K$3:$K$506,'Unos rashoda i izdataka'!$C$3:$C$506,"=563",'Unos rashoda i izdataka'!$P$3:$P$506,"=32")+SUMIFS('Unos rashoda P4'!$I$3:$I$501,'Unos rashoda P4'!$A$3:$A$501,"=563",'Unos rashoda P4'!$S$3:$S$501,"=32")</f>
        <v>492489</v>
      </c>
      <c r="P24" s="153">
        <f>SUMIFS('Unos rashoda i izdataka'!$K$3:$K$506,'Unos rashoda i izdataka'!$C$3:$C$506,"=573",'Unos rashoda i izdataka'!$P$3:$P$506,"=32")+SUMIFS('Unos rashoda P4'!$I$3:$I$501,'Unos rashoda P4'!$A$3:$A$501,"=573",'Unos rashoda P4'!$S$3:$S$501,"=32")</f>
        <v>0</v>
      </c>
      <c r="Q24" s="153">
        <f>SUMIFS('Unos rashoda i izdataka'!$K$3:$K$506,'Unos rashoda i izdataka'!$C$3:$C$506,"=575",'Unos rashoda i izdataka'!$P$3:$P$506,"=32")+SUMIFS('Unos rashoda P4'!$I$3:$I$501,'Unos rashoda P4'!$A$3:$A$501,"=575",'Unos rashoda P4'!$S$3:$S$501,"=32")</f>
        <v>0</v>
      </c>
      <c r="R24" s="153">
        <f>SUMIFS('Unos rashoda i izdataka'!$K$3:$K$506,'Unos rashoda i izdataka'!$Q$3:$Q$506,"=576",'Unos rashoda i izdataka'!$P$3:$P$506,"=32")+SUMIFS('Unos rashoda P4'!$I$3:$I$501,'Unos rashoda P4'!$A$3:$A$501,"=576",'Unos rashoda P4'!$S$3:$S$501,"=32")</f>
        <v>0</v>
      </c>
      <c r="S24" s="153">
        <f>SUMIFS('Unos rashoda i izdataka'!$K$3:$K$506,'Unos rashoda i izdataka'!$C$3:$C$506,"=581",'Unos rashoda i izdataka'!$P$3:$P$506,"=32")+SUMIFS('Unos rashoda P4'!$I$3:$I$501,'Unos rashoda P4'!$A$3:$A$501,"=581",'Unos rashoda P4'!$S$3:$S$501,"=32")</f>
        <v>0</v>
      </c>
      <c r="T24" s="153">
        <f>SUMIFS('Unos rashoda i izdataka'!$K$3:$K$506,'Unos rashoda i izdataka'!$C$3:$C$506,"=61",'Unos rashoda i izdataka'!$P$3:$P$506,"=32")+SUMIFS('Unos rashoda P4'!$I$3:$I$501,'Unos rashoda P4'!$A$3:$A$501,"=61",'Unos rashoda P4'!$S$3:$S$501,"=32")</f>
        <v>22151</v>
      </c>
      <c r="U24" s="153">
        <f>SUMIFS('Unos rashoda i izdataka'!$K$3:$K$506,'Unos rashoda i izdataka'!$C$3:$C$506,"=63",'Unos rashoda i izdataka'!$P$3:$P$506,"=32")+SUMIFS('Unos rashoda P4'!$I$3:$I$501,'Unos rashoda P4'!$A$3:$A$501,"=63",'Unos rashoda P4'!$S$3:$S$501,"=32")</f>
        <v>0</v>
      </c>
      <c r="V24" s="153">
        <f>SUMIFS('Unos rashoda i izdataka'!$K$3:$K$506,'Unos rashoda i izdataka'!$C$3:$C$506,"=71",'Unos rashoda i izdataka'!$P$3:$P$506,"=32")+SUMIFS('Unos rashoda P4'!$I$3:$I$501,'Unos rashoda P4'!$A$3:$A$501,"=71",'Unos rashoda P4'!$S$3:$S$501,"=32")</f>
        <v>0</v>
      </c>
      <c r="W24" s="153">
        <f>SUMIFS('Unos rashoda i izdataka'!$K$3:$K$506,'Unos rashoda i izdataka'!$C$3:$C$506,"=81",'Unos rashoda i izdataka'!$P$3:$P$506,"=32")+SUMIFS('Unos rashoda P4'!$I$3:$I$501,'Unos rashoda P4'!$A$3:$A$501,"=81",'Unos rashoda P4'!$S$3:$S$501,"=32")</f>
        <v>0</v>
      </c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</row>
    <row r="25" spans="1:43" ht="12" customHeight="1">
      <c r="A25" s="143">
        <v>2024</v>
      </c>
      <c r="B25" s="155">
        <v>34</v>
      </c>
      <c r="C25" s="156" t="s">
        <v>3668</v>
      </c>
      <c r="D25" s="157">
        <f t="shared" si="4"/>
        <v>23319</v>
      </c>
      <c r="E25" s="153">
        <f>SUMIFS('Unos rashoda i izdataka'!$K$3:$K$506,'Unos rashoda i izdataka'!$C$3:$C$506,"=11",'Unos rashoda i izdataka'!$P$3:$P$506,"=34")+SUMIFS('Unos rashoda P4'!$I$3:$I$501,'Unos rashoda P4'!$A$3:$A$501,"=11",'Unos rashoda P4'!$S$3:$S$501,"=34")</f>
        <v>0</v>
      </c>
      <c r="F25" s="153">
        <f>SUMIFS('Unos rashoda i izdataka'!$K$3:$K$506,'Unos rashoda i izdataka'!$C$3:$C$506,"=12",'Unos rashoda i izdataka'!$P$3:$P$506,"=34")+SUMIFS('Unos rashoda P4'!$I$3:$I$501,'Unos rashoda P4'!$A$3:$A$501,"=12",'Unos rashoda P4'!$S$3:$S$501,"=34")</f>
        <v>0</v>
      </c>
      <c r="G25" s="153">
        <f>SUMIFS('Unos rashoda i izdataka'!$K$3:$K$506,'Unos rashoda i izdataka'!$C$3:$C$506,"=31",'Unos rashoda i izdataka'!$P$3:$P$506,"=34")+SUMIFS('Unos rashoda P4'!$I$3:$I$501,'Unos rashoda P4'!$A$3:$A$501,"=31",'Unos rashoda P4'!$S$3:$S$501,"=34")</f>
        <v>20625</v>
      </c>
      <c r="H25" s="153">
        <f>SUMIFS('Unos rashoda i izdataka'!$K$3:$K$506,'Unos rashoda i izdataka'!$C$3:$C$506,"=41",'Unos rashoda i izdataka'!$P$3:$P$506,"=34")+SUMIFS('Unos rashoda P4'!$I$3:$I$501,'Unos rashoda P4'!$A$3:$A$501,"=41",'Unos rashoda P4'!$S$3:$S$501,"=34")</f>
        <v>0</v>
      </c>
      <c r="I25" s="153">
        <f>SUMIFS('Unos rashoda i izdataka'!$K$3:$K$506,'Unos rashoda i izdataka'!$C$3:$C$506,"=43",'Unos rashoda i izdataka'!$P$3:$P$506,"=34")+SUMIFS('Unos rashoda P4'!$I$3:$I$501,'Unos rashoda P4'!$A$3:$A$501,"=43",'Unos rashoda P4'!$S$3:$S$501,"=34")</f>
        <v>0</v>
      </c>
      <c r="J25" s="153">
        <f>SUMIFS('Unos rashoda i izdataka'!$K$3:$K$506,'Unos rashoda i izdataka'!$C$3:$C$506,"=51",'Unos rashoda i izdataka'!$P$3:$P$506,"=34")+SUMIFS('Unos rashoda P4'!$I$3:$I$501,'Unos rashoda P4'!$A$3:$A$501,"=51",'Unos rashoda P4'!$S$3:$S$501,"=34")</f>
        <v>0</v>
      </c>
      <c r="K25" s="153">
        <f>SUMIFS('Unos rashoda i izdataka'!$K$3:$K$506,'Unos rashoda i izdataka'!$C$3:$C$506,"=52",'Unos rashoda i izdataka'!$P$3:$P$506,"=34")+SUMIFS('Unos rashoda P4'!$I$3:$I$501,'Unos rashoda P4'!$A$3:$A$501,"=52",'Unos rashoda P4'!$S$3:$S$501,"=34")</f>
        <v>2666</v>
      </c>
      <c r="L25" s="153">
        <f>SUMIFS('Unos rashoda i izdataka'!$K$3:$K$506,'Unos rashoda i izdataka'!$C$3:$C$506,"=552",'Unos rashoda i izdataka'!$P$3:$P$506,"=34")+SUMIFS('Unos rashoda P4'!$I$3:$I$501,'Unos rashoda P4'!$A$3:$A$501,"=552",'Unos rashoda P4'!$S$3:$S$501,"=34")</f>
        <v>0</v>
      </c>
      <c r="M25" s="153">
        <f>SUMIFS('Unos rashoda i izdataka'!$K$3:$K$506,'Unos rashoda i izdataka'!$C$3:$C$506,"=559",'Unos rashoda i izdataka'!$P$3:$P$506,"=34")+SUMIFS('Unos rashoda P4'!$I$3:$I$501,'Unos rashoda P4'!$A$3:$A$501,"=559",'Unos rashoda P4'!$S$3:$S$501,"=34")</f>
        <v>0</v>
      </c>
      <c r="N25" s="153">
        <f>SUMIFS('Unos rashoda i izdataka'!$K$3:$K$506,'Unos rashoda i izdataka'!$C$3:$C$506,"=561",'Unos rashoda i izdataka'!$P$3:$P$506,"=34")+SUMIFS('Unos rashoda P4'!$I$3:$I$501,'Unos rashoda P4'!$A$3:$A$501,"=561",'Unos rashoda P4'!$S$3:$S$501,"=34")</f>
        <v>0</v>
      </c>
      <c r="O25" s="153">
        <f>SUMIFS('Unos rashoda i izdataka'!$K$3:$K$506,'Unos rashoda i izdataka'!$C$3:$C$506,"=563",'Unos rashoda i izdataka'!$P$3:$P$506,"=34")+SUMIFS('Unos rashoda P4'!$I$3:$I$501,'Unos rashoda P4'!$A$3:$A$501,"=563",'Unos rashoda P4'!$S$3:$S$501,"=34")</f>
        <v>0</v>
      </c>
      <c r="P25" s="153">
        <f>SUMIFS('Unos rashoda i izdataka'!$K$3:$K$506,'Unos rashoda i izdataka'!$C$3:$C$506,"=573",'Unos rashoda i izdataka'!$P$3:$P$506,"=34")+SUMIFS('Unos rashoda P4'!$I$3:$I$501,'Unos rashoda P4'!$A$3:$A$501,"=573",'Unos rashoda P4'!$S$3:$S$501,"=34")</f>
        <v>0</v>
      </c>
      <c r="Q25" s="153">
        <f>SUMIFS('Unos rashoda i izdataka'!$K$3:$K$506,'Unos rashoda i izdataka'!$C$3:$C$506,"=575",'Unos rashoda i izdataka'!$P$3:$P$506,"=34")+SUMIFS('Unos rashoda P4'!$I$3:$I$501,'Unos rashoda P4'!$A$3:$A$501,"=575",'Unos rashoda P4'!$S$3:$S$501,"=34")</f>
        <v>0</v>
      </c>
      <c r="R25" s="153">
        <f>SUMIFS('Unos rashoda i izdataka'!$K$3:$K$506,'Unos rashoda i izdataka'!$Q$3:$Q$506,"=576",'Unos rashoda i izdataka'!$P$3:$P$506,"=34")+SUMIFS('Unos rashoda P4'!$I$3:$I$501,'Unos rashoda P4'!$A$3:$A$501,"=576",'Unos rashoda P4'!$S$3:$S$501,"=34")</f>
        <v>0</v>
      </c>
      <c r="S25" s="153">
        <f>SUMIFS('Unos rashoda i izdataka'!$K$3:$K$506,'Unos rashoda i izdataka'!$C$3:$C$506,"=581",'Unos rashoda i izdataka'!$P$3:$P$506,"=34")+SUMIFS('Unos rashoda P4'!$I$3:$I$501,'Unos rashoda P4'!$A$3:$A$501,"=581",'Unos rashoda P4'!$S$3:$S$501,"=34")</f>
        <v>0</v>
      </c>
      <c r="T25" s="153">
        <f>SUMIFS('Unos rashoda i izdataka'!$K$3:$K$506,'Unos rashoda i izdataka'!$C$3:$C$506,"=61",'Unos rashoda i izdataka'!$P$3:$P$506,"=34")+SUMIFS('Unos rashoda P4'!$I$3:$I$501,'Unos rashoda P4'!$A$3:$A$501,"=61",'Unos rashoda P4'!$S$3:$S$501,"=34")</f>
        <v>28</v>
      </c>
      <c r="U25" s="153">
        <f>SUMIFS('Unos rashoda i izdataka'!$K$3:$K$506,'Unos rashoda i izdataka'!$C$3:$C$506,"=63",'Unos rashoda i izdataka'!$P$3:$P$506,"=34")+SUMIFS('Unos rashoda P4'!$I$3:$I$501,'Unos rashoda P4'!$A$3:$A$501,"=63",'Unos rashoda P4'!$S$3:$S$501,"=34")</f>
        <v>0</v>
      </c>
      <c r="V25" s="153">
        <f>SUMIFS('Unos rashoda i izdataka'!$K$3:$K$506,'Unos rashoda i izdataka'!$C$3:$C$506,"=71",'Unos rashoda i izdataka'!$P$3:$P$506,"=34")+SUMIFS('Unos rashoda P4'!$I$3:$I$501,'Unos rashoda P4'!$A$3:$A$501,"=71",'Unos rashoda P4'!$S$3:$S$501,"=34")</f>
        <v>0</v>
      </c>
      <c r="W25" s="153">
        <f>SUMIFS('Unos rashoda i izdataka'!$K$3:$K$506,'Unos rashoda i izdataka'!$C$3:$C$506,"=81",'Unos rashoda i izdataka'!$P$3:$P$506,"=34")+SUMIFS('Unos rashoda P4'!$I$3:$I$501,'Unos rashoda P4'!$A$3:$A$501,"=81",'Unos rashoda P4'!$S$3:$S$501,"=34")</f>
        <v>0</v>
      </c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</row>
    <row r="26" spans="1:43" ht="12" customHeight="1">
      <c r="A26" s="143">
        <v>2024</v>
      </c>
      <c r="B26" s="155">
        <v>35</v>
      </c>
      <c r="C26" s="156" t="s">
        <v>3669</v>
      </c>
      <c r="D26" s="157">
        <f t="shared" si="4"/>
        <v>0</v>
      </c>
      <c r="E26" s="153">
        <f>SUMIFS('Unos rashoda i izdataka'!$K$3:$K$506,'Unos rashoda i izdataka'!$C$3:$C$506,"=11",'Unos rashoda i izdataka'!$P$3:$P$506,"=35")+SUMIFS('Unos rashoda P4'!$I$3:$I$501,'Unos rashoda P4'!$A$3:$A$501,"=11",'Unos rashoda P4'!$S$3:$S$501,"=35")</f>
        <v>0</v>
      </c>
      <c r="F26" s="153">
        <f>SUMIFS('Unos rashoda i izdataka'!$K$3:$K$506,'Unos rashoda i izdataka'!$C$3:$C$506,"=12",'Unos rashoda i izdataka'!$P$3:$P$506,"=35")+SUMIFS('Unos rashoda P4'!$I$3:$I$501,'Unos rashoda P4'!$A$3:$A$501,"=12",'Unos rashoda P4'!$S$3:$S$501,"=35")</f>
        <v>0</v>
      </c>
      <c r="G26" s="153">
        <f>SUMIFS('Unos rashoda i izdataka'!$K$3:$K$506,'Unos rashoda i izdataka'!$C$3:$C$506,"=31",'Unos rashoda i izdataka'!$P$3:$P$506,"=35")+SUMIFS('Unos rashoda P4'!$I$3:$I$501,'Unos rashoda P4'!$A$3:$A$501,"=31",'Unos rashoda P4'!$S$3:$S$501,"=35")</f>
        <v>0</v>
      </c>
      <c r="H26" s="153">
        <f>SUMIFS('Unos rashoda i izdataka'!$K$3:$K$506,'Unos rashoda i izdataka'!$C$3:$C$506,"=41",'Unos rashoda i izdataka'!$P$3:$P$506,"=35")+SUMIFS('Unos rashoda P4'!$I$3:$I$501,'Unos rashoda P4'!$A$3:$A$501,"=41",'Unos rashoda P4'!$S$3:$S$501,"=35")</f>
        <v>0</v>
      </c>
      <c r="I26" s="153">
        <f>SUMIFS('Unos rashoda i izdataka'!$K$3:$K$506,'Unos rashoda i izdataka'!$C$3:$C$506,"=43",'Unos rashoda i izdataka'!$P$3:$P$506,"=35")+SUMIFS('Unos rashoda P4'!$I$3:$I$501,'Unos rashoda P4'!$A$3:$A$501,"=43",'Unos rashoda P4'!$S$3:$S$501,"=35")</f>
        <v>0</v>
      </c>
      <c r="J26" s="153">
        <f>SUMIFS('Unos rashoda i izdataka'!$K$3:$K$506,'Unos rashoda i izdataka'!$C$3:$C$506,"=51",'Unos rashoda i izdataka'!$P$3:$P$506,"=35")+SUMIFS('Unos rashoda P4'!$I$3:$I$501,'Unos rashoda P4'!$A$3:$A$501,"=51",'Unos rashoda P4'!$S$3:$S$501,"=35")</f>
        <v>0</v>
      </c>
      <c r="K26" s="153">
        <f>SUMIFS('Unos rashoda i izdataka'!$K$3:$K$506,'Unos rashoda i izdataka'!$C$3:$C$506,"=52",'Unos rashoda i izdataka'!$P$3:$P$506,"=35")+SUMIFS('Unos rashoda P4'!$I$3:$I$501,'Unos rashoda P4'!$A$3:$A$501,"=52",'Unos rashoda P4'!$S$3:$S$501,"=35")</f>
        <v>0</v>
      </c>
      <c r="L26" s="153">
        <f>SUMIFS('Unos rashoda i izdataka'!$K$3:$K$506,'Unos rashoda i izdataka'!$C$3:$C$506,"=552",'Unos rashoda i izdataka'!$P$3:$P$506,"=35")+SUMIFS('Unos rashoda P4'!$I$3:$I$501,'Unos rashoda P4'!$A$3:$A$501,"=552",'Unos rashoda P4'!$S$3:$S$501,"=35")</f>
        <v>0</v>
      </c>
      <c r="M26" s="153">
        <f>SUMIFS('Unos rashoda i izdataka'!$K$3:$K$506,'Unos rashoda i izdataka'!$C$3:$C$506,"=559",'Unos rashoda i izdataka'!$P$3:$P$506,"=35")+SUMIFS('Unos rashoda P4'!$I$3:$I$501,'Unos rashoda P4'!$A$3:$A$501,"=559",'Unos rashoda P4'!$S$3:$S$501,"=35")</f>
        <v>0</v>
      </c>
      <c r="N26" s="153">
        <f>SUMIFS('Unos rashoda i izdataka'!$K$3:$K$506,'Unos rashoda i izdataka'!$C$3:$C$506,"=561",'Unos rashoda i izdataka'!$P$3:$P$506,"=35")+SUMIFS('Unos rashoda P4'!$I$3:$I$501,'Unos rashoda P4'!$A$3:$A$501,"=561",'Unos rashoda P4'!$S$3:$S$501,"=35")</f>
        <v>0</v>
      </c>
      <c r="O26" s="153">
        <f>SUMIFS('Unos rashoda i izdataka'!$K$3:$K$506,'Unos rashoda i izdataka'!$C$3:$C$506,"=563",'Unos rashoda i izdataka'!$P$3:$P$506,"=35")+SUMIFS('Unos rashoda P4'!$I$3:$I$501,'Unos rashoda P4'!$A$3:$A$501,"=563",'Unos rashoda P4'!$S$3:$S$501,"=35")</f>
        <v>0</v>
      </c>
      <c r="P26" s="153">
        <f>SUMIFS('Unos rashoda i izdataka'!$K$3:$K$506,'Unos rashoda i izdataka'!$C$3:$C$506,"=573",'Unos rashoda i izdataka'!$P$3:$P$506,"=35")+SUMIFS('Unos rashoda P4'!$I$3:$I$501,'Unos rashoda P4'!$A$3:$A$501,"=573",'Unos rashoda P4'!$S$3:$S$501,"=35")</f>
        <v>0</v>
      </c>
      <c r="Q26" s="153">
        <f>SUMIFS('Unos rashoda i izdataka'!$K$3:$K$506,'Unos rashoda i izdataka'!$C$3:$C$506,"=575",'Unos rashoda i izdataka'!$P$3:$P$506,"=35")+SUMIFS('Unos rashoda P4'!$I$3:$I$501,'Unos rashoda P4'!$A$3:$A$501,"=575",'Unos rashoda P4'!$S$3:$S$501,"=35")</f>
        <v>0</v>
      </c>
      <c r="R26" s="153">
        <f>SUMIFS('Unos rashoda i izdataka'!$K$3:$K$506,'Unos rashoda i izdataka'!$Q$3:$Q$506,"=576",'Unos rashoda i izdataka'!$P$3:$P$506,"=35")+SUMIFS('Unos rashoda P4'!$I$3:$I$501,'Unos rashoda P4'!$A$3:$A$501,"=576",'Unos rashoda P4'!$S$3:$S$501,"=35")</f>
        <v>0</v>
      </c>
      <c r="S26" s="153">
        <f>SUMIFS('Unos rashoda i izdataka'!$K$3:$K$506,'Unos rashoda i izdataka'!$C$3:$C$506,"=581",'Unos rashoda i izdataka'!$P$3:$P$506,"=35")+SUMIFS('Unos rashoda P4'!$I$3:$I$501,'Unos rashoda P4'!$A$3:$A$501,"=581",'Unos rashoda P4'!$S$3:$S$501,"=35")</f>
        <v>0</v>
      </c>
      <c r="T26" s="153">
        <f>SUMIFS('Unos rashoda i izdataka'!$K$3:$K$506,'Unos rashoda i izdataka'!$C$3:$C$506,"=61",'Unos rashoda i izdataka'!$P$3:$P$506,"=35")+SUMIFS('Unos rashoda P4'!$I$3:$I$501,'Unos rashoda P4'!$A$3:$A$501,"=61",'Unos rashoda P4'!$S$3:$S$501,"=35")</f>
        <v>0</v>
      </c>
      <c r="U26" s="153">
        <f>SUMIFS('Unos rashoda i izdataka'!$K$3:$K$506,'Unos rashoda i izdataka'!$C$3:$C$506,"=63",'Unos rashoda i izdataka'!$P$3:$P$506,"=35")+SUMIFS('Unos rashoda P4'!$I$3:$I$501,'Unos rashoda P4'!$A$3:$A$501,"=63",'Unos rashoda P4'!$S$3:$S$501,"=35")</f>
        <v>0</v>
      </c>
      <c r="V26" s="153">
        <f>SUMIFS('Unos rashoda i izdataka'!$K$3:$K$506,'Unos rashoda i izdataka'!$C$3:$C$506,"=71",'Unos rashoda i izdataka'!$P$3:$P$506,"=35")+SUMIFS('Unos rashoda P4'!$I$3:$I$501,'Unos rashoda P4'!$A$3:$A$501,"=71",'Unos rashoda P4'!$S$3:$S$501,"=35")</f>
        <v>0</v>
      </c>
      <c r="W26" s="153">
        <f>SUMIFS('Unos rashoda i izdataka'!$K$3:$K$506,'Unos rashoda i izdataka'!$C$3:$C$506,"=81",'Unos rashoda i izdataka'!$P$3:$P$506,"=35")+SUMIFS('Unos rashoda P4'!$I$3:$I$501,'Unos rashoda P4'!$A$3:$A$501,"=81",'Unos rashoda P4'!$S$3:$S$501,"=35")</f>
        <v>0</v>
      </c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</row>
    <row r="27" spans="1:43" ht="12" customHeight="1">
      <c r="A27" s="143">
        <v>2024</v>
      </c>
      <c r="B27" s="155">
        <v>36</v>
      </c>
      <c r="C27" s="158" t="s">
        <v>3670</v>
      </c>
      <c r="D27" s="157">
        <f t="shared" si="4"/>
        <v>0</v>
      </c>
      <c r="E27" s="153">
        <f>SUMIFS('Unos rashoda i izdataka'!$K$3:$K$506,'Unos rashoda i izdataka'!$C$3:$C$506,"=11",'Unos rashoda i izdataka'!$P$3:$P$506,"=36")+SUMIFS('Unos rashoda P4'!$I$3:$I$501,'Unos rashoda P4'!$A$3:$A$501,"=11",'Unos rashoda P4'!$S$3:$S$501,"=36")</f>
        <v>0</v>
      </c>
      <c r="F27" s="153">
        <f>SUMIFS('Unos rashoda i izdataka'!$K$3:$K$506,'Unos rashoda i izdataka'!$C$3:$C$506,"=12",'Unos rashoda i izdataka'!$P$3:$P$506,"=36")+SUMIFS('Unos rashoda P4'!$I$3:$I$501,'Unos rashoda P4'!$A$3:$A$501,"=12",'Unos rashoda P4'!$S$3:$S$501,"=36")</f>
        <v>0</v>
      </c>
      <c r="G27" s="153">
        <f>SUMIFS('Unos rashoda i izdataka'!$K$3:$K$506,'Unos rashoda i izdataka'!$C$3:$C$506,"=31",'Unos rashoda i izdataka'!$P$3:$P$506,"=36")+SUMIFS('Unos rashoda P4'!$I$3:$I$501,'Unos rashoda P4'!$A$3:$A$501,"=31",'Unos rashoda P4'!$S$3:$S$501,"=36")</f>
        <v>0</v>
      </c>
      <c r="H27" s="153">
        <f>SUMIFS('Unos rashoda i izdataka'!$K$3:$K$506,'Unos rashoda i izdataka'!$C$3:$C$506,"=41",'Unos rashoda i izdataka'!$P$3:$P$506,"=36")+SUMIFS('Unos rashoda P4'!$I$3:$I$501,'Unos rashoda P4'!$A$3:$A$501,"=41",'Unos rashoda P4'!$S$3:$S$501,"=36")</f>
        <v>0</v>
      </c>
      <c r="I27" s="153">
        <f>SUMIFS('Unos rashoda i izdataka'!$K$3:$K$506,'Unos rashoda i izdataka'!$C$3:$C$506,"=43",'Unos rashoda i izdataka'!$P$3:$P$506,"=36")+SUMIFS('Unos rashoda P4'!$I$3:$I$501,'Unos rashoda P4'!$A$3:$A$501,"=43",'Unos rashoda P4'!$S$3:$S$501,"=36")</f>
        <v>0</v>
      </c>
      <c r="J27" s="153">
        <f>SUMIFS('Unos rashoda i izdataka'!$K$3:$K$506,'Unos rashoda i izdataka'!$C$3:$C$506,"=51",'Unos rashoda i izdataka'!$P$3:$P$506,"=36")+SUMIFS('Unos rashoda P4'!$I$3:$I$501,'Unos rashoda P4'!$A$3:$A$501,"=51",'Unos rashoda P4'!$S$3:$S$501,"=36")</f>
        <v>0</v>
      </c>
      <c r="K27" s="153">
        <f>SUMIFS('Unos rashoda i izdataka'!$K$3:$K$506,'Unos rashoda i izdataka'!$C$3:$C$506,"=52",'Unos rashoda i izdataka'!$P$3:$P$506,"=36")+SUMIFS('Unos rashoda P4'!$I$3:$I$501,'Unos rashoda P4'!$A$3:$A$501,"=52",'Unos rashoda P4'!$S$3:$S$501,"=36")</f>
        <v>0</v>
      </c>
      <c r="L27" s="153">
        <f>SUMIFS('Unos rashoda i izdataka'!$K$3:$K$506,'Unos rashoda i izdataka'!$C$3:$C$506,"=552",'Unos rashoda i izdataka'!$P$3:$P$506,"=36")+SUMIFS('Unos rashoda P4'!$I$3:$I$501,'Unos rashoda P4'!$A$3:$A$501,"=552",'Unos rashoda P4'!$S$3:$S$501,"=36")</f>
        <v>0</v>
      </c>
      <c r="M27" s="153">
        <f>SUMIFS('Unos rashoda i izdataka'!$K$3:$K$506,'Unos rashoda i izdataka'!$C$3:$C$506,"=559",'Unos rashoda i izdataka'!$P$3:$P$506,"=36")+SUMIFS('Unos rashoda P4'!$I$3:$I$501,'Unos rashoda P4'!$A$3:$A$501,"=559",'Unos rashoda P4'!$S$3:$S$501,"=36")</f>
        <v>0</v>
      </c>
      <c r="N27" s="153">
        <f>SUMIFS('Unos rashoda i izdataka'!$K$3:$K$506,'Unos rashoda i izdataka'!$C$3:$C$506,"=561",'Unos rashoda i izdataka'!$P$3:$P$506,"=36")+SUMIFS('Unos rashoda P4'!$I$3:$I$501,'Unos rashoda P4'!$A$3:$A$501,"=561",'Unos rashoda P4'!$S$3:$S$501,"=36")</f>
        <v>0</v>
      </c>
      <c r="O27" s="153">
        <f>SUMIFS('Unos rashoda i izdataka'!$K$3:$K$506,'Unos rashoda i izdataka'!$C$3:$C$506,"=563",'Unos rashoda i izdataka'!$P$3:$P$506,"=36")+SUMIFS('Unos rashoda P4'!$I$3:$I$501,'Unos rashoda P4'!$A$3:$A$501,"=563",'Unos rashoda P4'!$S$3:$S$501,"=36")</f>
        <v>0</v>
      </c>
      <c r="P27" s="153">
        <f>SUMIFS('Unos rashoda i izdataka'!$K$3:$K$506,'Unos rashoda i izdataka'!$C$3:$C$506,"=573",'Unos rashoda i izdataka'!$P$3:$P$506,"=36")+SUMIFS('Unos rashoda P4'!$I$3:$I$501,'Unos rashoda P4'!$A$3:$A$501,"=573",'Unos rashoda P4'!$S$3:$S$501,"=36")</f>
        <v>0</v>
      </c>
      <c r="Q27" s="153">
        <f>SUMIFS('Unos rashoda i izdataka'!$K$3:$K$506,'Unos rashoda i izdataka'!$C$3:$C$506,"=575",'Unos rashoda i izdataka'!$P$3:$P$506,"=36")+SUMIFS('Unos rashoda P4'!$I$3:$I$501,'Unos rashoda P4'!$A$3:$A$501,"=575",'Unos rashoda P4'!$S$3:$S$501,"=36")</f>
        <v>0</v>
      </c>
      <c r="R27" s="153">
        <f>SUMIFS('Unos rashoda i izdataka'!$K$3:$K$506,'Unos rashoda i izdataka'!$Q$3:$Q$506,"=576",'Unos rashoda i izdataka'!$P$3:$P$506,"=36")+SUMIFS('Unos rashoda P4'!$I$3:$I$501,'Unos rashoda P4'!$A$3:$A$501,"=576",'Unos rashoda P4'!$S$3:$S$501,"=36")</f>
        <v>0</v>
      </c>
      <c r="S27" s="153">
        <f>SUMIFS('Unos rashoda i izdataka'!$K$3:$K$506,'Unos rashoda i izdataka'!$C$3:$C$506,"=581",'Unos rashoda i izdataka'!$P$3:$P$506,"=36")+SUMIFS('Unos rashoda P4'!$I$3:$I$501,'Unos rashoda P4'!$A$3:$A$501,"=581",'Unos rashoda P4'!$S$3:$S$501,"=36")</f>
        <v>0</v>
      </c>
      <c r="T27" s="153">
        <f>SUMIFS('Unos rashoda i izdataka'!$K$3:$K$506,'Unos rashoda i izdataka'!$C$3:$C$506,"=61",'Unos rashoda i izdataka'!$P$3:$P$506,"=36")+SUMIFS('Unos rashoda P4'!$I$3:$I$501,'Unos rashoda P4'!$A$3:$A$501,"=61",'Unos rashoda P4'!$S$3:$S$501,"=36")</f>
        <v>0</v>
      </c>
      <c r="U27" s="153">
        <f>SUMIFS('Unos rashoda i izdataka'!$K$3:$K$506,'Unos rashoda i izdataka'!$C$3:$C$506,"=63",'Unos rashoda i izdataka'!$P$3:$P$506,"=36")+SUMIFS('Unos rashoda P4'!$I$3:$I$501,'Unos rashoda P4'!$A$3:$A$501,"=63",'Unos rashoda P4'!$S$3:$S$501,"=36")</f>
        <v>0</v>
      </c>
      <c r="V27" s="153">
        <f>SUMIFS('Unos rashoda i izdataka'!$K$3:$K$506,'Unos rashoda i izdataka'!$C$3:$C$506,"=71",'Unos rashoda i izdataka'!$P$3:$P$506,"=36")+SUMIFS('Unos rashoda P4'!$I$3:$I$501,'Unos rashoda P4'!$A$3:$A$501,"=71",'Unos rashoda P4'!$S$3:$S$501,"=36")</f>
        <v>0</v>
      </c>
      <c r="W27" s="153">
        <f>SUMIFS('Unos rashoda i izdataka'!$K$3:$K$506,'Unos rashoda i izdataka'!$C$3:$C$506,"=81",'Unos rashoda i izdataka'!$P$3:$P$506,"=36")+SUMIFS('Unos rashoda P4'!$I$3:$I$501,'Unos rashoda P4'!$A$3:$A$501,"=81",'Unos rashoda P4'!$S$3:$S$501,"=36")</f>
        <v>0</v>
      </c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</row>
    <row r="28" spans="1:43" ht="12" customHeight="1">
      <c r="A28" s="143">
        <v>2024</v>
      </c>
      <c r="B28" s="155">
        <v>37</v>
      </c>
      <c r="C28" s="156" t="s">
        <v>3671</v>
      </c>
      <c r="D28" s="157">
        <f t="shared" si="4"/>
        <v>26754</v>
      </c>
      <c r="E28" s="153">
        <f>SUMIFS('Unos rashoda i izdataka'!$K$3:$K$506,'Unos rashoda i izdataka'!$C$3:$C$506,"=11",'Unos rashoda i izdataka'!$P$3:$P$506,"=37")+SUMIFS('Unos rashoda P4'!$I$3:$I$501,'Unos rashoda P4'!$A$3:$A$501,"=11",'Unos rashoda P4'!$S$3:$S$501,"=37")</f>
        <v>6549</v>
      </c>
      <c r="F28" s="153">
        <f>SUMIFS('Unos rashoda i izdataka'!$K$3:$K$506,'Unos rashoda i izdataka'!$C$3:$C$506,"=12",'Unos rashoda i izdataka'!$P$3:$P$506,"=37")+SUMIFS('Unos rashoda P4'!$I$3:$I$501,'Unos rashoda P4'!$A$3:$A$501,"=12",'Unos rashoda P4'!$S$3:$S$501,"=37")</f>
        <v>0</v>
      </c>
      <c r="G28" s="153">
        <f>SUMIFS('Unos rashoda i izdataka'!$K$3:$K$506,'Unos rashoda i izdataka'!$C$3:$C$506,"=31",'Unos rashoda i izdataka'!$P$3:$P$506,"=37")+SUMIFS('Unos rashoda P4'!$I$3:$I$501,'Unos rashoda P4'!$A$3:$A$501,"=31",'Unos rashoda P4'!$S$3:$S$501,"=37")</f>
        <v>15458</v>
      </c>
      <c r="H28" s="153">
        <f>SUMIFS('Unos rashoda i izdataka'!$K$3:$K$506,'Unos rashoda i izdataka'!$C$3:$C$506,"=41",'Unos rashoda i izdataka'!$P$3:$P$506,"=37")+SUMIFS('Unos rashoda P4'!$I$3:$I$501,'Unos rashoda P4'!$A$3:$A$501,"=41",'Unos rashoda P4'!$S$3:$S$501,"=37")</f>
        <v>0</v>
      </c>
      <c r="I28" s="153">
        <f>SUMIFS('Unos rashoda i izdataka'!$K$3:$K$506,'Unos rashoda i izdataka'!$C$3:$C$506,"=43",'Unos rashoda i izdataka'!$P$3:$P$506,"=37")+SUMIFS('Unos rashoda P4'!$I$3:$I$501,'Unos rashoda P4'!$A$3:$A$501,"=43",'Unos rashoda P4'!$S$3:$S$501,"=37")</f>
        <v>0</v>
      </c>
      <c r="J28" s="153">
        <f>SUMIFS('Unos rashoda i izdataka'!$K$3:$K$506,'Unos rashoda i izdataka'!$C$3:$C$506,"=51",'Unos rashoda i izdataka'!$P$3:$P$506,"=37")+SUMIFS('Unos rashoda P4'!$I$3:$I$501,'Unos rashoda P4'!$A$3:$A$501,"=51",'Unos rashoda P4'!$S$3:$S$501,"=37")</f>
        <v>0</v>
      </c>
      <c r="K28" s="153">
        <f>SUMIFS('Unos rashoda i izdataka'!$K$3:$K$506,'Unos rashoda i izdataka'!$C$3:$C$506,"=52",'Unos rashoda i izdataka'!$P$3:$P$506,"=37")+SUMIFS('Unos rashoda P4'!$I$3:$I$501,'Unos rashoda P4'!$A$3:$A$501,"=52",'Unos rashoda P4'!$S$3:$S$501,"=37")</f>
        <v>4653</v>
      </c>
      <c r="L28" s="153">
        <f>SUMIFS('Unos rashoda i izdataka'!$K$3:$K$506,'Unos rashoda i izdataka'!$C$3:$C$506,"=552",'Unos rashoda i izdataka'!$P$3:$P$506,"=37")+SUMIFS('Unos rashoda P4'!$I$3:$I$501,'Unos rashoda P4'!$A$3:$A$501,"=552",'Unos rashoda P4'!$S$3:$S$501,"=37")</f>
        <v>0</v>
      </c>
      <c r="M28" s="153">
        <f>SUMIFS('Unos rashoda i izdataka'!$K$3:$K$506,'Unos rashoda i izdataka'!$C$3:$C$506,"=559",'Unos rashoda i izdataka'!$P$3:$P$506,"=37")+SUMIFS('Unos rashoda P4'!$I$3:$I$501,'Unos rashoda P4'!$A$3:$A$501,"=559",'Unos rashoda P4'!$S$3:$S$501,"=37")</f>
        <v>0</v>
      </c>
      <c r="N28" s="153">
        <f>SUMIFS('Unos rashoda i izdataka'!$K$3:$K$506,'Unos rashoda i izdataka'!$C$3:$C$506,"=561",'Unos rashoda i izdataka'!$P$3:$P$506,"=37")+SUMIFS('Unos rashoda P4'!$I$3:$I$501,'Unos rashoda P4'!$A$3:$A$501,"=561",'Unos rashoda P4'!$S$3:$S$501,"=37")</f>
        <v>0</v>
      </c>
      <c r="O28" s="153">
        <f>SUMIFS('Unos rashoda i izdataka'!$K$3:$K$506,'Unos rashoda i izdataka'!$C$3:$C$506,"=563",'Unos rashoda i izdataka'!$P$3:$P$506,"=37")+SUMIFS('Unos rashoda P4'!$I$3:$I$501,'Unos rashoda P4'!$A$3:$A$501,"=563",'Unos rashoda P4'!$S$3:$S$501,"=37")</f>
        <v>0</v>
      </c>
      <c r="P28" s="153">
        <f>SUMIFS('Unos rashoda i izdataka'!$K$3:$K$506,'Unos rashoda i izdataka'!$C$3:$C$506,"=573",'Unos rashoda i izdataka'!$P$3:$P$506,"=37")+SUMIFS('Unos rashoda P4'!$I$3:$I$501,'Unos rashoda P4'!$A$3:$A$501,"=573",'Unos rashoda P4'!$S$3:$S$501,"=37")</f>
        <v>0</v>
      </c>
      <c r="Q28" s="153">
        <f>SUMIFS('Unos rashoda i izdataka'!$K$3:$K$506,'Unos rashoda i izdataka'!$C$3:$C$506,"=575",'Unos rashoda i izdataka'!$P$3:$P$506,"=37")+SUMIFS('Unos rashoda P4'!$I$3:$I$501,'Unos rashoda P4'!$A$3:$A$501,"=575",'Unos rashoda P4'!$S$3:$S$501,"=37")</f>
        <v>0</v>
      </c>
      <c r="R28" s="153">
        <f>SUMIFS('Unos rashoda i izdataka'!$K$3:$K$506,'Unos rashoda i izdataka'!$Q$3:$Q$506,"=576",'Unos rashoda i izdataka'!$P$3:$P$506,"=37")+SUMIFS('Unos rashoda P4'!$I$3:$I$501,'Unos rashoda P4'!$A$3:$A$501,"=576",'Unos rashoda P4'!$S$3:$S$501,"=37")</f>
        <v>0</v>
      </c>
      <c r="S28" s="153">
        <f>SUMIFS('Unos rashoda i izdataka'!$K$3:$K$506,'Unos rashoda i izdataka'!$C$3:$C$506,"=581",'Unos rashoda i izdataka'!$P$3:$P$506,"=37")+SUMIFS('Unos rashoda P4'!$I$3:$I$501,'Unos rashoda P4'!$A$3:$A$501,"=581",'Unos rashoda P4'!$S$3:$S$501,"=37")</f>
        <v>0</v>
      </c>
      <c r="T28" s="153">
        <f>SUMIFS('Unos rashoda i izdataka'!$K$3:$K$506,'Unos rashoda i izdataka'!$C$3:$C$506,"=61",'Unos rashoda i izdataka'!$P$3:$P$506,"=37")+SUMIFS('Unos rashoda P4'!$I$3:$I$501,'Unos rashoda P4'!$A$3:$A$501,"=61",'Unos rashoda P4'!$S$3:$S$501,"=37")</f>
        <v>94</v>
      </c>
      <c r="U28" s="153">
        <f>SUMIFS('Unos rashoda i izdataka'!$K$3:$K$506,'Unos rashoda i izdataka'!$C$3:$C$506,"=63",'Unos rashoda i izdataka'!$P$3:$P$506,"=37")+SUMIFS('Unos rashoda P4'!$I$3:$I$501,'Unos rashoda P4'!$A$3:$A$501,"=63",'Unos rashoda P4'!$S$3:$S$501,"=37")</f>
        <v>0</v>
      </c>
      <c r="V28" s="153">
        <f>SUMIFS('Unos rashoda i izdataka'!$K$3:$K$506,'Unos rashoda i izdataka'!$C$3:$C$506,"=71",'Unos rashoda i izdataka'!$P$3:$P$506,"=37")+SUMIFS('Unos rashoda P4'!$I$3:$I$501,'Unos rashoda P4'!$A$3:$A$501,"=71",'Unos rashoda P4'!$S$3:$S$501,"=37")</f>
        <v>0</v>
      </c>
      <c r="W28" s="153">
        <f>SUMIFS('Unos rashoda i izdataka'!$K$3:$K$506,'Unos rashoda i izdataka'!$C$3:$C$506,"=81",'Unos rashoda i izdataka'!$P$3:$P$506,"=37")+SUMIFS('Unos rashoda P4'!$I$3:$I$501,'Unos rashoda P4'!$A$3:$A$501,"=81",'Unos rashoda P4'!$S$3:$S$501,"=37")</f>
        <v>0</v>
      </c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</row>
    <row r="29" spans="1:43" ht="12" customHeight="1">
      <c r="A29" s="143">
        <v>2024</v>
      </c>
      <c r="B29" s="155">
        <v>38</v>
      </c>
      <c r="C29" s="156" t="s">
        <v>3672</v>
      </c>
      <c r="D29" s="157">
        <f t="shared" si="4"/>
        <v>0</v>
      </c>
      <c r="E29" s="153">
        <f>SUMIFS('Unos rashoda i izdataka'!$K$3:$K$506,'Unos rashoda i izdataka'!$C$3:$C$506,"=11",'Unos rashoda i izdataka'!$P$3:$P$506,"=38")+SUMIFS('Unos rashoda P4'!$I$3:$I$501,'Unos rashoda P4'!$A$3:$A$501,"=11",'Unos rashoda P4'!$S$3:$S$501,"=38")</f>
        <v>0</v>
      </c>
      <c r="F29" s="153">
        <f>SUMIFS('Unos rashoda i izdataka'!$K$3:$K$506,'Unos rashoda i izdataka'!$C$3:$C$506,"=12",'Unos rashoda i izdataka'!$P$3:$P$506,"=38")+SUMIFS('Unos rashoda P4'!$I$3:$I$501,'Unos rashoda P4'!$A$3:$A$501,"=12",'Unos rashoda P4'!$S$3:$S$501,"=38")</f>
        <v>0</v>
      </c>
      <c r="G29" s="153">
        <f>SUMIFS('Unos rashoda i izdataka'!$K$3:$K$506,'Unos rashoda i izdataka'!$C$3:$C$506,"=31",'Unos rashoda i izdataka'!$P$3:$P$506,"=38")+SUMIFS('Unos rashoda P4'!$I$3:$I$501,'Unos rashoda P4'!$A$3:$A$501,"=31",'Unos rashoda P4'!$S$3:$S$501,"=38")</f>
        <v>0</v>
      </c>
      <c r="H29" s="153">
        <f>SUMIFS('Unos rashoda i izdataka'!$K$3:$K$506,'Unos rashoda i izdataka'!$C$3:$C$506,"=41",'Unos rashoda i izdataka'!$P$3:$P$506,"=38")+SUMIFS('Unos rashoda P4'!$I$3:$I$501,'Unos rashoda P4'!$A$3:$A$501,"=41",'Unos rashoda P4'!$S$3:$S$501,"=38")</f>
        <v>0</v>
      </c>
      <c r="I29" s="153">
        <f>SUMIFS('Unos rashoda i izdataka'!$K$3:$K$506,'Unos rashoda i izdataka'!$C$3:$C$506,"=43",'Unos rashoda i izdataka'!$P$3:$P$506,"=38")+SUMIFS('Unos rashoda P4'!$I$3:$I$501,'Unos rashoda P4'!$A$3:$A$501,"=43",'Unos rashoda P4'!$S$3:$S$501,"=38")</f>
        <v>0</v>
      </c>
      <c r="J29" s="153">
        <f>SUMIFS('Unos rashoda i izdataka'!$K$3:$K$506,'Unos rashoda i izdataka'!$C$3:$C$506,"=51",'Unos rashoda i izdataka'!$P$3:$P$506,"=38")+SUMIFS('Unos rashoda P4'!$I$3:$I$501,'Unos rashoda P4'!$A$3:$A$501,"=51",'Unos rashoda P4'!$S$3:$S$501,"=38")</f>
        <v>0</v>
      </c>
      <c r="K29" s="153">
        <f>SUMIFS('Unos rashoda i izdataka'!$K$3:$K$506,'Unos rashoda i izdataka'!$C$3:$C$506,"=52",'Unos rashoda i izdataka'!$P$3:$P$506,"=38")+SUMIFS('Unos rashoda P4'!$I$3:$I$501,'Unos rashoda P4'!$A$3:$A$501,"=52",'Unos rashoda P4'!$S$3:$S$501,"=38")</f>
        <v>0</v>
      </c>
      <c r="L29" s="153">
        <f>SUMIFS('Unos rashoda i izdataka'!$K$3:$K$506,'Unos rashoda i izdataka'!$C$3:$C$506,"=552",'Unos rashoda i izdataka'!$P$3:$P$506,"=38")+SUMIFS('Unos rashoda P4'!$I$3:$I$501,'Unos rashoda P4'!$A$3:$A$501,"=552",'Unos rashoda P4'!$S$3:$S$501,"=38")</f>
        <v>0</v>
      </c>
      <c r="M29" s="153">
        <f>SUMIFS('Unos rashoda i izdataka'!$K$3:$K$506,'Unos rashoda i izdataka'!$C$3:$C$506,"=559",'Unos rashoda i izdataka'!$P$3:$P$506,"=38")+SUMIFS('Unos rashoda P4'!$I$3:$I$501,'Unos rashoda P4'!$A$3:$A$501,"=559",'Unos rashoda P4'!$S$3:$S$501,"=38")</f>
        <v>0</v>
      </c>
      <c r="N29" s="153">
        <f>SUMIFS('Unos rashoda i izdataka'!$K$3:$K$506,'Unos rashoda i izdataka'!$C$3:$C$506,"=561",'Unos rashoda i izdataka'!$P$3:$P$506,"=38")+SUMIFS('Unos rashoda P4'!$I$3:$I$501,'Unos rashoda P4'!$A$3:$A$501,"=561",'Unos rashoda P4'!$S$3:$S$501,"=38")</f>
        <v>0</v>
      </c>
      <c r="O29" s="153">
        <f>SUMIFS('Unos rashoda i izdataka'!$K$3:$K$506,'Unos rashoda i izdataka'!$C$3:$C$506,"=563",'Unos rashoda i izdataka'!$P$3:$P$506,"=38")+SUMIFS('Unos rashoda P4'!$I$3:$I$501,'Unos rashoda P4'!$A$3:$A$501,"=563",'Unos rashoda P4'!$S$3:$S$501,"=38")</f>
        <v>0</v>
      </c>
      <c r="P29" s="153">
        <f>SUMIFS('Unos rashoda i izdataka'!$K$3:$K$506,'Unos rashoda i izdataka'!$C$3:$C$506,"=573",'Unos rashoda i izdataka'!$P$3:$P$506,"=38")+SUMIFS('Unos rashoda P4'!$I$3:$I$501,'Unos rashoda P4'!$A$3:$A$501,"=573",'Unos rashoda P4'!$S$3:$S$501,"=38")</f>
        <v>0</v>
      </c>
      <c r="Q29" s="153">
        <f>SUMIFS('Unos rashoda i izdataka'!$K$3:$K$506,'Unos rashoda i izdataka'!$C$3:$C$506,"=575",'Unos rashoda i izdataka'!$P$3:$P$506,"=38")+SUMIFS('Unos rashoda P4'!$I$3:$I$501,'Unos rashoda P4'!$A$3:$A$501,"=575",'Unos rashoda P4'!$S$3:$S$501,"=38")</f>
        <v>0</v>
      </c>
      <c r="R29" s="153">
        <f>SUMIFS('Unos rashoda i izdataka'!$K$3:$K$506,'Unos rashoda i izdataka'!$Q$3:$Q$506,"=576",'Unos rashoda i izdataka'!$P$3:$P$506,"=38")+SUMIFS('Unos rashoda P4'!$I$3:$I$501,'Unos rashoda P4'!$A$3:$A$501,"=576",'Unos rashoda P4'!$S$3:$S$501,"=38")</f>
        <v>0</v>
      </c>
      <c r="S29" s="153">
        <f>SUMIFS('Unos rashoda i izdataka'!$K$3:$K$506,'Unos rashoda i izdataka'!$C$3:$C$506,"=581",'Unos rashoda i izdataka'!$P$3:$P$506,"=38")+SUMIFS('Unos rashoda P4'!$I$3:$I$501,'Unos rashoda P4'!$A$3:$A$501,"=581",'Unos rashoda P4'!$S$3:$S$501,"=38")</f>
        <v>0</v>
      </c>
      <c r="T29" s="153">
        <f>SUMIFS('Unos rashoda i izdataka'!$K$3:$K$506,'Unos rashoda i izdataka'!$C$3:$C$506,"=61",'Unos rashoda i izdataka'!$P$3:$P$506,"=38")+SUMIFS('Unos rashoda P4'!$I$3:$I$501,'Unos rashoda P4'!$A$3:$A$501,"=61",'Unos rashoda P4'!$S$3:$S$501,"=38")</f>
        <v>0</v>
      </c>
      <c r="U29" s="153">
        <f>SUMIFS('Unos rashoda i izdataka'!$K$3:$K$506,'Unos rashoda i izdataka'!$C$3:$C$506,"=63",'Unos rashoda i izdataka'!$P$3:$P$506,"=38")+SUMIFS('Unos rashoda P4'!$I$3:$I$501,'Unos rashoda P4'!$A$3:$A$501,"=63",'Unos rashoda P4'!$S$3:$S$501,"=38")</f>
        <v>0</v>
      </c>
      <c r="V29" s="153">
        <f>SUMIFS('Unos rashoda i izdataka'!$K$3:$K$506,'Unos rashoda i izdataka'!$C$3:$C$506,"=71",'Unos rashoda i izdataka'!$P$3:$P$506,"=38")+SUMIFS('Unos rashoda P4'!$I$3:$I$501,'Unos rashoda P4'!$A$3:$A$501,"=71",'Unos rashoda P4'!$S$3:$S$501,"=38")</f>
        <v>0</v>
      </c>
      <c r="W29" s="153">
        <f>SUMIFS('Unos rashoda i izdataka'!$K$3:$K$506,'Unos rashoda i izdataka'!$C$3:$C$506,"=81",'Unos rashoda i izdataka'!$P$3:$P$506,"=38")+SUMIFS('Unos rashoda P4'!$I$3:$I$501,'Unos rashoda P4'!$A$3:$A$501,"=81",'Unos rashoda P4'!$S$3:$S$501,"=38")</f>
        <v>0</v>
      </c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</row>
    <row r="30" spans="1:43" ht="12" customHeight="1">
      <c r="A30" s="143">
        <v>2024</v>
      </c>
      <c r="B30" s="159">
        <v>4</v>
      </c>
      <c r="C30" s="160" t="s">
        <v>3673</v>
      </c>
      <c r="D30" s="161">
        <f t="shared" si="4"/>
        <v>4804703.2604021495</v>
      </c>
      <c r="E30" s="162">
        <f t="shared" ref="E30:W30" si="7">SUM(E31:E35)</f>
        <v>316744</v>
      </c>
      <c r="F30" s="162">
        <f t="shared" si="7"/>
        <v>483262.90039153228</v>
      </c>
      <c r="G30" s="162">
        <f t="shared" si="7"/>
        <v>327315</v>
      </c>
      <c r="H30" s="162">
        <f t="shared" si="7"/>
        <v>0</v>
      </c>
      <c r="I30" s="162">
        <f t="shared" si="7"/>
        <v>0</v>
      </c>
      <c r="J30" s="162">
        <f t="shared" si="7"/>
        <v>135651</v>
      </c>
      <c r="K30" s="162">
        <f t="shared" si="7"/>
        <v>480506</v>
      </c>
      <c r="L30" s="162">
        <f t="shared" si="7"/>
        <v>0</v>
      </c>
      <c r="M30" s="162">
        <f t="shared" si="7"/>
        <v>0</v>
      </c>
      <c r="N30" s="162">
        <f t="shared" si="7"/>
        <v>0</v>
      </c>
      <c r="O30" s="162">
        <f t="shared" si="7"/>
        <v>3056001.3600106174</v>
      </c>
      <c r="P30" s="162">
        <f t="shared" si="7"/>
        <v>0</v>
      </c>
      <c r="Q30" s="162">
        <f t="shared" si="7"/>
        <v>0</v>
      </c>
      <c r="R30" s="162">
        <f t="shared" si="7"/>
        <v>0</v>
      </c>
      <c r="S30" s="162">
        <f t="shared" si="7"/>
        <v>0</v>
      </c>
      <c r="T30" s="162">
        <f t="shared" si="7"/>
        <v>5223</v>
      </c>
      <c r="U30" s="162">
        <f t="shared" si="7"/>
        <v>0</v>
      </c>
      <c r="V30" s="162">
        <f t="shared" si="7"/>
        <v>0</v>
      </c>
      <c r="W30" s="162">
        <f t="shared" si="7"/>
        <v>0</v>
      </c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</row>
    <row r="31" spans="1:43" ht="12" customHeight="1">
      <c r="A31" s="143">
        <v>2024</v>
      </c>
      <c r="B31" s="150">
        <v>41</v>
      </c>
      <c r="C31" s="151" t="s">
        <v>3674</v>
      </c>
      <c r="D31" s="157">
        <f t="shared" si="4"/>
        <v>0</v>
      </c>
      <c r="E31" s="153">
        <f>SUMIFS('Unos rashoda i izdataka'!$K$3:$K$506,'Unos rashoda i izdataka'!$C$3:$C$506,"=11",'Unos rashoda i izdataka'!$P$3:$P$506,"=41")+SUMIFS('Unos rashoda P4'!$I$3:$I$501,'Unos rashoda P4'!$A$3:$A$501,"=11",'Unos rashoda P4'!$S$3:$S$501,"=41")</f>
        <v>0</v>
      </c>
      <c r="F31" s="153">
        <f>SUMIFS('Unos rashoda i izdataka'!$K$3:$K$506,'Unos rashoda i izdataka'!$C$3:$C$506,"=12",'Unos rashoda i izdataka'!$P$3:$P$506,"=41")+SUMIFS('Unos rashoda P4'!$I$3:$I$501,'Unos rashoda P4'!$A$3:$A$501,"=12",'Unos rashoda P4'!$S$3:$S$501,"=41")</f>
        <v>0</v>
      </c>
      <c r="G31" s="153">
        <f>SUMIFS('Unos rashoda i izdataka'!$K$3:$K$506,'Unos rashoda i izdataka'!$C$3:$C$506,"=31",'Unos rashoda i izdataka'!$P$3:$P$506,"=41")+SUMIFS('Unos rashoda P4'!$I$3:$I$501,'Unos rashoda P4'!$A$3:$A$501,"=31",'Unos rashoda P4'!$S$3:$S$501,"=41")</f>
        <v>0</v>
      </c>
      <c r="H31" s="153">
        <f>SUMIFS('Unos rashoda i izdataka'!$K$3:$K$506,'Unos rashoda i izdataka'!$C$3:$C$506,"=41",'Unos rashoda i izdataka'!$P$3:$P$506,"=41")+SUMIFS('Unos rashoda P4'!$I$3:$I$501,'Unos rashoda P4'!$A$3:$A$501,"=41",'Unos rashoda P4'!$S$3:$S$501,"=41")</f>
        <v>0</v>
      </c>
      <c r="I31" s="153">
        <f>SUMIFS('Unos rashoda i izdataka'!$K$3:$K$506,'Unos rashoda i izdataka'!$C$3:$C$506,"=43",'Unos rashoda i izdataka'!$P$3:$P$506,"=41")+SUMIFS('Unos rashoda P4'!$I$3:$I$501,'Unos rashoda P4'!$A$3:$A$501,"=43",'Unos rashoda P4'!$S$3:$S$501,"=41")</f>
        <v>0</v>
      </c>
      <c r="J31" s="153">
        <f>SUMIFS('Unos rashoda i izdataka'!$K$3:$K$506,'Unos rashoda i izdataka'!$C$3:$C$506,"=51",'Unos rashoda i izdataka'!$P$3:$P$506,"=41")+SUMIFS('Unos rashoda P4'!$I$3:$I$501,'Unos rashoda P4'!$A$3:$A$501,"=51",'Unos rashoda P4'!$S$3:$S$501,"=41")</f>
        <v>0</v>
      </c>
      <c r="K31" s="153">
        <f>SUMIFS('Unos rashoda i izdataka'!$K$3:$K$506,'Unos rashoda i izdataka'!$C$3:$C$506,"=52",'Unos rashoda i izdataka'!$P$3:$P$506,"=41")+SUMIFS('Unos rashoda P4'!$I$3:$I$501,'Unos rashoda P4'!$A$3:$A$501,"=52",'Unos rashoda P4'!$S$3:$S$501,"=41")</f>
        <v>0</v>
      </c>
      <c r="L31" s="153">
        <f>SUMIFS('Unos rashoda i izdataka'!$K$3:$K$506,'Unos rashoda i izdataka'!$C$3:$C$506,"=552",'Unos rashoda i izdataka'!$P$3:$P$506,"=41")+SUMIFS('Unos rashoda P4'!$I$3:$I$501,'Unos rashoda P4'!$A$3:$A$501,"=552",'Unos rashoda P4'!$S$3:$S$501,"=41")</f>
        <v>0</v>
      </c>
      <c r="M31" s="153">
        <f>SUMIFS('Unos rashoda i izdataka'!$K$3:$K$506,'Unos rashoda i izdataka'!$C$3:$C$506,"=559",'Unos rashoda i izdataka'!$P$3:$P$506,"=41")+SUMIFS('Unos rashoda P4'!$I$3:$I$501,'Unos rashoda P4'!$A$3:$A$501,"=559",'Unos rashoda P4'!$S$3:$S$501,"=41")</f>
        <v>0</v>
      </c>
      <c r="N31" s="153">
        <f>SUMIFS('Unos rashoda i izdataka'!$K$3:$K$506,'Unos rashoda i izdataka'!$C$3:$C$506,"=561",'Unos rashoda i izdataka'!$P$3:$P$506,"=41")+SUMIFS('Unos rashoda P4'!$I$3:$I$501,'Unos rashoda P4'!$A$3:$A$501,"=561",'Unos rashoda P4'!$S$3:$S$501,"=41")</f>
        <v>0</v>
      </c>
      <c r="O31" s="153">
        <f>SUMIFS('Unos rashoda i izdataka'!$K$3:$K$506,'Unos rashoda i izdataka'!$C$3:$C$506,"=563",'Unos rashoda i izdataka'!$P$3:$P$506,"=41")+SUMIFS('Unos rashoda P4'!$I$3:$I$501,'Unos rashoda P4'!$A$3:$A$501,"=563",'Unos rashoda P4'!$S$3:$S$501,"=41")</f>
        <v>0</v>
      </c>
      <c r="P31" s="153">
        <f>SUMIFS('Unos rashoda i izdataka'!$K$3:$K$506,'Unos rashoda i izdataka'!$C$3:$C$506,"=573",'Unos rashoda i izdataka'!$P$3:$P$506,"=41")+SUMIFS('Unos rashoda P4'!$I$3:$I$501,'Unos rashoda P4'!$A$3:$A$501,"=573",'Unos rashoda P4'!$S$3:$S$501,"=41")</f>
        <v>0</v>
      </c>
      <c r="Q31" s="153">
        <f>SUMIFS('Unos rashoda i izdataka'!$K$3:$K$506,'Unos rashoda i izdataka'!$C$3:$C$506,"=575",'Unos rashoda i izdataka'!$P$3:$P$506,"=41")+SUMIFS('Unos rashoda P4'!$I$3:$I$501,'Unos rashoda P4'!$A$3:$A$501,"=575",'Unos rashoda P4'!$S$3:$S$501,"=41")</f>
        <v>0</v>
      </c>
      <c r="R31" s="153">
        <f>SUMIFS('Unos rashoda i izdataka'!$K$3:$K$506,'Unos rashoda i izdataka'!$Q$3:$Q$506,"=576",'Unos rashoda i izdataka'!$P$3:$P$506,"=41")+SUMIFS('Unos rashoda P4'!$I$3:$I$501,'Unos rashoda P4'!$A$3:$A$501,"=576",'Unos rashoda P4'!$S$3:$S$501,"=41")</f>
        <v>0</v>
      </c>
      <c r="S31" s="153">
        <f>SUMIFS('Unos rashoda i izdataka'!$K$3:$K$506,'Unos rashoda i izdataka'!$C$3:$C$506,"=581",'Unos rashoda i izdataka'!$P$3:$P$506,"=41")+SUMIFS('Unos rashoda P4'!$I$3:$I$501,'Unos rashoda P4'!$A$3:$A$501,"=581",'Unos rashoda P4'!$S$3:$S$501,"=41")</f>
        <v>0</v>
      </c>
      <c r="T31" s="153">
        <f>SUMIFS('Unos rashoda i izdataka'!$K$3:$K$506,'Unos rashoda i izdataka'!$C$3:$C$506,"=61",'Unos rashoda i izdataka'!$P$3:$P$506,"=41")+SUMIFS('Unos rashoda P4'!$I$3:$I$501,'Unos rashoda P4'!$A$3:$A$501,"=61",'Unos rashoda P4'!$S$3:$S$501,"=41")</f>
        <v>0</v>
      </c>
      <c r="U31" s="153">
        <f>SUMIFS('Unos rashoda i izdataka'!$K$3:$K$506,'Unos rashoda i izdataka'!$C$3:$C$506,"=63",'Unos rashoda i izdataka'!$P$3:$P$506,"=41")+SUMIFS('Unos rashoda P4'!$I$3:$I$501,'Unos rashoda P4'!$A$3:$A$501,"=63",'Unos rashoda P4'!$S$3:$S$501,"=41")</f>
        <v>0</v>
      </c>
      <c r="V31" s="153">
        <f>SUMIFS('Unos rashoda i izdataka'!$K$3:$K$506,'Unos rashoda i izdataka'!$C$3:$C$506,"=71",'Unos rashoda i izdataka'!$P$3:$P$506,"=41")+SUMIFS('Unos rashoda P4'!$I$3:$I$501,'Unos rashoda P4'!$A$3:$A$501,"=71",'Unos rashoda P4'!$S$3:$S$501,"=41")</f>
        <v>0</v>
      </c>
      <c r="W31" s="153">
        <f>SUMIFS('Unos rashoda i izdataka'!$K$3:$K$506,'Unos rashoda i izdataka'!$C$3:$C$506,"=81",'Unos rashoda i izdataka'!$P$3:$P$506,"=41")+SUMIFS('Unos rashoda P4'!$I$3:$I$501,'Unos rashoda P4'!$A$3:$A$501,"=81",'Unos rashoda P4'!$S$3:$S$501,"=41")</f>
        <v>0</v>
      </c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</row>
    <row r="32" spans="1:43" ht="12" customHeight="1">
      <c r="A32" s="143">
        <v>2024</v>
      </c>
      <c r="B32" s="155">
        <v>42</v>
      </c>
      <c r="C32" s="156" t="s">
        <v>3675</v>
      </c>
      <c r="D32" s="157">
        <f t="shared" si="4"/>
        <v>4787866.2604021495</v>
      </c>
      <c r="E32" s="153">
        <f>SUMIFS('Unos rashoda i izdataka'!$K$3:$K$506,'Unos rashoda i izdataka'!$C$3:$C$506,"=11",'Unos rashoda i izdataka'!$P$3:$P$506,"=42")+SUMIFS('Unos rashoda P4'!$I$3:$I$501,'Unos rashoda P4'!$A$3:$A$501,"=11",'Unos rashoda P4'!$S$3:$S$501,"=42")</f>
        <v>299907</v>
      </c>
      <c r="F32" s="153">
        <f>SUMIFS('Unos rashoda i izdataka'!$K$3:$K$506,'Unos rashoda i izdataka'!$C$3:$C$506,"=12",'Unos rashoda i izdataka'!$P$3:$P$506,"=42")+SUMIFS('Unos rashoda P4'!$I$3:$I$501,'Unos rashoda P4'!$A$3:$A$501,"=12",'Unos rashoda P4'!$S$3:$S$501,"=42")</f>
        <v>483262.90039153228</v>
      </c>
      <c r="G32" s="153">
        <f>SUMIFS('Unos rashoda i izdataka'!$K$3:$K$506,'Unos rashoda i izdataka'!$C$3:$C$506,"=31",'Unos rashoda i izdataka'!$P$3:$P$506,"=42")+SUMIFS('Unos rashoda P4'!$I$3:$I$501,'Unos rashoda P4'!$A$3:$A$501,"=31",'Unos rashoda P4'!$S$3:$S$501,"=42")</f>
        <v>327315</v>
      </c>
      <c r="H32" s="153">
        <f>SUMIFS('Unos rashoda i izdataka'!$K$3:$K$506,'Unos rashoda i izdataka'!$C$3:$C$506,"=41",'Unos rashoda i izdataka'!$P$3:$P$506,"=42")+SUMIFS('Unos rashoda P4'!$I$3:$I$501,'Unos rashoda P4'!$A$3:$A$501,"=41",'Unos rashoda P4'!$S$3:$S$501,"=42")</f>
        <v>0</v>
      </c>
      <c r="I32" s="153">
        <f>SUMIFS('Unos rashoda i izdataka'!$K$3:$K$506,'Unos rashoda i izdataka'!$C$3:$C$506,"=43",'Unos rashoda i izdataka'!$P$3:$P$506,"=42")+SUMIFS('Unos rashoda P4'!$I$3:$I$501,'Unos rashoda P4'!$A$3:$A$501,"=43",'Unos rashoda P4'!$S$3:$S$501,"=42")</f>
        <v>0</v>
      </c>
      <c r="J32" s="153">
        <f>SUMIFS('Unos rashoda i izdataka'!$K$3:$K$506,'Unos rashoda i izdataka'!$C$3:$C$506,"=51",'Unos rashoda i izdataka'!$P$3:$P$506,"=42")+SUMIFS('Unos rashoda P4'!$I$3:$I$501,'Unos rashoda P4'!$A$3:$A$501,"=51",'Unos rashoda P4'!$S$3:$S$501,"=42")</f>
        <v>135651</v>
      </c>
      <c r="K32" s="153">
        <f>SUMIFS('Unos rashoda i izdataka'!$K$3:$K$506,'Unos rashoda i izdataka'!$C$3:$C$506,"=52",'Unos rashoda i izdataka'!$P$3:$P$506,"=42")+SUMIFS('Unos rashoda P4'!$I$3:$I$501,'Unos rashoda P4'!$A$3:$A$501,"=52",'Unos rashoda P4'!$S$3:$S$501,"=42")</f>
        <v>480506</v>
      </c>
      <c r="L32" s="153">
        <f>SUMIFS('Unos rashoda i izdataka'!$K$3:$K$506,'Unos rashoda i izdataka'!$C$3:$C$506,"=552",'Unos rashoda i izdataka'!$P$3:$P$506,"=42")+SUMIFS('Unos rashoda P4'!$I$3:$I$501,'Unos rashoda P4'!$A$3:$A$501,"=552",'Unos rashoda P4'!$S$3:$S$501,"=42")</f>
        <v>0</v>
      </c>
      <c r="M32" s="153">
        <f>SUMIFS('Unos rashoda i izdataka'!$K$3:$K$506,'Unos rashoda i izdataka'!$C$3:$C$506,"=559",'Unos rashoda i izdataka'!$P$3:$P$506,"=42")+SUMIFS('Unos rashoda P4'!$I$3:$I$501,'Unos rashoda P4'!$A$3:$A$501,"=559",'Unos rashoda P4'!$S$3:$S$501,"=42")</f>
        <v>0</v>
      </c>
      <c r="N32" s="153">
        <f>SUMIFS('Unos rashoda i izdataka'!$K$3:$K$506,'Unos rashoda i izdataka'!$C$3:$C$506,"=561",'Unos rashoda i izdataka'!$P$3:$P$506,"=42")+SUMIFS('Unos rashoda P4'!$I$3:$I$501,'Unos rashoda P4'!$A$3:$A$501,"=561",'Unos rashoda P4'!$S$3:$S$501,"=42")</f>
        <v>0</v>
      </c>
      <c r="O32" s="153">
        <f>SUMIFS('Unos rashoda i izdataka'!$K$3:$K$506,'Unos rashoda i izdataka'!$C$3:$C$506,"=563",'Unos rashoda i izdataka'!$P$3:$P$506,"=42")+SUMIFS('Unos rashoda P4'!$I$3:$I$501,'Unos rashoda P4'!$A$3:$A$501,"=563",'Unos rashoda P4'!$S$3:$S$501,"=42")</f>
        <v>3056001.3600106174</v>
      </c>
      <c r="P32" s="153">
        <f>SUMIFS('Unos rashoda i izdataka'!$K$3:$K$506,'Unos rashoda i izdataka'!$C$3:$C$506,"=573",'Unos rashoda i izdataka'!$P$3:$P$506,"=42")+SUMIFS('Unos rashoda P4'!$I$3:$I$501,'Unos rashoda P4'!$A$3:$A$501,"=573",'Unos rashoda P4'!$S$3:$S$501,"=42")</f>
        <v>0</v>
      </c>
      <c r="Q32" s="153">
        <f>SUMIFS('Unos rashoda i izdataka'!$K$3:$K$506,'Unos rashoda i izdataka'!$C$3:$C$506,"=575",'Unos rashoda i izdataka'!$P$3:$P$506,"=42")+SUMIFS('Unos rashoda P4'!$I$3:$I$501,'Unos rashoda P4'!$A$3:$A$501,"=575",'Unos rashoda P4'!$S$3:$S$501,"=42")</f>
        <v>0</v>
      </c>
      <c r="R32" s="153">
        <f>SUMIFS('Unos rashoda i izdataka'!$K$3:$K$506,'Unos rashoda i izdataka'!$Q$3:$Q$506,"=576",'Unos rashoda i izdataka'!$P$3:$P$506,"=42")+SUMIFS('Unos rashoda P4'!$I$3:$I$501,'Unos rashoda P4'!$A$3:$A$501,"=576",'Unos rashoda P4'!$S$3:$S$501,"=42")</f>
        <v>0</v>
      </c>
      <c r="S32" s="153">
        <f>SUMIFS('Unos rashoda i izdataka'!$K$3:$K$506,'Unos rashoda i izdataka'!$C$3:$C$506,"=581",'Unos rashoda i izdataka'!$P$3:$P$506,"=42")+SUMIFS('Unos rashoda P4'!$I$3:$I$501,'Unos rashoda P4'!$A$3:$A$501,"=581",'Unos rashoda P4'!$S$3:$S$501,"=42")</f>
        <v>0</v>
      </c>
      <c r="T32" s="153">
        <f>SUMIFS('Unos rashoda i izdataka'!$K$3:$K$506,'Unos rashoda i izdataka'!$C$3:$C$506,"=61",'Unos rashoda i izdataka'!$P$3:$P$506,"=42")+SUMIFS('Unos rashoda P4'!$I$3:$I$501,'Unos rashoda P4'!$A$3:$A$501,"=61",'Unos rashoda P4'!$S$3:$S$501,"=42")</f>
        <v>5223</v>
      </c>
      <c r="U32" s="153">
        <f>SUMIFS('Unos rashoda i izdataka'!$K$3:$K$506,'Unos rashoda i izdataka'!$C$3:$C$506,"=63",'Unos rashoda i izdataka'!$P$3:$P$506,"=42")+SUMIFS('Unos rashoda P4'!$I$3:$I$501,'Unos rashoda P4'!$A$3:$A$501,"=63",'Unos rashoda P4'!$S$3:$S$501,"=42")</f>
        <v>0</v>
      </c>
      <c r="V32" s="153">
        <f>SUMIFS('Unos rashoda i izdataka'!$K$3:$K$506,'Unos rashoda i izdataka'!$C$3:$C$506,"=71",'Unos rashoda i izdataka'!$P$3:$P$506,"=42")+SUMIFS('Unos rashoda P4'!$I$3:$I$501,'Unos rashoda P4'!$A$3:$A$501,"=71",'Unos rashoda P4'!$S$3:$S$501,"=42")</f>
        <v>0</v>
      </c>
      <c r="W32" s="153">
        <f>SUMIFS('Unos rashoda i izdataka'!$K$3:$K$506,'Unos rashoda i izdataka'!$C$3:$C$506,"=81",'Unos rashoda i izdataka'!$P$3:$P$506,"=42")+SUMIFS('Unos rashoda P4'!$I$3:$I$501,'Unos rashoda P4'!$A$3:$A$501,"=81",'Unos rashoda P4'!$S$3:$S$501,"=42")</f>
        <v>0</v>
      </c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</row>
    <row r="33" spans="1:43" ht="12" customHeight="1">
      <c r="A33" s="143">
        <v>2024</v>
      </c>
      <c r="B33" s="150">
        <v>43</v>
      </c>
      <c r="C33" s="151" t="s">
        <v>3676</v>
      </c>
      <c r="D33" s="157">
        <f t="shared" si="4"/>
        <v>0</v>
      </c>
      <c r="E33" s="153">
        <f>SUMIFS('Unos rashoda i izdataka'!$K$3:$K$506,'Unos rashoda i izdataka'!$C$3:$C$506,"=11",'Unos rashoda i izdataka'!$P$3:$P$506,"=43")+SUMIFS('Unos rashoda P4'!$I$3:$I$501,'Unos rashoda P4'!$A$3:$A$501,"=11",'Unos rashoda P4'!$S$3:$S$501,"=43")</f>
        <v>0</v>
      </c>
      <c r="F33" s="153">
        <f>SUMIFS('Unos rashoda i izdataka'!$K$3:$K$506,'Unos rashoda i izdataka'!$C$3:$C$506,"=12",'Unos rashoda i izdataka'!$P$3:$P$506,"=43")+SUMIFS('Unos rashoda P4'!$I$3:$I$501,'Unos rashoda P4'!$A$3:$A$501,"=12",'Unos rashoda P4'!$S$3:$S$501,"=43")</f>
        <v>0</v>
      </c>
      <c r="G33" s="153">
        <f>SUMIFS('Unos rashoda i izdataka'!$K$3:$K$506,'Unos rashoda i izdataka'!$C$3:$C$506,"=31",'Unos rashoda i izdataka'!$P$3:$P$506,"=43")+SUMIFS('Unos rashoda P4'!$I$3:$I$501,'Unos rashoda P4'!$A$3:$A$501,"=31",'Unos rashoda P4'!$S$3:$S$501,"=43")</f>
        <v>0</v>
      </c>
      <c r="H33" s="153">
        <f>SUMIFS('Unos rashoda i izdataka'!$K$3:$K$506,'Unos rashoda i izdataka'!$C$3:$C$506,"=41",'Unos rashoda i izdataka'!$P$3:$P$506,"=43")+SUMIFS('Unos rashoda P4'!$I$3:$I$501,'Unos rashoda P4'!$A$3:$A$501,"=41",'Unos rashoda P4'!$S$3:$S$501,"=43")</f>
        <v>0</v>
      </c>
      <c r="I33" s="153">
        <f>SUMIFS('Unos rashoda i izdataka'!$K$3:$K$506,'Unos rashoda i izdataka'!$C$3:$C$506,"=43",'Unos rashoda i izdataka'!$P$3:$P$506,"=43")+SUMIFS('Unos rashoda P4'!$I$3:$I$501,'Unos rashoda P4'!$A$3:$A$501,"=43",'Unos rashoda P4'!$S$3:$S$501,"=43")</f>
        <v>0</v>
      </c>
      <c r="J33" s="153">
        <f>SUMIFS('Unos rashoda i izdataka'!$K$3:$K$506,'Unos rashoda i izdataka'!$C$3:$C$506,"=51",'Unos rashoda i izdataka'!$P$3:$P$506,"=43")+SUMIFS('Unos rashoda P4'!$I$3:$I$501,'Unos rashoda P4'!$A$3:$A$501,"=51",'Unos rashoda P4'!$S$3:$S$501,"=43")</f>
        <v>0</v>
      </c>
      <c r="K33" s="153">
        <f>SUMIFS('Unos rashoda i izdataka'!$K$3:$K$506,'Unos rashoda i izdataka'!$C$3:$C$506,"=52",'Unos rashoda i izdataka'!$P$3:$P$506,"=43")+SUMIFS('Unos rashoda P4'!$I$3:$I$501,'Unos rashoda P4'!$A$3:$A$501,"=52",'Unos rashoda P4'!$S$3:$S$501,"=43")</f>
        <v>0</v>
      </c>
      <c r="L33" s="153">
        <f>SUMIFS('Unos rashoda i izdataka'!$K$3:$K$506,'Unos rashoda i izdataka'!$C$3:$C$506,"=552",'Unos rashoda i izdataka'!$P$3:$P$506,"=43")+SUMIFS('Unos rashoda P4'!$I$3:$I$501,'Unos rashoda P4'!$A$3:$A$501,"=552",'Unos rashoda P4'!$S$3:$S$501,"=43")</f>
        <v>0</v>
      </c>
      <c r="M33" s="153">
        <f>SUMIFS('Unos rashoda i izdataka'!$K$3:$K$506,'Unos rashoda i izdataka'!$C$3:$C$506,"=559",'Unos rashoda i izdataka'!$P$3:$P$506,"=43")+SUMIFS('Unos rashoda P4'!$I$3:$I$501,'Unos rashoda P4'!$A$3:$A$501,"=559",'Unos rashoda P4'!$S$3:$S$501,"=43")</f>
        <v>0</v>
      </c>
      <c r="N33" s="153">
        <f>SUMIFS('Unos rashoda i izdataka'!$K$3:$K$506,'Unos rashoda i izdataka'!$C$3:$C$506,"=561",'Unos rashoda i izdataka'!$P$3:$P$506,"=43")+SUMIFS('Unos rashoda P4'!$I$3:$I$501,'Unos rashoda P4'!$A$3:$A$501,"=561",'Unos rashoda P4'!$S$3:$S$501,"=43")</f>
        <v>0</v>
      </c>
      <c r="O33" s="153">
        <f>SUMIFS('Unos rashoda i izdataka'!$K$3:$K$506,'Unos rashoda i izdataka'!$C$3:$C$506,"=563",'Unos rashoda i izdataka'!$P$3:$P$506,"=43")+SUMIFS('Unos rashoda P4'!$I$3:$I$501,'Unos rashoda P4'!$A$3:$A$501,"=563",'Unos rashoda P4'!$S$3:$S$501,"=43")</f>
        <v>0</v>
      </c>
      <c r="P33" s="153">
        <f>SUMIFS('Unos rashoda i izdataka'!$K$3:$K$506,'Unos rashoda i izdataka'!$C$3:$C$506,"=573",'Unos rashoda i izdataka'!$P$3:$P$506,"=43")+SUMIFS('Unos rashoda P4'!$I$3:$I$501,'Unos rashoda P4'!$A$3:$A$501,"=573",'Unos rashoda P4'!$S$3:$S$501,"=43")</f>
        <v>0</v>
      </c>
      <c r="Q33" s="153">
        <f>SUMIFS('Unos rashoda i izdataka'!$K$3:$K$506,'Unos rashoda i izdataka'!$C$3:$C$506,"=575",'Unos rashoda i izdataka'!$P$3:$P$506,"=43")+SUMIFS('Unos rashoda P4'!$I$3:$I$501,'Unos rashoda P4'!$A$3:$A$501,"=575",'Unos rashoda P4'!$S$3:$S$501,"=43")</f>
        <v>0</v>
      </c>
      <c r="R33" s="153">
        <f>SUMIFS('Unos rashoda i izdataka'!$K$3:$K$506,'Unos rashoda i izdataka'!$Q$3:$Q$506,"=576",'Unos rashoda i izdataka'!$P$3:$P$506,"=43")+SUMIFS('Unos rashoda P4'!$I$3:$I$501,'Unos rashoda P4'!$A$3:$A$501,"=576",'Unos rashoda P4'!$S$3:$S$501,"=43")</f>
        <v>0</v>
      </c>
      <c r="S33" s="153">
        <f>SUMIFS('Unos rashoda i izdataka'!$K$3:$K$506,'Unos rashoda i izdataka'!$C$3:$C$506,"=581",'Unos rashoda i izdataka'!$P$3:$P$506,"=43")+SUMIFS('Unos rashoda P4'!$I$3:$I$501,'Unos rashoda P4'!$A$3:$A$501,"=581",'Unos rashoda P4'!$S$3:$S$501,"=43")</f>
        <v>0</v>
      </c>
      <c r="T33" s="153">
        <f>SUMIFS('Unos rashoda i izdataka'!$K$3:$K$506,'Unos rashoda i izdataka'!$C$3:$C$506,"=61",'Unos rashoda i izdataka'!$P$3:$P$506,"=43")+SUMIFS('Unos rashoda P4'!$I$3:$I$501,'Unos rashoda P4'!$A$3:$A$501,"=61",'Unos rashoda P4'!$S$3:$S$501,"=43")</f>
        <v>0</v>
      </c>
      <c r="U33" s="153">
        <f>SUMIFS('Unos rashoda i izdataka'!$K$3:$K$506,'Unos rashoda i izdataka'!$C$3:$C$506,"=63",'Unos rashoda i izdataka'!$P$3:$P$506,"=43")+SUMIFS('Unos rashoda P4'!$I$3:$I$501,'Unos rashoda P4'!$A$3:$A$501,"=63",'Unos rashoda P4'!$S$3:$S$501,"=43")</f>
        <v>0</v>
      </c>
      <c r="V33" s="153">
        <f>SUMIFS('Unos rashoda i izdataka'!$K$3:$K$506,'Unos rashoda i izdataka'!$C$3:$C$506,"=71",'Unos rashoda i izdataka'!$P$3:$P$506,"=43")+SUMIFS('Unos rashoda P4'!$I$3:$I$501,'Unos rashoda P4'!$A$3:$A$501,"=71",'Unos rashoda P4'!$S$3:$S$501,"=43")</f>
        <v>0</v>
      </c>
      <c r="W33" s="153">
        <f>SUMIFS('Unos rashoda i izdataka'!$K$3:$K$506,'Unos rashoda i izdataka'!$C$3:$C$506,"=81",'Unos rashoda i izdataka'!$P$3:$P$506,"=43")+SUMIFS('Unos rashoda P4'!$I$3:$I$501,'Unos rashoda P4'!$A$3:$A$501,"=81",'Unos rashoda P4'!$S$3:$S$501,"=43")</f>
        <v>0</v>
      </c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</row>
    <row r="34" spans="1:43" ht="12" customHeight="1">
      <c r="A34" s="143">
        <v>2024</v>
      </c>
      <c r="B34" s="150">
        <v>44</v>
      </c>
      <c r="C34" s="151" t="s">
        <v>3677</v>
      </c>
      <c r="D34" s="157">
        <f t="shared" si="4"/>
        <v>0</v>
      </c>
      <c r="E34" s="153">
        <f>SUMIFS('Unos rashoda i izdataka'!$K$3:$K$506,'Unos rashoda i izdataka'!$C$3:$C$506,"=11",'Unos rashoda i izdataka'!$P$3:$P$506,"=44")+SUMIFS('Unos rashoda P4'!$I$3:$I$501,'Unos rashoda P4'!$A$3:$A$501,"=11",'Unos rashoda P4'!$S$3:$S$501,"=44")</f>
        <v>0</v>
      </c>
      <c r="F34" s="153">
        <f>SUMIFS('Unos rashoda i izdataka'!$K$3:$K$506,'Unos rashoda i izdataka'!$C$3:$C$506,"=12",'Unos rashoda i izdataka'!$P$3:$P$506,"=44")+SUMIFS('Unos rashoda P4'!$I$3:$I$501,'Unos rashoda P4'!$A$3:$A$501,"=12",'Unos rashoda P4'!$S$3:$S$501,"=44")</f>
        <v>0</v>
      </c>
      <c r="G34" s="153">
        <f>SUMIFS('Unos rashoda i izdataka'!$K$3:$K$506,'Unos rashoda i izdataka'!$C$3:$C$506,"=31",'Unos rashoda i izdataka'!$P$3:$P$506,"=44")+SUMIFS('Unos rashoda P4'!$I$3:$I$501,'Unos rashoda P4'!$A$3:$A$501,"=31",'Unos rashoda P4'!$S$3:$S$501,"=44")</f>
        <v>0</v>
      </c>
      <c r="H34" s="153">
        <f>SUMIFS('Unos rashoda i izdataka'!$K$3:$K$506,'Unos rashoda i izdataka'!$C$3:$C$506,"=41",'Unos rashoda i izdataka'!$P$3:$P$506,"=44")+SUMIFS('Unos rashoda P4'!$I$3:$I$501,'Unos rashoda P4'!$A$3:$A$501,"=41",'Unos rashoda P4'!$S$3:$S$501,"=44")</f>
        <v>0</v>
      </c>
      <c r="I34" s="153">
        <f>SUMIFS('Unos rashoda i izdataka'!$K$3:$K$506,'Unos rashoda i izdataka'!$C$3:$C$506,"=43",'Unos rashoda i izdataka'!$P$3:$P$506,"=44")+SUMIFS('Unos rashoda P4'!$I$3:$I$501,'Unos rashoda P4'!$A$3:$A$501,"=43",'Unos rashoda P4'!$S$3:$S$501,"=44")</f>
        <v>0</v>
      </c>
      <c r="J34" s="153">
        <f>SUMIFS('Unos rashoda i izdataka'!$K$3:$K$506,'Unos rashoda i izdataka'!$C$3:$C$506,"=51",'Unos rashoda i izdataka'!$P$3:$P$506,"=44")+SUMIFS('Unos rashoda P4'!$I$3:$I$501,'Unos rashoda P4'!$A$3:$A$501,"=51",'Unos rashoda P4'!$S$3:$S$501,"=44")</f>
        <v>0</v>
      </c>
      <c r="K34" s="153">
        <f>SUMIFS('Unos rashoda i izdataka'!$K$3:$K$506,'Unos rashoda i izdataka'!$C$3:$C$506,"=52",'Unos rashoda i izdataka'!$P$3:$P$506,"=44")+SUMIFS('Unos rashoda P4'!$I$3:$I$501,'Unos rashoda P4'!$A$3:$A$501,"=52",'Unos rashoda P4'!$S$3:$S$501,"=44")</f>
        <v>0</v>
      </c>
      <c r="L34" s="153">
        <f>SUMIFS('Unos rashoda i izdataka'!$K$3:$K$506,'Unos rashoda i izdataka'!$C$3:$C$506,"=552",'Unos rashoda i izdataka'!$P$3:$P$506,"=44")+SUMIFS('Unos rashoda P4'!$I$3:$I$501,'Unos rashoda P4'!$A$3:$A$501,"=552",'Unos rashoda P4'!$S$3:$S$501,"=44")</f>
        <v>0</v>
      </c>
      <c r="M34" s="153">
        <f>SUMIFS('Unos rashoda i izdataka'!$K$3:$K$506,'Unos rashoda i izdataka'!$C$3:$C$506,"=559",'Unos rashoda i izdataka'!$P$3:$P$506,"=44")+SUMIFS('Unos rashoda P4'!$I$3:$I$501,'Unos rashoda P4'!$A$3:$A$501,"=559",'Unos rashoda P4'!$S$3:$S$501,"=44")</f>
        <v>0</v>
      </c>
      <c r="N34" s="153">
        <f>SUMIFS('Unos rashoda i izdataka'!$K$3:$K$506,'Unos rashoda i izdataka'!$C$3:$C$506,"=561",'Unos rashoda i izdataka'!$P$3:$P$506,"=44")+SUMIFS('Unos rashoda P4'!$I$3:$I$501,'Unos rashoda P4'!$A$3:$A$501,"=561",'Unos rashoda P4'!$S$3:$S$501,"=44")</f>
        <v>0</v>
      </c>
      <c r="O34" s="153">
        <f>SUMIFS('Unos rashoda i izdataka'!$K$3:$K$506,'Unos rashoda i izdataka'!$C$3:$C$506,"=563",'Unos rashoda i izdataka'!$P$3:$P$506,"=44")+SUMIFS('Unos rashoda P4'!$I$3:$I$501,'Unos rashoda P4'!$A$3:$A$501,"=563",'Unos rashoda P4'!$S$3:$S$501,"=44")</f>
        <v>0</v>
      </c>
      <c r="P34" s="153">
        <f>SUMIFS('Unos rashoda i izdataka'!$K$3:$K$506,'Unos rashoda i izdataka'!$C$3:$C$506,"=573",'Unos rashoda i izdataka'!$P$3:$P$506,"=44")+SUMIFS('Unos rashoda P4'!$I$3:$I$501,'Unos rashoda P4'!$A$3:$A$501,"=573",'Unos rashoda P4'!$S$3:$S$501,"=44")</f>
        <v>0</v>
      </c>
      <c r="Q34" s="153">
        <f>SUMIFS('Unos rashoda i izdataka'!$K$3:$K$506,'Unos rashoda i izdataka'!$C$3:$C$506,"=575",'Unos rashoda i izdataka'!$P$3:$P$506,"=44")+SUMIFS('Unos rashoda P4'!$I$3:$I$501,'Unos rashoda P4'!$A$3:$A$501,"=575",'Unos rashoda P4'!$S$3:$S$501,"=44")</f>
        <v>0</v>
      </c>
      <c r="R34" s="153">
        <f>SUMIFS('Unos rashoda i izdataka'!$K$3:$K$506,'Unos rashoda i izdataka'!$Q$3:$Q$506,"=576",'Unos rashoda i izdataka'!$P$3:$P$506,"=44")+SUMIFS('Unos rashoda P4'!$I$3:$I$501,'Unos rashoda P4'!$A$3:$A$501,"=576",'Unos rashoda P4'!$S$3:$S$501,"=44")</f>
        <v>0</v>
      </c>
      <c r="S34" s="153">
        <f>SUMIFS('Unos rashoda i izdataka'!$K$3:$K$506,'Unos rashoda i izdataka'!$C$3:$C$506,"=581",'Unos rashoda i izdataka'!$P$3:$P$506,"=44")+SUMIFS('Unos rashoda P4'!$I$3:$I$501,'Unos rashoda P4'!$A$3:$A$501,"=581",'Unos rashoda P4'!$S$3:$S$501,"=44")</f>
        <v>0</v>
      </c>
      <c r="T34" s="153">
        <f>SUMIFS('Unos rashoda i izdataka'!$K$3:$K$506,'Unos rashoda i izdataka'!$C$3:$C$506,"=61",'Unos rashoda i izdataka'!$P$3:$P$506,"=44")+SUMIFS('Unos rashoda P4'!$I$3:$I$501,'Unos rashoda P4'!$A$3:$A$501,"=61",'Unos rashoda P4'!$S$3:$S$501,"=44")</f>
        <v>0</v>
      </c>
      <c r="U34" s="153">
        <f>SUMIFS('Unos rashoda i izdataka'!$K$3:$K$506,'Unos rashoda i izdataka'!$C$3:$C$506,"=63",'Unos rashoda i izdataka'!$P$3:$P$506,"=44")+SUMIFS('Unos rashoda P4'!$I$3:$I$501,'Unos rashoda P4'!$A$3:$A$501,"=63",'Unos rashoda P4'!$S$3:$S$501,"=44")</f>
        <v>0</v>
      </c>
      <c r="V34" s="153">
        <f>SUMIFS('Unos rashoda i izdataka'!$K$3:$K$506,'Unos rashoda i izdataka'!$C$3:$C$506,"=71",'Unos rashoda i izdataka'!$P$3:$P$506,"=44")+SUMIFS('Unos rashoda P4'!$I$3:$I$501,'Unos rashoda P4'!$A$3:$A$501,"=71",'Unos rashoda P4'!$S$3:$S$501,"=44")</f>
        <v>0</v>
      </c>
      <c r="W34" s="153">
        <f>SUMIFS('Unos rashoda i izdataka'!$K$3:$K$506,'Unos rashoda i izdataka'!$C$3:$C$506,"=81",'Unos rashoda i izdataka'!$P$3:$P$506,"=44")+SUMIFS('Unos rashoda P4'!$I$3:$I$501,'Unos rashoda P4'!$A$3:$A$501,"=81",'Unos rashoda P4'!$S$3:$S$501,"=44")</f>
        <v>0</v>
      </c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</row>
    <row r="35" spans="1:43" ht="12" customHeight="1">
      <c r="A35" s="143">
        <v>2024</v>
      </c>
      <c r="B35" s="155">
        <v>45</v>
      </c>
      <c r="C35" s="156" t="s">
        <v>3678</v>
      </c>
      <c r="D35" s="157">
        <f t="shared" si="4"/>
        <v>16837</v>
      </c>
      <c r="E35" s="153">
        <f>SUMIFS('Unos rashoda i izdataka'!$K$3:$K$506,'Unos rashoda i izdataka'!$C$3:$C$506,"=11",'Unos rashoda i izdataka'!$P$3:$P$506,"=45")+SUMIFS('Unos rashoda P4'!$I$3:$I$501,'Unos rashoda P4'!$A$3:$A$501,"=11",'Unos rashoda P4'!$S$3:$S$501,"=45")</f>
        <v>16837</v>
      </c>
      <c r="F35" s="153">
        <f>SUMIFS('Unos rashoda i izdataka'!$K$3:$K$506,'Unos rashoda i izdataka'!$C$3:$C$506,"=12",'Unos rashoda i izdataka'!$P$3:$P$506,"=45")+SUMIFS('Unos rashoda P4'!$I$3:$I$501,'Unos rashoda P4'!$A$3:$A$501,"=12",'Unos rashoda P4'!$S$3:$S$501,"=45")</f>
        <v>0</v>
      </c>
      <c r="G35" s="153">
        <f>SUMIFS('Unos rashoda i izdataka'!$K$3:$K$506,'Unos rashoda i izdataka'!$C$3:$C$506,"=31",'Unos rashoda i izdataka'!$P$3:$P$506,"=45")+SUMIFS('Unos rashoda P4'!$I$3:$I$501,'Unos rashoda P4'!$A$3:$A$501,"=31",'Unos rashoda P4'!$S$3:$S$501,"=45")</f>
        <v>0</v>
      </c>
      <c r="H35" s="153">
        <f>SUMIFS('Unos rashoda i izdataka'!$K$3:$K$506,'Unos rashoda i izdataka'!$C$3:$C$506,"=41",'Unos rashoda i izdataka'!$P$3:$P$506,"=45")+SUMIFS('Unos rashoda P4'!$I$3:$I$501,'Unos rashoda P4'!$A$3:$A$501,"=41",'Unos rashoda P4'!$S$3:$S$501,"=45")</f>
        <v>0</v>
      </c>
      <c r="I35" s="153">
        <f>SUMIFS('Unos rashoda i izdataka'!$K$3:$K$506,'Unos rashoda i izdataka'!$C$3:$C$506,"=43",'Unos rashoda i izdataka'!$P$3:$P$506,"=45")+SUMIFS('Unos rashoda P4'!$I$3:$I$501,'Unos rashoda P4'!$A$3:$A$501,"=43",'Unos rashoda P4'!$S$3:$S$501,"=45")</f>
        <v>0</v>
      </c>
      <c r="J35" s="153">
        <f>SUMIFS('Unos rashoda i izdataka'!$K$3:$K$506,'Unos rashoda i izdataka'!$C$3:$C$506,"=51",'Unos rashoda i izdataka'!$P$3:$P$506,"=45")+SUMIFS('Unos rashoda P4'!$I$3:$I$501,'Unos rashoda P4'!$A$3:$A$501,"=51",'Unos rashoda P4'!$S$3:$S$501,"=45")</f>
        <v>0</v>
      </c>
      <c r="K35" s="153">
        <f>SUMIFS('Unos rashoda i izdataka'!$K$3:$K$506,'Unos rashoda i izdataka'!$C$3:$C$506,"=52",'Unos rashoda i izdataka'!$P$3:$P$506,"=45")+SUMIFS('Unos rashoda P4'!$I$3:$I$501,'Unos rashoda P4'!$A$3:$A$501,"=52",'Unos rashoda P4'!$S$3:$S$501,"=45")</f>
        <v>0</v>
      </c>
      <c r="L35" s="153">
        <f>SUMIFS('Unos rashoda i izdataka'!$K$3:$K$506,'Unos rashoda i izdataka'!$C$3:$C$506,"=552",'Unos rashoda i izdataka'!$P$3:$P$506,"=45")+SUMIFS('Unos rashoda P4'!$I$3:$I$501,'Unos rashoda P4'!$A$3:$A$501,"=552",'Unos rashoda P4'!$S$3:$S$501,"=45")</f>
        <v>0</v>
      </c>
      <c r="M35" s="153">
        <f>SUMIFS('Unos rashoda i izdataka'!$K$3:$K$506,'Unos rashoda i izdataka'!$C$3:$C$506,"=559",'Unos rashoda i izdataka'!$P$3:$P$506,"=45")+SUMIFS('Unos rashoda P4'!$I$3:$I$501,'Unos rashoda P4'!$A$3:$A$501,"=559",'Unos rashoda P4'!$S$3:$S$501,"=45")</f>
        <v>0</v>
      </c>
      <c r="N35" s="153">
        <f>SUMIFS('Unos rashoda i izdataka'!$K$3:$K$506,'Unos rashoda i izdataka'!$C$3:$C$506,"=561",'Unos rashoda i izdataka'!$P$3:$P$506,"=45")+SUMIFS('Unos rashoda P4'!$I$3:$I$501,'Unos rashoda P4'!$A$3:$A$501,"=561",'Unos rashoda P4'!$S$3:$S$501,"=45")</f>
        <v>0</v>
      </c>
      <c r="O35" s="153">
        <f>SUMIFS('Unos rashoda i izdataka'!$K$3:$K$506,'Unos rashoda i izdataka'!$C$3:$C$506,"=563",'Unos rashoda i izdataka'!$P$3:$P$506,"=45")+SUMIFS('Unos rashoda P4'!$I$3:$I$501,'Unos rashoda P4'!$A$3:$A$501,"=563",'Unos rashoda P4'!$S$3:$S$501,"=45")</f>
        <v>0</v>
      </c>
      <c r="P35" s="153">
        <f>SUMIFS('Unos rashoda i izdataka'!$K$3:$K$506,'Unos rashoda i izdataka'!$C$3:$C$506,"=573",'Unos rashoda i izdataka'!$P$3:$P$506,"=45")+SUMIFS('Unos rashoda P4'!$I$3:$I$501,'Unos rashoda P4'!$A$3:$A$501,"=573",'Unos rashoda P4'!$S$3:$S$501,"=45")</f>
        <v>0</v>
      </c>
      <c r="Q35" s="153">
        <f>SUMIFS('Unos rashoda i izdataka'!$K$3:$K$506,'Unos rashoda i izdataka'!$C$3:$C$506,"=575",'Unos rashoda i izdataka'!$P$3:$P$506,"=45")+SUMIFS('Unos rashoda P4'!$I$3:$I$501,'Unos rashoda P4'!$A$3:$A$501,"=575",'Unos rashoda P4'!$S$3:$S$501,"=45")</f>
        <v>0</v>
      </c>
      <c r="R35" s="153">
        <f>SUMIFS('Unos rashoda i izdataka'!$K$3:$K$506,'Unos rashoda i izdataka'!$Q$3:$Q$506,"=576",'Unos rashoda i izdataka'!$P$3:$P$506,"=45")+SUMIFS('Unos rashoda P4'!$I$3:$I$501,'Unos rashoda P4'!$A$3:$A$501,"=576",'Unos rashoda P4'!$S$3:$S$501,"=45")</f>
        <v>0</v>
      </c>
      <c r="S35" s="153">
        <f>SUMIFS('Unos rashoda i izdataka'!$K$3:$K$506,'Unos rashoda i izdataka'!$C$3:$C$506,"=581",'Unos rashoda i izdataka'!$P$3:$P$506,"=45")+SUMIFS('Unos rashoda P4'!$I$3:$I$501,'Unos rashoda P4'!$A$3:$A$501,"=581",'Unos rashoda P4'!$S$3:$S$501,"=45")</f>
        <v>0</v>
      </c>
      <c r="T35" s="153">
        <f>SUMIFS('Unos rashoda i izdataka'!$K$3:$K$506,'Unos rashoda i izdataka'!$C$3:$C$506,"=61",'Unos rashoda i izdataka'!$P$3:$P$506,"=45")+SUMIFS('Unos rashoda P4'!$I$3:$I$501,'Unos rashoda P4'!$A$3:$A$501,"=61",'Unos rashoda P4'!$S$3:$S$501,"=45")</f>
        <v>0</v>
      </c>
      <c r="U35" s="153">
        <f>SUMIFS('Unos rashoda i izdataka'!$K$3:$K$506,'Unos rashoda i izdataka'!$C$3:$C$506,"=63",'Unos rashoda i izdataka'!$P$3:$P$506,"=45")+SUMIFS('Unos rashoda P4'!$I$3:$I$501,'Unos rashoda P4'!$A$3:$A$501,"=63",'Unos rashoda P4'!$S$3:$S$501,"=45")</f>
        <v>0</v>
      </c>
      <c r="V35" s="153">
        <f>SUMIFS('Unos rashoda i izdataka'!$K$3:$K$506,'Unos rashoda i izdataka'!$C$3:$C$506,"=71",'Unos rashoda i izdataka'!$P$3:$P$506,"=45")+SUMIFS('Unos rashoda P4'!$I$3:$I$501,'Unos rashoda P4'!$A$3:$A$501,"=71",'Unos rashoda P4'!$S$3:$S$501,"=45")</f>
        <v>0</v>
      </c>
      <c r="W35" s="153">
        <f>SUMIFS('Unos rashoda i izdataka'!$K$3:$K$506,'Unos rashoda i izdataka'!$C$3:$C$506,"=81",'Unos rashoda i izdataka'!$P$3:$P$506,"=45")+SUMIFS('Unos rashoda P4'!$I$3:$I$501,'Unos rashoda P4'!$A$3:$A$501,"=81",'Unos rashoda P4'!$S$3:$S$501,"=45")</f>
        <v>0</v>
      </c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</row>
    <row r="36" spans="1:43" ht="12.75" customHeight="1">
      <c r="A36" s="13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</row>
    <row r="37" spans="1:43" ht="71.25" customHeight="1">
      <c r="A37" s="141" t="s">
        <v>3598</v>
      </c>
      <c r="B37" s="101" t="s">
        <v>3656</v>
      </c>
      <c r="C37" s="101" t="s">
        <v>3657</v>
      </c>
      <c r="D37" s="101" t="s">
        <v>3680</v>
      </c>
      <c r="E37" s="101" t="s">
        <v>3659</v>
      </c>
      <c r="F37" s="101" t="s">
        <v>3603</v>
      </c>
      <c r="G37" s="101" t="s">
        <v>3604</v>
      </c>
      <c r="H37" s="101" t="s">
        <v>3660</v>
      </c>
      <c r="I37" s="101" t="s">
        <v>3606</v>
      </c>
      <c r="J37" s="101" t="s">
        <v>3607</v>
      </c>
      <c r="K37" s="101" t="s">
        <v>3608</v>
      </c>
      <c r="L37" s="101" t="s">
        <v>3609</v>
      </c>
      <c r="M37" s="101" t="s">
        <v>3610</v>
      </c>
      <c r="N37" s="101" t="s">
        <v>3611</v>
      </c>
      <c r="O37" s="101" t="s">
        <v>3612</v>
      </c>
      <c r="P37" s="101" t="s">
        <v>3613</v>
      </c>
      <c r="Q37" s="101" t="s">
        <v>3661</v>
      </c>
      <c r="R37" s="101" t="s">
        <v>3662</v>
      </c>
      <c r="S37" s="101" t="s">
        <v>3616</v>
      </c>
      <c r="T37" s="101" t="s">
        <v>3617</v>
      </c>
      <c r="U37" s="101" t="s">
        <v>3618</v>
      </c>
      <c r="V37" s="101" t="s">
        <v>3663</v>
      </c>
      <c r="W37" s="101" t="s">
        <v>3620</v>
      </c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</row>
    <row r="38" spans="1:43" ht="19.5" customHeight="1">
      <c r="A38" s="143">
        <v>2025</v>
      </c>
      <c r="B38" s="115">
        <v>2025</v>
      </c>
      <c r="C38" s="115" t="s">
        <v>3664</v>
      </c>
      <c r="D38" s="116">
        <f t="shared" ref="D38:D52" si="8">SUM(E38:W38)</f>
        <v>31961159.2496439</v>
      </c>
      <c r="E38" s="144">
        <f t="shared" ref="E38:W38" si="9">E39+E47</f>
        <v>27718987.2496439</v>
      </c>
      <c r="F38" s="144">
        <f t="shared" si="9"/>
        <v>0</v>
      </c>
      <c r="G38" s="144">
        <f t="shared" si="9"/>
        <v>2201155</v>
      </c>
      <c r="H38" s="144">
        <f t="shared" si="9"/>
        <v>0</v>
      </c>
      <c r="I38" s="144">
        <f t="shared" si="9"/>
        <v>0</v>
      </c>
      <c r="J38" s="144">
        <f t="shared" si="9"/>
        <v>969549</v>
      </c>
      <c r="K38" s="144">
        <f t="shared" si="9"/>
        <v>995343</v>
      </c>
      <c r="L38" s="144">
        <f t="shared" si="9"/>
        <v>0</v>
      </c>
      <c r="M38" s="144">
        <f t="shared" si="9"/>
        <v>0</v>
      </c>
      <c r="N38" s="144">
        <f t="shared" si="9"/>
        <v>0</v>
      </c>
      <c r="O38" s="144">
        <f t="shared" si="9"/>
        <v>0</v>
      </c>
      <c r="P38" s="144">
        <f t="shared" si="9"/>
        <v>0</v>
      </c>
      <c r="Q38" s="144">
        <f t="shared" si="9"/>
        <v>0</v>
      </c>
      <c r="R38" s="144">
        <f t="shared" si="9"/>
        <v>0</v>
      </c>
      <c r="S38" s="144">
        <f t="shared" si="9"/>
        <v>0</v>
      </c>
      <c r="T38" s="144">
        <f t="shared" si="9"/>
        <v>76125</v>
      </c>
      <c r="U38" s="144">
        <f t="shared" si="9"/>
        <v>0</v>
      </c>
      <c r="V38" s="144">
        <f t="shared" si="9"/>
        <v>0</v>
      </c>
      <c r="W38" s="144">
        <f t="shared" si="9"/>
        <v>0</v>
      </c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145"/>
      <c r="AO38" s="145"/>
      <c r="AP38" s="145"/>
      <c r="AQ38" s="145"/>
    </row>
    <row r="39" spans="1:43" ht="12" customHeight="1">
      <c r="A39" s="143">
        <v>2025</v>
      </c>
      <c r="B39" s="146">
        <v>3</v>
      </c>
      <c r="C39" s="147" t="s">
        <v>3665</v>
      </c>
      <c r="D39" s="148">
        <f t="shared" si="8"/>
        <v>30989734.2496439</v>
      </c>
      <c r="E39" s="149">
        <f t="shared" ref="E39:W39" si="10">SUM(E40:E46)</f>
        <v>27402243.2496439</v>
      </c>
      <c r="F39" s="149">
        <f t="shared" si="10"/>
        <v>0</v>
      </c>
      <c r="G39" s="149">
        <f t="shared" si="10"/>
        <v>1857475</v>
      </c>
      <c r="H39" s="149">
        <f t="shared" si="10"/>
        <v>0</v>
      </c>
      <c r="I39" s="149">
        <f t="shared" si="10"/>
        <v>0</v>
      </c>
      <c r="J39" s="149">
        <f t="shared" si="10"/>
        <v>890399</v>
      </c>
      <c r="K39" s="149">
        <f t="shared" si="10"/>
        <v>771789</v>
      </c>
      <c r="L39" s="149">
        <f t="shared" si="10"/>
        <v>0</v>
      </c>
      <c r="M39" s="149">
        <f t="shared" si="10"/>
        <v>0</v>
      </c>
      <c r="N39" s="149">
        <f t="shared" si="10"/>
        <v>0</v>
      </c>
      <c r="O39" s="149">
        <f t="shared" si="10"/>
        <v>0</v>
      </c>
      <c r="P39" s="149">
        <f t="shared" si="10"/>
        <v>0</v>
      </c>
      <c r="Q39" s="149">
        <f t="shared" si="10"/>
        <v>0</v>
      </c>
      <c r="R39" s="149">
        <f t="shared" si="10"/>
        <v>0</v>
      </c>
      <c r="S39" s="149">
        <f t="shared" si="10"/>
        <v>0</v>
      </c>
      <c r="T39" s="149">
        <f t="shared" si="10"/>
        <v>67828</v>
      </c>
      <c r="U39" s="149">
        <f t="shared" si="10"/>
        <v>0</v>
      </c>
      <c r="V39" s="149">
        <f t="shared" si="10"/>
        <v>0</v>
      </c>
      <c r="W39" s="149">
        <f t="shared" si="10"/>
        <v>0</v>
      </c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</row>
    <row r="40" spans="1:43" ht="12" customHeight="1">
      <c r="A40" s="143">
        <v>2025</v>
      </c>
      <c r="B40" s="150">
        <v>31</v>
      </c>
      <c r="C40" s="151" t="s">
        <v>3666</v>
      </c>
      <c r="D40" s="152">
        <f t="shared" si="8"/>
        <v>25637122.515988916</v>
      </c>
      <c r="E40" s="153">
        <f>SUMIFS('Unos rashoda i izdataka'!$L$3:$L$506,'Unos rashoda i izdataka'!$C$3:$C$506,"=11",'Unos rashoda i izdataka'!$P$3:$P$506,"=31")+SUMIFS('Unos rashoda P4'!$J$3:$J$501,'Unos rashoda P4'!$A$3:$A$501,"=11",'Unos rashoda P4'!$S$3:$S$501,"=31")</f>
        <v>24206868.515988916</v>
      </c>
      <c r="F40" s="153">
        <f>SUMIFS('Unos rashoda i izdataka'!$L$3:$L$506,'Unos rashoda i izdataka'!$C$3:$C$506,"=12",'Unos rashoda i izdataka'!$P$3:$P$506,"=31")+SUMIFS('Unos rashoda P4'!$J$3:$J$501,'Unos rashoda P4'!$A$3:$A$501,"=12",'Unos rashoda P4'!$S$3:$S$501,"=31")</f>
        <v>0</v>
      </c>
      <c r="G40" s="153">
        <f>SUMIFS('Unos rashoda i izdataka'!$L$3:$L$506,'Unos rashoda i izdataka'!$C$3:$C$506,"=31",'Unos rashoda i izdataka'!$P$3:$P$506,"=31")+SUMIFS('Unos rashoda P4'!$J$3:$J$501,'Unos rashoda P4'!$A$3:$A$501,"=31",'Unos rashoda P4'!$S$3:$S$501,"=31")</f>
        <v>689432</v>
      </c>
      <c r="H40" s="153">
        <f>SUMIFS('Unos rashoda i izdataka'!$L$3:$L$506,'Unos rashoda i izdataka'!$C$3:$C$506,"=41",'Unos rashoda i izdataka'!$P$3:$P$506,"=31")+SUMIFS('Unos rashoda P4'!$J$3:$J$501,'Unos rashoda P4'!$A$3:$A$501,"=41",'Unos rashoda P4'!$S$3:$S$501,"=31")</f>
        <v>0</v>
      </c>
      <c r="I40" s="153">
        <f>SUMIFS('Unos rashoda i izdataka'!$L$3:$L$506,'Unos rashoda i izdataka'!$C$3:$C$506,"=43",'Unos rashoda i izdataka'!$P$3:$P$506,"=31")+SUMIFS('Unos rashoda P4'!$J$3:$J$501,'Unos rashoda P4'!$A$3:$A$501,"=43",'Unos rashoda P4'!$S$3:$S$501,"=31")</f>
        <v>0</v>
      </c>
      <c r="J40" s="153">
        <f>SUMIFS('Unos rashoda i izdataka'!$L$3:$L$506,'Unos rashoda i izdataka'!$C$3:$C$506,"=51",'Unos rashoda i izdataka'!$P$3:$P$506,"=31")+SUMIFS('Unos rashoda P4'!$J$3:$J$501,'Unos rashoda P4'!$A$3:$A$501,"=51",'Unos rashoda P4'!$S$3:$S$501,"=31")</f>
        <v>302210</v>
      </c>
      <c r="K40" s="153">
        <f>SUMIFS('Unos rashoda i izdataka'!$L$3:$L$506,'Unos rashoda i izdataka'!$C$3:$C$506,"=52",'Unos rashoda i izdataka'!$P$3:$P$506,"=31")+SUMIFS('Unos rashoda P4'!$J$3:$J$501,'Unos rashoda P4'!$A$3:$A$501,"=52",'Unos rashoda P4'!$S$3:$S$501,"=31")</f>
        <v>404091</v>
      </c>
      <c r="L40" s="153">
        <f>SUMIFS('Unos rashoda i izdataka'!$L$3:$L$506,'Unos rashoda i izdataka'!$C$3:$C$506,"=552",'Unos rashoda i izdataka'!$P$3:$P$506,"=31")+SUMIFS('Unos rashoda P4'!$J$3:$J$501,'Unos rashoda P4'!$A$3:$A$501,"=552",'Unos rashoda P4'!$S$3:$S$501,"=31")</f>
        <v>0</v>
      </c>
      <c r="M40" s="153">
        <f>SUMIFS('Unos rashoda i izdataka'!$L$3:$L$506,'Unos rashoda i izdataka'!$C$3:$C$506,"=559",'Unos rashoda i izdataka'!$P$3:$P$506,"=31")+SUMIFS('Unos rashoda P4'!$J$3:$J$501,'Unos rashoda P4'!$A$3:$A$501,"=559",'Unos rashoda P4'!$S$3:$S$501,"=31")</f>
        <v>0</v>
      </c>
      <c r="N40" s="153">
        <f>SUMIFS('Unos rashoda i izdataka'!$L$3:$L$506,'Unos rashoda i izdataka'!$C$3:$C$506,"=561",'Unos rashoda i izdataka'!$P$3:$P$506,"=31")+SUMIFS('Unos rashoda P4'!$J$3:$J$501,'Unos rashoda P4'!$A$3:$A$501,"=561",'Unos rashoda P4'!$S$3:$S$501,"=31")</f>
        <v>0</v>
      </c>
      <c r="O40" s="153">
        <f>SUMIFS('Unos rashoda i izdataka'!$L$3:$L$506,'Unos rashoda i izdataka'!$C$3:$C$506,"=563",'Unos rashoda i izdataka'!$P$3:$P$506,"=31")+SUMIFS('Unos rashoda P4'!$J$3:$J$501,'Unos rashoda P4'!$A$3:$A$501,"=563",'Unos rashoda P4'!$S$3:$S$501,"=31")</f>
        <v>0</v>
      </c>
      <c r="P40" s="153">
        <f>SUMIFS('Unos rashoda i izdataka'!$L$3:$L$506,'Unos rashoda i izdataka'!$C$3:$C$506,"=573",'Unos rashoda i izdataka'!$P$3:$P$506,"=31")+SUMIFS('Unos rashoda P4'!$J$3:$J$501,'Unos rashoda P4'!$A$3:$A$501,"=573",'Unos rashoda P4'!$S$3:$S$501,"=31")</f>
        <v>0</v>
      </c>
      <c r="Q40" s="153">
        <f>SUMIFS('Unos rashoda i izdataka'!$L$3:$L$506,'Unos rashoda i izdataka'!$C$3:$C$506,"=575",'Unos rashoda i izdataka'!$P$3:$P$506,"=31")+SUMIFS('Unos rashoda P4'!$J$3:$J$501,'Unos rashoda P4'!$A$3:$A$501,"=575",'Unos rashoda P4'!$S$3:$S$501,"=31")</f>
        <v>0</v>
      </c>
      <c r="R40" s="153">
        <f>SUMIFS('Unos rashoda i izdataka'!$L$3:$L$506,'Unos rashoda i izdataka'!$Q$3:$Q$506,"=576",'Unos rashoda i izdataka'!$P$3:$P$506,"=31")+SUMIFS('Unos rashoda P4'!$J$3:$J$501,'Unos rashoda P4'!$A$3:$A$501,"=576",'Unos rashoda P4'!$S$3:$S$501,"=31")</f>
        <v>0</v>
      </c>
      <c r="S40" s="153">
        <f>SUMIFS('Unos rashoda i izdataka'!$L$3:$L$506,'Unos rashoda i izdataka'!$C$3:$C$506,"=581",'Unos rashoda i izdataka'!$P$3:$P$506,"=31")+SUMIFS('Unos rashoda P4'!$J$3:$J$501,'Unos rashoda P4'!$A$3:$A$501,"=581",'Unos rashoda P4'!$S$3:$S$501,"=31")</f>
        <v>0</v>
      </c>
      <c r="T40" s="153">
        <f>SUMIFS('Unos rashoda i izdataka'!$L$3:$L$506,'Unos rashoda i izdataka'!$C$3:$C$506,"=61",'Unos rashoda i izdataka'!$P$3:$P$506,"=31")+SUMIFS('Unos rashoda P4'!$J$3:$J$501,'Unos rashoda P4'!$A$3:$A$501,"=61",'Unos rashoda P4'!$S$3:$S$501,"=31")</f>
        <v>34521</v>
      </c>
      <c r="U40" s="153">
        <f>SUMIFS('Unos rashoda i izdataka'!$L$3:$L$506,'Unos rashoda i izdataka'!$C$3:$C$506,"=63",'Unos rashoda i izdataka'!$P$3:$P$506,"=31")+SUMIFS('Unos rashoda P4'!$J$3:$J$501,'Unos rashoda P4'!$A$3:$A$501,"=63",'Unos rashoda P4'!$S$3:$S$501,"=31")</f>
        <v>0</v>
      </c>
      <c r="V40" s="153">
        <f>SUMIFS('Unos rashoda i izdataka'!$L$3:$L$506,'Unos rashoda i izdataka'!$C$3:$C$506,"=71",'Unos rashoda i izdataka'!$P$3:$P$506,"=31")+SUMIFS('Unos rashoda P4'!$J$3:$J$501,'Unos rashoda P4'!$A$3:$A$501,"=71",'Unos rashoda P4'!$S$3:$S$501,"=31")</f>
        <v>0</v>
      </c>
      <c r="W40" s="153">
        <f>SUMIFS('Unos rashoda i izdataka'!$L$3:$L$506,'Unos rashoda i izdataka'!$C$3:$C$506,"=81",'Unos rashoda i izdataka'!$P$3:$P$506,"=31")+SUMIFS('Unos rashoda P4'!$J$3:$J$501,'Unos rashoda P4'!$A$3:$A$501,"=81",'Unos rashoda P4'!$S$3:$S$501,"=31")</f>
        <v>0</v>
      </c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</row>
    <row r="41" spans="1:43" ht="12" customHeight="1">
      <c r="A41" s="143">
        <v>2025</v>
      </c>
      <c r="B41" s="155">
        <v>32</v>
      </c>
      <c r="C41" s="156" t="s">
        <v>3667</v>
      </c>
      <c r="D41" s="157">
        <f t="shared" si="8"/>
        <v>5054629.7336549833</v>
      </c>
      <c r="E41" s="153">
        <f>SUMIFS('Unos rashoda i izdataka'!$L$3:$L$506,'Unos rashoda i izdataka'!$C$3:$C$506,"=11",'Unos rashoda i izdataka'!$P$3:$P$506,"=32")+SUMIFS('Unos rashoda P4'!$J$3:$J$501,'Unos rashoda P4'!$A$3:$A$501,"=11",'Unos rashoda P4'!$S$3:$S$501,"=32")</f>
        <v>3188825.7336549829</v>
      </c>
      <c r="F41" s="153">
        <f>SUMIFS('Unos rashoda i izdataka'!$L$3:$L$506,'Unos rashoda i izdataka'!$C$3:$C$506,"=12",'Unos rashoda i izdataka'!$P$3:$P$506,"=32")+SUMIFS('Unos rashoda P4'!$J$3:$J$501,'Unos rashoda P4'!$A$3:$A$501,"=12",'Unos rashoda P4'!$S$3:$S$501,"=32")</f>
        <v>0</v>
      </c>
      <c r="G41" s="153">
        <f>SUMIFS('Unos rashoda i izdataka'!$L$3:$L$506,'Unos rashoda i izdataka'!$C$3:$C$506,"=31",'Unos rashoda i izdataka'!$P$3:$P$506,"=32")+SUMIFS('Unos rashoda P4'!$J$3:$J$501,'Unos rashoda P4'!$A$3:$A$501,"=31",'Unos rashoda P4'!$S$3:$S$501,"=32")</f>
        <v>1130155</v>
      </c>
      <c r="H41" s="153">
        <f>SUMIFS('Unos rashoda i izdataka'!$L$3:$L$506,'Unos rashoda i izdataka'!$C$3:$C$506,"=41",'Unos rashoda i izdataka'!$P$3:$P$506,"=32")+SUMIFS('Unos rashoda P4'!$J$3:$J$501,'Unos rashoda P4'!$A$3:$A$501,"=41",'Unos rashoda P4'!$S$3:$S$501,"=32")</f>
        <v>0</v>
      </c>
      <c r="I41" s="153">
        <f>SUMIFS('Unos rashoda i izdataka'!$L$3:$L$506,'Unos rashoda i izdataka'!$C$3:$C$506,"=43",'Unos rashoda i izdataka'!$P$3:$P$506,"=32")+SUMIFS('Unos rashoda P4'!$J$3:$J$501,'Unos rashoda P4'!$A$3:$A$501,"=43",'Unos rashoda P4'!$S$3:$S$501,"=32")</f>
        <v>0</v>
      </c>
      <c r="J41" s="153">
        <f>SUMIFS('Unos rashoda i izdataka'!$L$3:$L$506,'Unos rashoda i izdataka'!$C$3:$C$506,"=51",'Unos rashoda i izdataka'!$P$3:$P$506,"=32")+SUMIFS('Unos rashoda P4'!$J$3:$J$501,'Unos rashoda P4'!$A$3:$A$501,"=51",'Unos rashoda P4'!$S$3:$S$501,"=32")</f>
        <v>338189</v>
      </c>
      <c r="K41" s="153">
        <f>SUMIFS('Unos rashoda i izdataka'!$L$3:$L$506,'Unos rashoda i izdataka'!$C$3:$C$506,"=52",'Unos rashoda i izdataka'!$P$3:$P$506,"=32")+SUMIFS('Unos rashoda P4'!$J$3:$J$501,'Unos rashoda P4'!$A$3:$A$501,"=52",'Unos rashoda P4'!$S$3:$S$501,"=32")</f>
        <v>364365</v>
      </c>
      <c r="L41" s="153">
        <f>SUMIFS('Unos rashoda i izdataka'!$L$3:$L$506,'Unos rashoda i izdataka'!$C$3:$C$506,"=552",'Unos rashoda i izdataka'!$P$3:$P$506,"=32")+SUMIFS('Unos rashoda P4'!$J$3:$J$501,'Unos rashoda P4'!$A$3:$A$501,"=552",'Unos rashoda P4'!$S$3:$S$501,"=32")</f>
        <v>0</v>
      </c>
      <c r="M41" s="153">
        <f>SUMIFS('Unos rashoda i izdataka'!$L$3:$L$506,'Unos rashoda i izdataka'!$C$3:$C$506,"=559",'Unos rashoda i izdataka'!$P$3:$P$506,"=32")+SUMIFS('Unos rashoda P4'!$J$3:$J$501,'Unos rashoda P4'!$A$3:$A$501,"=559",'Unos rashoda P4'!$S$3:$S$501,"=32")</f>
        <v>0</v>
      </c>
      <c r="N41" s="153">
        <f>SUMIFS('Unos rashoda i izdataka'!$L$3:$L$506,'Unos rashoda i izdataka'!$C$3:$C$506,"=561",'Unos rashoda i izdataka'!$P$3:$P$506,"=32")+SUMIFS('Unos rashoda P4'!$J$3:$J$501,'Unos rashoda P4'!$A$3:$A$501,"=561",'Unos rashoda P4'!$S$3:$S$501,"=32")</f>
        <v>0</v>
      </c>
      <c r="O41" s="153">
        <f>SUMIFS('Unos rashoda i izdataka'!$L$3:$L$506,'Unos rashoda i izdataka'!$C$3:$C$506,"=563",'Unos rashoda i izdataka'!$P$3:$P$506,"=32")+SUMIFS('Unos rashoda P4'!$J$3:$J$501,'Unos rashoda P4'!$A$3:$A$501,"=563",'Unos rashoda P4'!$S$3:$S$501,"=32")</f>
        <v>0</v>
      </c>
      <c r="P41" s="153">
        <f>SUMIFS('Unos rashoda i izdataka'!$L$3:$L$506,'Unos rashoda i izdataka'!$C$3:$C$506,"=573",'Unos rashoda i izdataka'!$P$3:$P$506,"=32")+SUMIFS('Unos rashoda P4'!$J$3:$J$501,'Unos rashoda P4'!$A$3:$A$501,"=573",'Unos rashoda P4'!$S$3:$S$501,"=32")</f>
        <v>0</v>
      </c>
      <c r="Q41" s="153">
        <f>SUMIFS('Unos rashoda i izdataka'!$L$3:$L$506,'Unos rashoda i izdataka'!$C$3:$C$506,"=575",'Unos rashoda i izdataka'!$P$3:$P$506,"=32")+SUMIFS('Unos rashoda P4'!$J$3:$J$501,'Unos rashoda P4'!$A$3:$A$501,"=575",'Unos rashoda P4'!$S$3:$S$501,"=32")</f>
        <v>0</v>
      </c>
      <c r="R41" s="153">
        <f>SUMIFS('Unos rashoda i izdataka'!$L$3:$L$506,'Unos rashoda i izdataka'!$Q$3:$Q$506,"=576",'Unos rashoda i izdataka'!$P$3:$P$506,"=32")+SUMIFS('Unos rashoda P4'!$J$3:$J$501,'Unos rashoda P4'!$A$3:$A$501,"=576",'Unos rashoda P4'!$S$3:$S$501,"=32")</f>
        <v>0</v>
      </c>
      <c r="S41" s="153">
        <f>SUMIFS('Unos rashoda i izdataka'!$L$3:$L$506,'Unos rashoda i izdataka'!$C$3:$C$506,"=581",'Unos rashoda i izdataka'!$P$3:$P$506,"=32")+SUMIFS('Unos rashoda P4'!$J$3:$J$501,'Unos rashoda P4'!$A$3:$A$501,"=581",'Unos rashoda P4'!$S$3:$S$501,"=32")</f>
        <v>0</v>
      </c>
      <c r="T41" s="153">
        <f>SUMIFS('Unos rashoda i izdataka'!$L$3:$L$506,'Unos rashoda i izdataka'!$C$3:$C$506,"=61",'Unos rashoda i izdataka'!$P$3:$P$506,"=32")+SUMIFS('Unos rashoda P4'!$J$3:$J$501,'Unos rashoda P4'!$A$3:$A$501,"=61",'Unos rashoda P4'!$S$3:$S$501,"=32")</f>
        <v>33095</v>
      </c>
      <c r="U41" s="153">
        <f>SUMIFS('Unos rashoda i izdataka'!$L$3:$L$506,'Unos rashoda i izdataka'!$C$3:$C$506,"=63",'Unos rashoda i izdataka'!$P$3:$P$506,"=32")+SUMIFS('Unos rashoda P4'!$J$3:$J$501,'Unos rashoda P4'!$A$3:$A$501,"=63",'Unos rashoda P4'!$S$3:$S$501,"=32")</f>
        <v>0</v>
      </c>
      <c r="V41" s="153">
        <f>SUMIFS('Unos rashoda i izdataka'!$L$3:$L$506,'Unos rashoda i izdataka'!$C$3:$C$506,"=71",'Unos rashoda i izdataka'!$P$3:$P$506,"=32")+SUMIFS('Unos rashoda P4'!$J$3:$J$501,'Unos rashoda P4'!$A$3:$A$501,"=71",'Unos rashoda P4'!$S$3:$S$501,"=32")</f>
        <v>0</v>
      </c>
      <c r="W41" s="153">
        <f>SUMIFS('Unos rashoda i izdataka'!$L$3:$L$506,'Unos rashoda i izdataka'!$C$3:$C$506,"=81",'Unos rashoda i izdataka'!$P$3:$P$506,"=32")+SUMIFS('Unos rashoda P4'!$J$3:$J$501,'Unos rashoda P4'!$A$3:$A$501,"=81",'Unos rashoda P4'!$S$3:$S$501,"=32")</f>
        <v>0</v>
      </c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</row>
    <row r="42" spans="1:43" ht="12" customHeight="1">
      <c r="A42" s="143">
        <v>2025</v>
      </c>
      <c r="B42" s="155">
        <v>34</v>
      </c>
      <c r="C42" s="156" t="s">
        <v>3668</v>
      </c>
      <c r="D42" s="157">
        <f t="shared" si="8"/>
        <v>22926</v>
      </c>
      <c r="E42" s="153">
        <f>SUMIFS('Unos rashoda i izdataka'!$L$3:$L$506,'Unos rashoda i izdataka'!$C$3:$C$506,"=11",'Unos rashoda i izdataka'!$P$3:$P$506,"=34")+SUMIFS('Unos rashoda P4'!$J$3:$J$501,'Unos rashoda P4'!$A$3:$A$501,"=11",'Unos rashoda P4'!$S$3:$S$501,"=34")</f>
        <v>0</v>
      </c>
      <c r="F42" s="153">
        <f>SUMIFS('Unos rashoda i izdataka'!$L$3:$L$506,'Unos rashoda i izdataka'!$C$3:$C$506,"=12",'Unos rashoda i izdataka'!$P$3:$P$506,"=34")+SUMIFS('Unos rashoda P4'!$J$3:$J$501,'Unos rashoda P4'!$A$3:$A$501,"=12",'Unos rashoda P4'!$S$3:$S$501,"=34")</f>
        <v>0</v>
      </c>
      <c r="G42" s="153">
        <f>SUMIFS('Unos rashoda i izdataka'!$L$3:$L$506,'Unos rashoda i izdataka'!$C$3:$C$506,"=31",'Unos rashoda i izdataka'!$P$3:$P$506,"=34")+SUMIFS('Unos rashoda P4'!$J$3:$J$501,'Unos rashoda P4'!$A$3:$A$501,"=31",'Unos rashoda P4'!$S$3:$S$501,"=34")</f>
        <v>21657</v>
      </c>
      <c r="H42" s="153">
        <f>SUMIFS('Unos rashoda i izdataka'!$L$3:$L$506,'Unos rashoda i izdataka'!$C$3:$C$506,"=41",'Unos rashoda i izdataka'!$P$3:$P$506,"=34")+SUMIFS('Unos rashoda P4'!$J$3:$J$501,'Unos rashoda P4'!$A$3:$A$501,"=41",'Unos rashoda P4'!$S$3:$S$501,"=34")</f>
        <v>0</v>
      </c>
      <c r="I42" s="153">
        <f>SUMIFS('Unos rashoda i izdataka'!$L$3:$L$506,'Unos rashoda i izdataka'!$C$3:$C$506,"=43",'Unos rashoda i izdataka'!$P$3:$P$506,"=34")+SUMIFS('Unos rashoda P4'!$J$3:$J$501,'Unos rashoda P4'!$A$3:$A$501,"=43",'Unos rashoda P4'!$S$3:$S$501,"=34")</f>
        <v>0</v>
      </c>
      <c r="J42" s="153">
        <f>SUMIFS('Unos rashoda i izdataka'!$L$3:$L$506,'Unos rashoda i izdataka'!$C$3:$C$506,"=51",'Unos rashoda i izdataka'!$P$3:$P$506,"=34")+SUMIFS('Unos rashoda P4'!$J$3:$J$501,'Unos rashoda P4'!$A$3:$A$501,"=51",'Unos rashoda P4'!$S$3:$S$501,"=34")</f>
        <v>0</v>
      </c>
      <c r="K42" s="153">
        <f>SUMIFS('Unos rashoda i izdataka'!$L$3:$L$506,'Unos rashoda i izdataka'!$C$3:$C$506,"=52",'Unos rashoda i izdataka'!$P$3:$P$506,"=34")+SUMIFS('Unos rashoda P4'!$J$3:$J$501,'Unos rashoda P4'!$A$3:$A$501,"=52",'Unos rashoda P4'!$S$3:$S$501,"=34")</f>
        <v>1220</v>
      </c>
      <c r="L42" s="153">
        <f>SUMIFS('Unos rashoda i izdataka'!$L$3:$L$506,'Unos rashoda i izdataka'!$C$3:$C$506,"=552",'Unos rashoda i izdataka'!$P$3:$P$506,"=34")+SUMIFS('Unos rashoda P4'!$J$3:$J$501,'Unos rashoda P4'!$A$3:$A$501,"=552",'Unos rashoda P4'!$S$3:$S$501,"=34")</f>
        <v>0</v>
      </c>
      <c r="M42" s="153">
        <f>SUMIFS('Unos rashoda i izdataka'!$L$3:$L$506,'Unos rashoda i izdataka'!$C$3:$C$506,"=559",'Unos rashoda i izdataka'!$P$3:$P$506,"=34")+SUMIFS('Unos rashoda P4'!$J$3:$J$501,'Unos rashoda P4'!$A$3:$A$501,"=559",'Unos rashoda P4'!$S$3:$S$501,"=34")</f>
        <v>0</v>
      </c>
      <c r="N42" s="153">
        <f>SUMIFS('Unos rashoda i izdataka'!$L$3:$L$506,'Unos rashoda i izdataka'!$C$3:$C$506,"=561",'Unos rashoda i izdataka'!$P$3:$P$506,"=34")+SUMIFS('Unos rashoda P4'!$J$3:$J$501,'Unos rashoda P4'!$A$3:$A$501,"=561",'Unos rashoda P4'!$S$3:$S$501,"=34")</f>
        <v>0</v>
      </c>
      <c r="O42" s="153">
        <f>SUMIFS('Unos rashoda i izdataka'!$L$3:$L$506,'Unos rashoda i izdataka'!$C$3:$C$506,"=563",'Unos rashoda i izdataka'!$P$3:$P$506,"=34")+SUMIFS('Unos rashoda P4'!$J$3:$J$501,'Unos rashoda P4'!$A$3:$A$501,"=563",'Unos rashoda P4'!$S$3:$S$501,"=34")</f>
        <v>0</v>
      </c>
      <c r="P42" s="153">
        <f>SUMIFS('Unos rashoda i izdataka'!$L$3:$L$506,'Unos rashoda i izdataka'!$C$3:$C$506,"=573",'Unos rashoda i izdataka'!$P$3:$P$506,"=34")+SUMIFS('Unos rashoda P4'!$J$3:$J$501,'Unos rashoda P4'!$A$3:$A$501,"=573",'Unos rashoda P4'!$S$3:$S$501,"=34")</f>
        <v>0</v>
      </c>
      <c r="Q42" s="153">
        <f>SUMIFS('Unos rashoda i izdataka'!$L$3:$L$506,'Unos rashoda i izdataka'!$C$3:$C$506,"=575",'Unos rashoda i izdataka'!$P$3:$P$506,"=34")+SUMIFS('Unos rashoda P4'!$J$3:$J$501,'Unos rashoda P4'!$A$3:$A$501,"=575",'Unos rashoda P4'!$S$3:$S$501,"=34")</f>
        <v>0</v>
      </c>
      <c r="R42" s="153">
        <f>SUMIFS('Unos rashoda i izdataka'!$L$3:$L$506,'Unos rashoda i izdataka'!$Q$3:$Q$506,"=576",'Unos rashoda i izdataka'!$P$3:$P$506,"=34")+SUMIFS('Unos rashoda P4'!$J$3:$J$501,'Unos rashoda P4'!$A$3:$A$501,"=576",'Unos rashoda P4'!$S$3:$S$501,"=34")</f>
        <v>0</v>
      </c>
      <c r="S42" s="153">
        <f>SUMIFS('Unos rashoda i izdataka'!$L$3:$L$506,'Unos rashoda i izdataka'!$C$3:$C$506,"=581",'Unos rashoda i izdataka'!$P$3:$P$506,"=34")+SUMIFS('Unos rashoda P4'!$J$3:$J$501,'Unos rashoda P4'!$A$3:$A$501,"=581",'Unos rashoda P4'!$S$3:$S$501,"=34")</f>
        <v>0</v>
      </c>
      <c r="T42" s="153">
        <f>SUMIFS('Unos rashoda i izdataka'!$L$3:$L$506,'Unos rashoda i izdataka'!$C$3:$C$506,"=61",'Unos rashoda i izdataka'!$P$3:$P$506,"=34")+SUMIFS('Unos rashoda P4'!$J$3:$J$501,'Unos rashoda P4'!$A$3:$A$501,"=61",'Unos rashoda P4'!$S$3:$S$501,"=34")</f>
        <v>49</v>
      </c>
      <c r="U42" s="153">
        <f>SUMIFS('Unos rashoda i izdataka'!$L$3:$L$506,'Unos rashoda i izdataka'!$C$3:$C$506,"=63",'Unos rashoda i izdataka'!$P$3:$P$506,"=34")+SUMIFS('Unos rashoda P4'!$J$3:$J$501,'Unos rashoda P4'!$A$3:$A$501,"=63",'Unos rashoda P4'!$S$3:$S$501,"=34")</f>
        <v>0</v>
      </c>
      <c r="V42" s="153">
        <f>SUMIFS('Unos rashoda i izdataka'!$L$3:$L$506,'Unos rashoda i izdataka'!$C$3:$C$506,"=71",'Unos rashoda i izdataka'!$P$3:$P$506,"=34")+SUMIFS('Unos rashoda P4'!$J$3:$J$501,'Unos rashoda P4'!$A$3:$A$501,"=71",'Unos rashoda P4'!$S$3:$S$501,"=34")</f>
        <v>0</v>
      </c>
      <c r="W42" s="153">
        <f>SUMIFS('Unos rashoda i izdataka'!$L$3:$L$506,'Unos rashoda i izdataka'!$C$3:$C$506,"=81",'Unos rashoda i izdataka'!$P$3:$P$506,"=34")+SUMIFS('Unos rashoda P4'!$J$3:$J$501,'Unos rashoda P4'!$A$3:$A$501,"=81",'Unos rashoda P4'!$S$3:$S$501,"=34")</f>
        <v>0</v>
      </c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</row>
    <row r="43" spans="1:43" ht="12" customHeight="1">
      <c r="A43" s="143">
        <v>2025</v>
      </c>
      <c r="B43" s="155">
        <v>35</v>
      </c>
      <c r="C43" s="156" t="s">
        <v>3669</v>
      </c>
      <c r="D43" s="157">
        <f t="shared" si="8"/>
        <v>0</v>
      </c>
      <c r="E43" s="153">
        <f>SUMIFS('Unos rashoda i izdataka'!$L$3:$L$506,'Unos rashoda i izdataka'!$C$3:$C$506,"=11",'Unos rashoda i izdataka'!$P$3:$P$506,"=35")+SUMIFS('Unos rashoda P4'!$J$3:$J$501,'Unos rashoda P4'!$A$3:$A$501,"=11",'Unos rashoda P4'!$S$3:$S$501,"=35")</f>
        <v>0</v>
      </c>
      <c r="F43" s="153">
        <f>SUMIFS('Unos rashoda i izdataka'!$L$3:$L$506,'Unos rashoda i izdataka'!$C$3:$C$506,"=12",'Unos rashoda i izdataka'!$P$3:$P$506,"=35")+SUMIFS('Unos rashoda P4'!$J$3:$J$501,'Unos rashoda P4'!$A$3:$A$501,"=12",'Unos rashoda P4'!$S$3:$S$501,"=35")</f>
        <v>0</v>
      </c>
      <c r="G43" s="153">
        <f>SUMIFS('Unos rashoda i izdataka'!$L$3:$L$506,'Unos rashoda i izdataka'!$C$3:$C$506,"=31",'Unos rashoda i izdataka'!$P$3:$P$506,"=35")+SUMIFS('Unos rashoda P4'!$J$3:$J$501,'Unos rashoda P4'!$A$3:$A$501,"=31",'Unos rashoda P4'!$S$3:$S$501,"=35")</f>
        <v>0</v>
      </c>
      <c r="H43" s="153">
        <f>SUMIFS('Unos rashoda i izdataka'!$L$3:$L$506,'Unos rashoda i izdataka'!$C$3:$C$506,"=41",'Unos rashoda i izdataka'!$P$3:$P$506,"=35")+SUMIFS('Unos rashoda P4'!$J$3:$J$501,'Unos rashoda P4'!$A$3:$A$501,"=41",'Unos rashoda P4'!$S$3:$S$501,"=35")</f>
        <v>0</v>
      </c>
      <c r="I43" s="153">
        <f>SUMIFS('Unos rashoda i izdataka'!$L$3:$L$506,'Unos rashoda i izdataka'!$C$3:$C$506,"=43",'Unos rashoda i izdataka'!$P$3:$P$506,"=35")+SUMIFS('Unos rashoda P4'!$J$3:$J$501,'Unos rashoda P4'!$A$3:$A$501,"=43",'Unos rashoda P4'!$S$3:$S$501,"=35")</f>
        <v>0</v>
      </c>
      <c r="J43" s="153">
        <f>SUMIFS('Unos rashoda i izdataka'!$L$3:$L$506,'Unos rashoda i izdataka'!$C$3:$C$506,"=51",'Unos rashoda i izdataka'!$P$3:$P$506,"=35")+SUMIFS('Unos rashoda P4'!$J$3:$J$501,'Unos rashoda P4'!$A$3:$A$501,"=51",'Unos rashoda P4'!$S$3:$S$501,"=35")</f>
        <v>0</v>
      </c>
      <c r="K43" s="153">
        <f>SUMIFS('Unos rashoda i izdataka'!$L$3:$L$506,'Unos rashoda i izdataka'!$C$3:$C$506,"=52",'Unos rashoda i izdataka'!$P$3:$P$506,"=35")+SUMIFS('Unos rashoda P4'!$J$3:$J$501,'Unos rashoda P4'!$A$3:$A$501,"=52",'Unos rashoda P4'!$S$3:$S$501,"=35")</f>
        <v>0</v>
      </c>
      <c r="L43" s="153">
        <f>SUMIFS('Unos rashoda i izdataka'!$L$3:$L$506,'Unos rashoda i izdataka'!$C$3:$C$506,"=552",'Unos rashoda i izdataka'!$P$3:$P$506,"=35")+SUMIFS('Unos rashoda P4'!$J$3:$J$501,'Unos rashoda P4'!$A$3:$A$501,"=552",'Unos rashoda P4'!$S$3:$S$501,"=35")</f>
        <v>0</v>
      </c>
      <c r="M43" s="153">
        <f>SUMIFS('Unos rashoda i izdataka'!$L$3:$L$506,'Unos rashoda i izdataka'!$C$3:$C$506,"=559",'Unos rashoda i izdataka'!$P$3:$P$506,"=35")+SUMIFS('Unos rashoda P4'!$J$3:$J$501,'Unos rashoda P4'!$A$3:$A$501,"=559",'Unos rashoda P4'!$S$3:$S$501,"=35")</f>
        <v>0</v>
      </c>
      <c r="N43" s="153">
        <f>SUMIFS('Unos rashoda i izdataka'!$L$3:$L$506,'Unos rashoda i izdataka'!$C$3:$C$506,"=561",'Unos rashoda i izdataka'!$P$3:$P$506,"=35")+SUMIFS('Unos rashoda P4'!$J$3:$J$501,'Unos rashoda P4'!$A$3:$A$501,"=561",'Unos rashoda P4'!$S$3:$S$501,"=35")</f>
        <v>0</v>
      </c>
      <c r="O43" s="153">
        <f>SUMIFS('Unos rashoda i izdataka'!$L$3:$L$506,'Unos rashoda i izdataka'!$C$3:$C$506,"=563",'Unos rashoda i izdataka'!$P$3:$P$506,"=35")+SUMIFS('Unos rashoda P4'!$J$3:$J$501,'Unos rashoda P4'!$A$3:$A$501,"=563",'Unos rashoda P4'!$S$3:$S$501,"=35")</f>
        <v>0</v>
      </c>
      <c r="P43" s="153">
        <f>SUMIFS('Unos rashoda i izdataka'!$L$3:$L$506,'Unos rashoda i izdataka'!$C$3:$C$506,"=573",'Unos rashoda i izdataka'!$P$3:$P$506,"=35")+SUMIFS('Unos rashoda P4'!$J$3:$J$501,'Unos rashoda P4'!$A$3:$A$501,"=573",'Unos rashoda P4'!$S$3:$S$501,"=35")</f>
        <v>0</v>
      </c>
      <c r="Q43" s="153">
        <f>SUMIFS('Unos rashoda i izdataka'!$L$3:$L$506,'Unos rashoda i izdataka'!$C$3:$C$506,"=575",'Unos rashoda i izdataka'!$P$3:$P$506,"=35")+SUMIFS('Unos rashoda P4'!$J$3:$J$501,'Unos rashoda P4'!$A$3:$A$501,"=575",'Unos rashoda P4'!$S$3:$S$501,"=35")</f>
        <v>0</v>
      </c>
      <c r="R43" s="153">
        <f>SUMIFS('Unos rashoda i izdataka'!$L$3:$L$506,'Unos rashoda i izdataka'!$Q$3:$Q$506,"=576",'Unos rashoda i izdataka'!$P$3:$P$506,"=35")+SUMIFS('Unos rashoda P4'!$J$3:$J$501,'Unos rashoda P4'!$A$3:$A$501,"=576",'Unos rashoda P4'!$S$3:$S$501,"=35")</f>
        <v>0</v>
      </c>
      <c r="S43" s="153">
        <f>SUMIFS('Unos rashoda i izdataka'!$L$3:$L$506,'Unos rashoda i izdataka'!$C$3:$C$506,"=581",'Unos rashoda i izdataka'!$P$3:$P$506,"=35")+SUMIFS('Unos rashoda P4'!$J$3:$J$501,'Unos rashoda P4'!$A$3:$A$501,"=581",'Unos rashoda P4'!$S$3:$S$501,"=35")</f>
        <v>0</v>
      </c>
      <c r="T43" s="153">
        <f>SUMIFS('Unos rashoda i izdataka'!$L$3:$L$506,'Unos rashoda i izdataka'!$C$3:$C$506,"=61",'Unos rashoda i izdataka'!$P$3:$P$506,"=35")+SUMIFS('Unos rashoda P4'!$J$3:$J$501,'Unos rashoda P4'!$A$3:$A$501,"=61",'Unos rashoda P4'!$S$3:$S$501,"=35")</f>
        <v>0</v>
      </c>
      <c r="U43" s="153">
        <f>SUMIFS('Unos rashoda i izdataka'!$L$3:$L$506,'Unos rashoda i izdataka'!$C$3:$C$506,"=63",'Unos rashoda i izdataka'!$P$3:$P$506,"=35")+SUMIFS('Unos rashoda P4'!$J$3:$J$501,'Unos rashoda P4'!$A$3:$A$501,"=63",'Unos rashoda P4'!$S$3:$S$501,"=35")</f>
        <v>0</v>
      </c>
      <c r="V43" s="153">
        <f>SUMIFS('Unos rashoda i izdataka'!$L$3:$L$506,'Unos rashoda i izdataka'!$C$3:$C$506,"=71",'Unos rashoda i izdataka'!$P$3:$P$506,"=35")+SUMIFS('Unos rashoda P4'!$J$3:$J$501,'Unos rashoda P4'!$A$3:$A$501,"=71",'Unos rashoda P4'!$S$3:$S$501,"=35")</f>
        <v>0</v>
      </c>
      <c r="W43" s="153">
        <f>SUMIFS('Unos rashoda i izdataka'!$L$3:$L$506,'Unos rashoda i izdataka'!$C$3:$C$506,"=81",'Unos rashoda i izdataka'!$P$3:$P$506,"=35")+SUMIFS('Unos rashoda P4'!$J$3:$J$501,'Unos rashoda P4'!$A$3:$A$501,"=81",'Unos rashoda P4'!$S$3:$S$501,"=35")</f>
        <v>0</v>
      </c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</row>
    <row r="44" spans="1:43" ht="12" customHeight="1">
      <c r="A44" s="143">
        <v>2025</v>
      </c>
      <c r="B44" s="155">
        <v>36</v>
      </c>
      <c r="C44" s="158" t="s">
        <v>3670</v>
      </c>
      <c r="D44" s="157">
        <f t="shared" si="8"/>
        <v>250000</v>
      </c>
      <c r="E44" s="153">
        <f>SUMIFS('Unos rashoda i izdataka'!$L$3:$L$506,'Unos rashoda i izdataka'!$C$3:$C$506,"=11",'Unos rashoda i izdataka'!$P$3:$P$506,"=36")+SUMIFS('Unos rashoda P4'!$J$3:$J$501,'Unos rashoda P4'!$A$3:$A$501,"=11",'Unos rashoda P4'!$S$3:$S$501,"=36")</f>
        <v>0</v>
      </c>
      <c r="F44" s="153">
        <f>SUMIFS('Unos rashoda i izdataka'!$L$3:$L$506,'Unos rashoda i izdataka'!$C$3:$C$506,"=12",'Unos rashoda i izdataka'!$P$3:$P$506,"=36")+SUMIFS('Unos rashoda P4'!$J$3:$J$501,'Unos rashoda P4'!$A$3:$A$501,"=12",'Unos rashoda P4'!$S$3:$S$501,"=36")</f>
        <v>0</v>
      </c>
      <c r="G44" s="153">
        <f>SUMIFS('Unos rashoda i izdataka'!$L$3:$L$506,'Unos rashoda i izdataka'!$C$3:$C$506,"=31",'Unos rashoda i izdataka'!$P$3:$P$506,"=36")+SUMIFS('Unos rashoda P4'!$J$3:$J$501,'Unos rashoda P4'!$A$3:$A$501,"=31",'Unos rashoda P4'!$S$3:$S$501,"=36")</f>
        <v>0</v>
      </c>
      <c r="H44" s="153">
        <f>SUMIFS('Unos rashoda i izdataka'!$L$3:$L$506,'Unos rashoda i izdataka'!$C$3:$C$506,"=41",'Unos rashoda i izdataka'!$P$3:$P$506,"=36")+SUMIFS('Unos rashoda P4'!$J$3:$J$501,'Unos rashoda P4'!$A$3:$A$501,"=41",'Unos rashoda P4'!$S$3:$S$501,"=36")</f>
        <v>0</v>
      </c>
      <c r="I44" s="153">
        <f>SUMIFS('Unos rashoda i izdataka'!$L$3:$L$506,'Unos rashoda i izdataka'!$C$3:$C$506,"=43",'Unos rashoda i izdataka'!$P$3:$P$506,"=36")+SUMIFS('Unos rashoda P4'!$J$3:$J$501,'Unos rashoda P4'!$A$3:$A$501,"=43",'Unos rashoda P4'!$S$3:$S$501,"=36")</f>
        <v>0</v>
      </c>
      <c r="J44" s="153">
        <f>SUMIFS('Unos rashoda i izdataka'!$L$3:$L$506,'Unos rashoda i izdataka'!$C$3:$C$506,"=51",'Unos rashoda i izdataka'!$P$3:$P$506,"=36")+SUMIFS('Unos rashoda P4'!$J$3:$J$501,'Unos rashoda P4'!$A$3:$A$501,"=51",'Unos rashoda P4'!$S$3:$S$501,"=36")</f>
        <v>250000</v>
      </c>
      <c r="K44" s="153">
        <f>SUMIFS('Unos rashoda i izdataka'!$L$3:$L$506,'Unos rashoda i izdataka'!$C$3:$C$506,"=52",'Unos rashoda i izdataka'!$P$3:$P$506,"=36")+SUMIFS('Unos rashoda P4'!$J$3:$J$501,'Unos rashoda P4'!$A$3:$A$501,"=52",'Unos rashoda P4'!$S$3:$S$501,"=36")</f>
        <v>0</v>
      </c>
      <c r="L44" s="153">
        <f>SUMIFS('Unos rashoda i izdataka'!$L$3:$L$506,'Unos rashoda i izdataka'!$C$3:$C$506,"=552",'Unos rashoda i izdataka'!$P$3:$P$506,"=36")+SUMIFS('Unos rashoda P4'!$J$3:$J$501,'Unos rashoda P4'!$A$3:$A$501,"=552",'Unos rashoda P4'!$S$3:$S$501,"=36")</f>
        <v>0</v>
      </c>
      <c r="M44" s="153">
        <f>SUMIFS('Unos rashoda i izdataka'!$L$3:$L$506,'Unos rashoda i izdataka'!$C$3:$C$506,"=559",'Unos rashoda i izdataka'!$P$3:$P$506,"=36")+SUMIFS('Unos rashoda P4'!$J$3:$J$501,'Unos rashoda P4'!$A$3:$A$501,"=559",'Unos rashoda P4'!$S$3:$S$501,"=36")</f>
        <v>0</v>
      </c>
      <c r="N44" s="153">
        <f>SUMIFS('Unos rashoda i izdataka'!$L$3:$L$506,'Unos rashoda i izdataka'!$C$3:$C$506,"=561",'Unos rashoda i izdataka'!$P$3:$P$506,"=36")+SUMIFS('Unos rashoda P4'!$J$3:$J$501,'Unos rashoda P4'!$A$3:$A$501,"=561",'Unos rashoda P4'!$S$3:$S$501,"=36")</f>
        <v>0</v>
      </c>
      <c r="O44" s="153">
        <f>SUMIFS('Unos rashoda i izdataka'!$L$3:$L$506,'Unos rashoda i izdataka'!$C$3:$C$506,"=563",'Unos rashoda i izdataka'!$P$3:$P$506,"=36")+SUMIFS('Unos rashoda P4'!$J$3:$J$501,'Unos rashoda P4'!$A$3:$A$501,"=563",'Unos rashoda P4'!$S$3:$S$501,"=36")</f>
        <v>0</v>
      </c>
      <c r="P44" s="153">
        <f>SUMIFS('Unos rashoda i izdataka'!$L$3:$L$506,'Unos rashoda i izdataka'!$C$3:$C$506,"=573",'Unos rashoda i izdataka'!$P$3:$P$506,"=36")+SUMIFS('Unos rashoda P4'!$J$3:$J$501,'Unos rashoda P4'!$A$3:$A$501,"=573",'Unos rashoda P4'!$S$3:$S$501,"=36")</f>
        <v>0</v>
      </c>
      <c r="Q44" s="153">
        <f>SUMIFS('Unos rashoda i izdataka'!$L$3:$L$506,'Unos rashoda i izdataka'!$C$3:$C$506,"=575",'Unos rashoda i izdataka'!$P$3:$P$506,"=36")+SUMIFS('Unos rashoda P4'!$J$3:$J$501,'Unos rashoda P4'!$A$3:$A$501,"=575",'Unos rashoda P4'!$S$3:$S$501,"=36")</f>
        <v>0</v>
      </c>
      <c r="R44" s="153">
        <f>SUMIFS('Unos rashoda i izdataka'!$L$3:$L$506,'Unos rashoda i izdataka'!$Q$3:$Q$506,"=576",'Unos rashoda i izdataka'!$P$3:$P$506,"=36")+SUMIFS('Unos rashoda P4'!$J$3:$J$501,'Unos rashoda P4'!$A$3:$A$501,"=576",'Unos rashoda P4'!$S$3:$S$501,"=36")</f>
        <v>0</v>
      </c>
      <c r="S44" s="153">
        <f>SUMIFS('Unos rashoda i izdataka'!$L$3:$L$506,'Unos rashoda i izdataka'!$C$3:$C$506,"=581",'Unos rashoda i izdataka'!$P$3:$P$506,"=36")+SUMIFS('Unos rashoda P4'!$J$3:$J$501,'Unos rashoda P4'!$A$3:$A$501,"=581",'Unos rashoda P4'!$S$3:$S$501,"=36")</f>
        <v>0</v>
      </c>
      <c r="T44" s="153">
        <f>SUMIFS('Unos rashoda i izdataka'!$L$3:$L$506,'Unos rashoda i izdataka'!$C$3:$C$506,"=61",'Unos rashoda i izdataka'!$P$3:$P$506,"=36")+SUMIFS('Unos rashoda P4'!$J$3:$J$501,'Unos rashoda P4'!$A$3:$A$501,"=61",'Unos rashoda P4'!$S$3:$S$501,"=36")</f>
        <v>0</v>
      </c>
      <c r="U44" s="153">
        <f>SUMIFS('Unos rashoda i izdataka'!$L$3:$L$506,'Unos rashoda i izdataka'!$C$3:$C$506,"=63",'Unos rashoda i izdataka'!$P$3:$P$506,"=36")+SUMIFS('Unos rashoda P4'!$J$3:$J$501,'Unos rashoda P4'!$A$3:$A$501,"=63",'Unos rashoda P4'!$S$3:$S$501,"=36")</f>
        <v>0</v>
      </c>
      <c r="V44" s="153">
        <f>SUMIFS('Unos rashoda i izdataka'!$L$3:$L$506,'Unos rashoda i izdataka'!$C$3:$C$506,"=71",'Unos rashoda i izdataka'!$P$3:$P$506,"=36")+SUMIFS('Unos rashoda P4'!$J$3:$J$501,'Unos rashoda P4'!$A$3:$A$501,"=71",'Unos rashoda P4'!$S$3:$S$501,"=36")</f>
        <v>0</v>
      </c>
      <c r="W44" s="153">
        <f>SUMIFS('Unos rashoda i izdataka'!$L$3:$L$506,'Unos rashoda i izdataka'!$C$3:$C$506,"=81",'Unos rashoda i izdataka'!$P$3:$P$506,"=36")+SUMIFS('Unos rashoda P4'!$J$3:$J$501,'Unos rashoda P4'!$A$3:$A$501,"=81",'Unos rashoda P4'!$S$3:$S$501,"=36")</f>
        <v>0</v>
      </c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</row>
    <row r="45" spans="1:43" ht="12" customHeight="1">
      <c r="A45" s="143">
        <v>2025</v>
      </c>
      <c r="B45" s="155">
        <v>37</v>
      </c>
      <c r="C45" s="156" t="s">
        <v>3671</v>
      </c>
      <c r="D45" s="157">
        <f t="shared" si="8"/>
        <v>25056</v>
      </c>
      <c r="E45" s="153">
        <f>SUMIFS('Unos rashoda i izdataka'!$L$3:$L$506,'Unos rashoda i izdataka'!$C$3:$C$506,"=11",'Unos rashoda i izdataka'!$P$3:$P$506,"=37")+SUMIFS('Unos rashoda P4'!$J$3:$J$501,'Unos rashoda P4'!$A$3:$A$501,"=11",'Unos rashoda P4'!$S$3:$S$501,"=37")</f>
        <v>6549</v>
      </c>
      <c r="F45" s="153">
        <f>SUMIFS('Unos rashoda i izdataka'!$L$3:$L$506,'Unos rashoda i izdataka'!$C$3:$C$506,"=12",'Unos rashoda i izdataka'!$P$3:$P$506,"=37")+SUMIFS('Unos rashoda P4'!$J$3:$J$501,'Unos rashoda P4'!$A$3:$A$501,"=12",'Unos rashoda P4'!$S$3:$S$501,"=37")</f>
        <v>0</v>
      </c>
      <c r="G45" s="153">
        <f>SUMIFS('Unos rashoda i izdataka'!$L$3:$L$506,'Unos rashoda i izdataka'!$C$3:$C$506,"=31",'Unos rashoda i izdataka'!$P$3:$P$506,"=37")+SUMIFS('Unos rashoda P4'!$J$3:$J$501,'Unos rashoda P4'!$A$3:$A$501,"=31",'Unos rashoda P4'!$S$3:$S$501,"=37")</f>
        <v>16231</v>
      </c>
      <c r="H45" s="153">
        <f>SUMIFS('Unos rashoda i izdataka'!$L$3:$L$506,'Unos rashoda i izdataka'!$C$3:$C$506,"=41",'Unos rashoda i izdataka'!$P$3:$P$506,"=37")+SUMIFS('Unos rashoda P4'!$J$3:$J$501,'Unos rashoda P4'!$A$3:$A$501,"=41",'Unos rashoda P4'!$S$3:$S$501,"=37")</f>
        <v>0</v>
      </c>
      <c r="I45" s="153">
        <f>SUMIFS('Unos rashoda i izdataka'!$L$3:$L$506,'Unos rashoda i izdataka'!$C$3:$C$506,"=43",'Unos rashoda i izdataka'!$P$3:$P$506,"=37")+SUMIFS('Unos rashoda P4'!$J$3:$J$501,'Unos rashoda P4'!$A$3:$A$501,"=43",'Unos rashoda P4'!$S$3:$S$501,"=37")</f>
        <v>0</v>
      </c>
      <c r="J45" s="153">
        <f>SUMIFS('Unos rashoda i izdataka'!$L$3:$L$506,'Unos rashoda i izdataka'!$C$3:$C$506,"=51",'Unos rashoda i izdataka'!$P$3:$P$506,"=37")+SUMIFS('Unos rashoda P4'!$J$3:$J$501,'Unos rashoda P4'!$A$3:$A$501,"=51",'Unos rashoda P4'!$S$3:$S$501,"=37")</f>
        <v>0</v>
      </c>
      <c r="K45" s="153">
        <f>SUMIFS('Unos rashoda i izdataka'!$L$3:$L$506,'Unos rashoda i izdataka'!$C$3:$C$506,"=52",'Unos rashoda i izdataka'!$P$3:$P$506,"=37")+SUMIFS('Unos rashoda P4'!$J$3:$J$501,'Unos rashoda P4'!$A$3:$A$501,"=52",'Unos rashoda P4'!$S$3:$S$501,"=37")</f>
        <v>2113</v>
      </c>
      <c r="L45" s="153">
        <f>SUMIFS('Unos rashoda i izdataka'!$L$3:$L$506,'Unos rashoda i izdataka'!$C$3:$C$506,"=552",'Unos rashoda i izdataka'!$P$3:$P$506,"=37")+SUMIFS('Unos rashoda P4'!$J$3:$J$501,'Unos rashoda P4'!$A$3:$A$501,"=552",'Unos rashoda P4'!$S$3:$S$501,"=37")</f>
        <v>0</v>
      </c>
      <c r="M45" s="153">
        <f>SUMIFS('Unos rashoda i izdataka'!$L$3:$L$506,'Unos rashoda i izdataka'!$C$3:$C$506,"=559",'Unos rashoda i izdataka'!$P$3:$P$506,"=37")+SUMIFS('Unos rashoda P4'!$J$3:$J$501,'Unos rashoda P4'!$A$3:$A$501,"=559",'Unos rashoda P4'!$S$3:$S$501,"=37")</f>
        <v>0</v>
      </c>
      <c r="N45" s="153">
        <f>SUMIFS('Unos rashoda i izdataka'!$L$3:$L$506,'Unos rashoda i izdataka'!$C$3:$C$506,"=561",'Unos rashoda i izdataka'!$P$3:$P$506,"=37")+SUMIFS('Unos rashoda P4'!$J$3:$J$501,'Unos rashoda P4'!$A$3:$A$501,"=561",'Unos rashoda P4'!$S$3:$S$501,"=37")</f>
        <v>0</v>
      </c>
      <c r="O45" s="153">
        <f>SUMIFS('Unos rashoda i izdataka'!$L$3:$L$506,'Unos rashoda i izdataka'!$C$3:$C$506,"=563",'Unos rashoda i izdataka'!$P$3:$P$506,"=37")+SUMIFS('Unos rashoda P4'!$J$3:$J$501,'Unos rashoda P4'!$A$3:$A$501,"=563",'Unos rashoda P4'!$S$3:$S$501,"=37")</f>
        <v>0</v>
      </c>
      <c r="P45" s="153">
        <f>SUMIFS('Unos rashoda i izdataka'!$L$3:$L$506,'Unos rashoda i izdataka'!$C$3:$C$506,"=573",'Unos rashoda i izdataka'!$P$3:$P$506,"=37")+SUMIFS('Unos rashoda P4'!$J$3:$J$501,'Unos rashoda P4'!$A$3:$A$501,"=573",'Unos rashoda P4'!$S$3:$S$501,"=37")</f>
        <v>0</v>
      </c>
      <c r="Q45" s="153">
        <f>SUMIFS('Unos rashoda i izdataka'!$L$3:$L$506,'Unos rashoda i izdataka'!$C$3:$C$506,"=575",'Unos rashoda i izdataka'!$P$3:$P$506,"=37")+SUMIFS('Unos rashoda P4'!$J$3:$J$501,'Unos rashoda P4'!$A$3:$A$501,"=575",'Unos rashoda P4'!$S$3:$S$501,"=37")</f>
        <v>0</v>
      </c>
      <c r="R45" s="153">
        <f>SUMIFS('Unos rashoda i izdataka'!$L$3:$L$506,'Unos rashoda i izdataka'!$Q$3:$Q$506,"=576",'Unos rashoda i izdataka'!$P$3:$P$506,"=37")+SUMIFS('Unos rashoda P4'!$J$3:$J$501,'Unos rashoda P4'!$A$3:$A$501,"=576",'Unos rashoda P4'!$S$3:$S$501,"=37")</f>
        <v>0</v>
      </c>
      <c r="S45" s="153">
        <f>SUMIFS('Unos rashoda i izdataka'!$L$3:$L$506,'Unos rashoda i izdataka'!$C$3:$C$506,"=581",'Unos rashoda i izdataka'!$P$3:$P$506,"=37")+SUMIFS('Unos rashoda P4'!$J$3:$J$501,'Unos rashoda P4'!$A$3:$A$501,"=581",'Unos rashoda P4'!$S$3:$S$501,"=37")</f>
        <v>0</v>
      </c>
      <c r="T45" s="153">
        <f>SUMIFS('Unos rashoda i izdataka'!$L$3:$L$506,'Unos rashoda i izdataka'!$C$3:$C$506,"=61",'Unos rashoda i izdataka'!$P$3:$P$506,"=37")+SUMIFS('Unos rashoda P4'!$J$3:$J$501,'Unos rashoda P4'!$A$3:$A$501,"=61",'Unos rashoda P4'!$S$3:$S$501,"=37")</f>
        <v>163</v>
      </c>
      <c r="U45" s="153">
        <f>SUMIFS('Unos rashoda i izdataka'!$L$3:$L$506,'Unos rashoda i izdataka'!$C$3:$C$506,"=63",'Unos rashoda i izdataka'!$P$3:$P$506,"=37")+SUMIFS('Unos rashoda P4'!$J$3:$J$501,'Unos rashoda P4'!$A$3:$A$501,"=63",'Unos rashoda P4'!$S$3:$S$501,"=37")</f>
        <v>0</v>
      </c>
      <c r="V45" s="153">
        <f>SUMIFS('Unos rashoda i izdataka'!$L$3:$L$506,'Unos rashoda i izdataka'!$C$3:$C$506,"=71",'Unos rashoda i izdataka'!$P$3:$P$506,"=37")+SUMIFS('Unos rashoda P4'!$J$3:$J$501,'Unos rashoda P4'!$A$3:$A$501,"=71",'Unos rashoda P4'!$S$3:$S$501,"=37")</f>
        <v>0</v>
      </c>
      <c r="W45" s="153">
        <f>SUMIFS('Unos rashoda i izdataka'!$L$3:$L$506,'Unos rashoda i izdataka'!$C$3:$C$506,"=81",'Unos rashoda i izdataka'!$P$3:$P$506,"=37")+SUMIFS('Unos rashoda P4'!$J$3:$J$501,'Unos rashoda P4'!$A$3:$A$501,"=81",'Unos rashoda P4'!$S$3:$S$501,"=37")</f>
        <v>0</v>
      </c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</row>
    <row r="46" spans="1:43" ht="12" customHeight="1">
      <c r="A46" s="143">
        <v>2025</v>
      </c>
      <c r="B46" s="155">
        <v>38</v>
      </c>
      <c r="C46" s="156" t="s">
        <v>3672</v>
      </c>
      <c r="D46" s="157">
        <f t="shared" si="8"/>
        <v>0</v>
      </c>
      <c r="E46" s="153">
        <f>SUMIFS('Unos rashoda i izdataka'!$L$3:$L$506,'Unos rashoda i izdataka'!$C$3:$C$506,"=11",'Unos rashoda i izdataka'!$P$3:$P$506,"=38")+SUMIFS('Unos rashoda P4'!$J$3:$J$501,'Unos rashoda P4'!$A$3:$A$501,"=11",'Unos rashoda P4'!$S$3:$S$501,"=38")</f>
        <v>0</v>
      </c>
      <c r="F46" s="153">
        <f>SUMIFS('Unos rashoda i izdataka'!$L$3:$L$506,'Unos rashoda i izdataka'!$C$3:$C$506,"=12",'Unos rashoda i izdataka'!$P$3:$P$506,"=38")+SUMIFS('Unos rashoda P4'!$J$3:$J$501,'Unos rashoda P4'!$A$3:$A$501,"=12",'Unos rashoda P4'!$S$3:$S$501,"=38")</f>
        <v>0</v>
      </c>
      <c r="G46" s="153">
        <f>SUMIFS('Unos rashoda i izdataka'!$L$3:$L$506,'Unos rashoda i izdataka'!$C$3:$C$506,"=31",'Unos rashoda i izdataka'!$P$3:$P$506,"=38")+SUMIFS('Unos rashoda P4'!$J$3:$J$501,'Unos rashoda P4'!$A$3:$A$501,"=31",'Unos rashoda P4'!$S$3:$S$501,"=38")</f>
        <v>0</v>
      </c>
      <c r="H46" s="153">
        <f>SUMIFS('Unos rashoda i izdataka'!$L$3:$L$506,'Unos rashoda i izdataka'!$C$3:$C$506,"=41",'Unos rashoda i izdataka'!$P$3:$P$506,"=38")+SUMIFS('Unos rashoda P4'!$J$3:$J$501,'Unos rashoda P4'!$A$3:$A$501,"=41",'Unos rashoda P4'!$S$3:$S$501,"=38")</f>
        <v>0</v>
      </c>
      <c r="I46" s="153">
        <f>SUMIFS('Unos rashoda i izdataka'!$L$3:$L$506,'Unos rashoda i izdataka'!$C$3:$C$506,"=43",'Unos rashoda i izdataka'!$P$3:$P$506,"=38")+SUMIFS('Unos rashoda P4'!$J$3:$J$501,'Unos rashoda P4'!$A$3:$A$501,"=43",'Unos rashoda P4'!$S$3:$S$501,"=38")</f>
        <v>0</v>
      </c>
      <c r="J46" s="153">
        <f>SUMIFS('Unos rashoda i izdataka'!$L$3:$L$506,'Unos rashoda i izdataka'!$C$3:$C$506,"=51",'Unos rashoda i izdataka'!$P$3:$P$506,"=38")+SUMIFS('Unos rashoda P4'!$J$3:$J$501,'Unos rashoda P4'!$A$3:$A$501,"=51",'Unos rashoda P4'!$S$3:$S$501,"=38")</f>
        <v>0</v>
      </c>
      <c r="K46" s="153">
        <f>SUMIFS('Unos rashoda i izdataka'!$L$3:$L$506,'Unos rashoda i izdataka'!$C$3:$C$506,"=52",'Unos rashoda i izdataka'!$P$3:$P$506,"=38")+SUMIFS('Unos rashoda P4'!$J$3:$J$501,'Unos rashoda P4'!$A$3:$A$501,"=52",'Unos rashoda P4'!$S$3:$S$501,"=38")</f>
        <v>0</v>
      </c>
      <c r="L46" s="153">
        <f>SUMIFS('Unos rashoda i izdataka'!$L$3:$L$506,'Unos rashoda i izdataka'!$C$3:$C$506,"=552",'Unos rashoda i izdataka'!$P$3:$P$506,"=38")+SUMIFS('Unos rashoda P4'!$J$3:$J$501,'Unos rashoda P4'!$A$3:$A$501,"=552",'Unos rashoda P4'!$S$3:$S$501,"=38")</f>
        <v>0</v>
      </c>
      <c r="M46" s="153">
        <f>SUMIFS('Unos rashoda i izdataka'!$L$3:$L$506,'Unos rashoda i izdataka'!$C$3:$C$506,"=559",'Unos rashoda i izdataka'!$P$3:$P$506,"=38")+SUMIFS('Unos rashoda P4'!$J$3:$J$501,'Unos rashoda P4'!$A$3:$A$501,"=559",'Unos rashoda P4'!$S$3:$S$501,"=38")</f>
        <v>0</v>
      </c>
      <c r="N46" s="153">
        <f>SUMIFS('Unos rashoda i izdataka'!$L$3:$L$506,'Unos rashoda i izdataka'!$C$3:$C$506,"=561",'Unos rashoda i izdataka'!$P$3:$P$506,"=38")+SUMIFS('Unos rashoda P4'!$J$3:$J$501,'Unos rashoda P4'!$A$3:$A$501,"=561",'Unos rashoda P4'!$S$3:$S$501,"=38")</f>
        <v>0</v>
      </c>
      <c r="O46" s="153">
        <f>SUMIFS('Unos rashoda i izdataka'!$L$3:$L$506,'Unos rashoda i izdataka'!$C$3:$C$506,"=563",'Unos rashoda i izdataka'!$P$3:$P$506,"=38")+SUMIFS('Unos rashoda P4'!$J$3:$J$501,'Unos rashoda P4'!$A$3:$A$501,"=563",'Unos rashoda P4'!$S$3:$S$501,"=38")</f>
        <v>0</v>
      </c>
      <c r="P46" s="153">
        <f>SUMIFS('Unos rashoda i izdataka'!$L$3:$L$506,'Unos rashoda i izdataka'!$C$3:$C$506,"=573",'Unos rashoda i izdataka'!$P$3:$P$506,"=38")+SUMIFS('Unos rashoda P4'!$J$3:$J$501,'Unos rashoda P4'!$A$3:$A$501,"=573",'Unos rashoda P4'!$S$3:$S$501,"=38")</f>
        <v>0</v>
      </c>
      <c r="Q46" s="153">
        <f>SUMIFS('Unos rashoda i izdataka'!$L$3:$L$506,'Unos rashoda i izdataka'!$C$3:$C$506,"=575",'Unos rashoda i izdataka'!$P$3:$P$506,"=38")+SUMIFS('Unos rashoda P4'!$J$3:$J$501,'Unos rashoda P4'!$A$3:$A$501,"=575",'Unos rashoda P4'!$S$3:$S$501,"=38")</f>
        <v>0</v>
      </c>
      <c r="R46" s="153">
        <f>SUMIFS('Unos rashoda i izdataka'!$L$3:$L$506,'Unos rashoda i izdataka'!$Q$3:$Q$506,"=576",'Unos rashoda i izdataka'!$P$3:$P$506,"=38")+SUMIFS('Unos rashoda P4'!$J$3:$J$501,'Unos rashoda P4'!$A$3:$A$501,"=576",'Unos rashoda P4'!$S$3:$S$501,"=38")</f>
        <v>0</v>
      </c>
      <c r="S46" s="153">
        <f>SUMIFS('Unos rashoda i izdataka'!$L$3:$L$506,'Unos rashoda i izdataka'!$C$3:$C$506,"=581",'Unos rashoda i izdataka'!$P$3:$P$506,"=38")+SUMIFS('Unos rashoda P4'!$J$3:$J$501,'Unos rashoda P4'!$A$3:$A$501,"=581",'Unos rashoda P4'!$S$3:$S$501,"=38")</f>
        <v>0</v>
      </c>
      <c r="T46" s="153">
        <f>SUMIFS('Unos rashoda i izdataka'!$L$3:$L$506,'Unos rashoda i izdataka'!$C$3:$C$506,"=61",'Unos rashoda i izdataka'!$P$3:$P$506,"=38")+SUMIFS('Unos rashoda P4'!$J$3:$J$501,'Unos rashoda P4'!$A$3:$A$501,"=61",'Unos rashoda P4'!$S$3:$S$501,"=38")</f>
        <v>0</v>
      </c>
      <c r="U46" s="153">
        <f>SUMIFS('Unos rashoda i izdataka'!$L$3:$L$506,'Unos rashoda i izdataka'!$C$3:$C$506,"=63",'Unos rashoda i izdataka'!$P$3:$P$506,"=38")+SUMIFS('Unos rashoda P4'!$J$3:$J$501,'Unos rashoda P4'!$A$3:$A$501,"=63",'Unos rashoda P4'!$S$3:$S$501,"=38")</f>
        <v>0</v>
      </c>
      <c r="V46" s="153">
        <f>SUMIFS('Unos rashoda i izdataka'!$L$3:$L$506,'Unos rashoda i izdataka'!$C$3:$C$506,"=71",'Unos rashoda i izdataka'!$P$3:$P$506,"=38")+SUMIFS('Unos rashoda P4'!$J$3:$J$501,'Unos rashoda P4'!$A$3:$A$501,"=71",'Unos rashoda P4'!$S$3:$S$501,"=38")</f>
        <v>0</v>
      </c>
      <c r="W46" s="153">
        <f>SUMIFS('Unos rashoda i izdataka'!$L$3:$L$506,'Unos rashoda i izdataka'!$C$3:$C$506,"=81",'Unos rashoda i izdataka'!$P$3:$P$506,"=38")+SUMIFS('Unos rashoda P4'!$J$3:$J$501,'Unos rashoda P4'!$A$3:$A$501,"=81",'Unos rashoda P4'!$S$3:$S$501,"=38")</f>
        <v>0</v>
      </c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</row>
    <row r="47" spans="1:43" ht="12" customHeight="1">
      <c r="A47" s="143">
        <v>2025</v>
      </c>
      <c r="B47" s="159">
        <v>4</v>
      </c>
      <c r="C47" s="160" t="s">
        <v>3673</v>
      </c>
      <c r="D47" s="161">
        <f t="shared" si="8"/>
        <v>971425</v>
      </c>
      <c r="E47" s="162">
        <f t="shared" ref="E47:W47" si="11">SUM(E48:E52)</f>
        <v>316744</v>
      </c>
      <c r="F47" s="162">
        <f t="shared" si="11"/>
        <v>0</v>
      </c>
      <c r="G47" s="162">
        <f t="shared" si="11"/>
        <v>343680</v>
      </c>
      <c r="H47" s="162">
        <f t="shared" si="11"/>
        <v>0</v>
      </c>
      <c r="I47" s="162">
        <f t="shared" si="11"/>
        <v>0</v>
      </c>
      <c r="J47" s="162">
        <f t="shared" si="11"/>
        <v>79150</v>
      </c>
      <c r="K47" s="162">
        <f t="shared" si="11"/>
        <v>223554</v>
      </c>
      <c r="L47" s="162">
        <f t="shared" si="11"/>
        <v>0</v>
      </c>
      <c r="M47" s="162">
        <f t="shared" si="11"/>
        <v>0</v>
      </c>
      <c r="N47" s="162">
        <f t="shared" si="11"/>
        <v>0</v>
      </c>
      <c r="O47" s="162">
        <f t="shared" si="11"/>
        <v>0</v>
      </c>
      <c r="P47" s="162">
        <f t="shared" si="11"/>
        <v>0</v>
      </c>
      <c r="Q47" s="162">
        <f t="shared" si="11"/>
        <v>0</v>
      </c>
      <c r="R47" s="162">
        <f t="shared" si="11"/>
        <v>0</v>
      </c>
      <c r="S47" s="162">
        <f t="shared" si="11"/>
        <v>0</v>
      </c>
      <c r="T47" s="162">
        <f t="shared" si="11"/>
        <v>8297</v>
      </c>
      <c r="U47" s="162">
        <f t="shared" si="11"/>
        <v>0</v>
      </c>
      <c r="V47" s="162">
        <f t="shared" si="11"/>
        <v>0</v>
      </c>
      <c r="W47" s="162">
        <f t="shared" si="11"/>
        <v>0</v>
      </c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</row>
    <row r="48" spans="1:43" ht="12" customHeight="1">
      <c r="A48" s="143">
        <v>2025</v>
      </c>
      <c r="B48" s="150">
        <v>41</v>
      </c>
      <c r="C48" s="151" t="s">
        <v>3674</v>
      </c>
      <c r="D48" s="157">
        <f t="shared" si="8"/>
        <v>0</v>
      </c>
      <c r="E48" s="153">
        <f>SUMIFS('Unos rashoda i izdataka'!$L$3:$L$506,'Unos rashoda i izdataka'!$C$3:$C$506,"=11",'Unos rashoda i izdataka'!$P$3:$P$506,"=41")+SUMIFS('Unos rashoda P4'!$J$3:$J$501,'Unos rashoda P4'!$A$3:$A$501,"=11",'Unos rashoda P4'!$S$3:$S$501,"=41")</f>
        <v>0</v>
      </c>
      <c r="F48" s="153">
        <f>SUMIFS('Unos rashoda i izdataka'!$L$3:$L$506,'Unos rashoda i izdataka'!$C$3:$C$506,"=12",'Unos rashoda i izdataka'!$P$3:$P$506,"=41")+SUMIFS('Unos rashoda P4'!$J$3:$J$501,'Unos rashoda P4'!$A$3:$A$501,"=12",'Unos rashoda P4'!$S$3:$S$501,"=41")</f>
        <v>0</v>
      </c>
      <c r="G48" s="153">
        <f>SUMIFS('Unos rashoda i izdataka'!$L$3:$L$506,'Unos rashoda i izdataka'!$C$3:$C$506,"=31",'Unos rashoda i izdataka'!$P$3:$P$506,"=41")+SUMIFS('Unos rashoda P4'!$J$3:$J$501,'Unos rashoda P4'!$A$3:$A$501,"=31",'Unos rashoda P4'!$S$3:$S$501,"=41")</f>
        <v>0</v>
      </c>
      <c r="H48" s="153">
        <f>SUMIFS('Unos rashoda i izdataka'!$L$3:$L$506,'Unos rashoda i izdataka'!$C$3:$C$506,"=41",'Unos rashoda i izdataka'!$P$3:$P$506,"=41")+SUMIFS('Unos rashoda P4'!$J$3:$J$501,'Unos rashoda P4'!$A$3:$A$501,"=41",'Unos rashoda P4'!$S$3:$S$501,"=41")</f>
        <v>0</v>
      </c>
      <c r="I48" s="153">
        <f>SUMIFS('Unos rashoda i izdataka'!$L$3:$L$506,'Unos rashoda i izdataka'!$C$3:$C$506,"=43",'Unos rashoda i izdataka'!$P$3:$P$506,"=41")+SUMIFS('Unos rashoda P4'!$J$3:$J$501,'Unos rashoda P4'!$A$3:$A$501,"=43",'Unos rashoda P4'!$S$3:$S$501,"=41")</f>
        <v>0</v>
      </c>
      <c r="J48" s="153">
        <f>SUMIFS('Unos rashoda i izdataka'!$L$3:$L$506,'Unos rashoda i izdataka'!$C$3:$C$506,"=51",'Unos rashoda i izdataka'!$P$3:$P$506,"=41")+SUMIFS('Unos rashoda P4'!$J$3:$J$501,'Unos rashoda P4'!$A$3:$A$501,"=51",'Unos rashoda P4'!$S$3:$S$501,"=41")</f>
        <v>0</v>
      </c>
      <c r="K48" s="153">
        <f>SUMIFS('Unos rashoda i izdataka'!$L$3:$L$506,'Unos rashoda i izdataka'!$C$3:$C$506,"=52",'Unos rashoda i izdataka'!$P$3:$P$506,"=41")+SUMIFS('Unos rashoda P4'!$J$3:$J$501,'Unos rashoda P4'!$A$3:$A$501,"=52",'Unos rashoda P4'!$S$3:$S$501,"=41")</f>
        <v>0</v>
      </c>
      <c r="L48" s="153">
        <f>SUMIFS('Unos rashoda i izdataka'!$L$3:$L$506,'Unos rashoda i izdataka'!$C$3:$C$506,"=552",'Unos rashoda i izdataka'!$P$3:$P$506,"=41")+SUMIFS('Unos rashoda P4'!$J$3:$J$501,'Unos rashoda P4'!$A$3:$A$501,"=552",'Unos rashoda P4'!$S$3:$S$501,"=41")</f>
        <v>0</v>
      </c>
      <c r="M48" s="153">
        <f>SUMIFS('Unos rashoda i izdataka'!$L$3:$L$506,'Unos rashoda i izdataka'!$C$3:$C$506,"=559",'Unos rashoda i izdataka'!$P$3:$P$506,"=41")+SUMIFS('Unos rashoda P4'!$J$3:$J$501,'Unos rashoda P4'!$A$3:$A$501,"=559",'Unos rashoda P4'!$S$3:$S$501,"=41")</f>
        <v>0</v>
      </c>
      <c r="N48" s="153">
        <f>SUMIFS('Unos rashoda i izdataka'!$L$3:$L$506,'Unos rashoda i izdataka'!$C$3:$C$506,"=561",'Unos rashoda i izdataka'!$P$3:$P$506,"=41")+SUMIFS('Unos rashoda P4'!$J$3:$J$501,'Unos rashoda P4'!$A$3:$A$501,"=561",'Unos rashoda P4'!$S$3:$S$501,"=41")</f>
        <v>0</v>
      </c>
      <c r="O48" s="153">
        <f>SUMIFS('Unos rashoda i izdataka'!$L$3:$L$506,'Unos rashoda i izdataka'!$C$3:$C$506,"=563",'Unos rashoda i izdataka'!$P$3:$P$506,"=41")+SUMIFS('Unos rashoda P4'!$J$3:$J$501,'Unos rashoda P4'!$A$3:$A$501,"=563",'Unos rashoda P4'!$S$3:$S$501,"=41")</f>
        <v>0</v>
      </c>
      <c r="P48" s="153">
        <f>SUMIFS('Unos rashoda i izdataka'!$L$3:$L$506,'Unos rashoda i izdataka'!$C$3:$C$506,"=573",'Unos rashoda i izdataka'!$P$3:$P$506,"=41")+SUMIFS('Unos rashoda P4'!$J$3:$J$501,'Unos rashoda P4'!$A$3:$A$501,"=573",'Unos rashoda P4'!$S$3:$S$501,"=41")</f>
        <v>0</v>
      </c>
      <c r="Q48" s="153">
        <f>SUMIFS('Unos rashoda i izdataka'!$L$3:$L$506,'Unos rashoda i izdataka'!$C$3:$C$506,"=575",'Unos rashoda i izdataka'!$P$3:$P$506,"=41")+SUMIFS('Unos rashoda P4'!$J$3:$J$501,'Unos rashoda P4'!$A$3:$A$501,"=575",'Unos rashoda P4'!$S$3:$S$501,"=41")</f>
        <v>0</v>
      </c>
      <c r="R48" s="153">
        <f>SUMIFS('Unos rashoda i izdataka'!$L$3:$L$506,'Unos rashoda i izdataka'!$Q$3:$Q$506,"=576",'Unos rashoda i izdataka'!$P$3:$P$506,"=41")+SUMIFS('Unos rashoda P4'!$J$3:$J$501,'Unos rashoda P4'!$A$3:$A$501,"=576",'Unos rashoda P4'!$S$3:$S$501,"=41")</f>
        <v>0</v>
      </c>
      <c r="S48" s="153">
        <f>SUMIFS('Unos rashoda i izdataka'!$L$3:$L$506,'Unos rashoda i izdataka'!$C$3:$C$506,"=581",'Unos rashoda i izdataka'!$P$3:$P$506,"=41")+SUMIFS('Unos rashoda P4'!$J$3:$J$501,'Unos rashoda P4'!$A$3:$A$501,"=581",'Unos rashoda P4'!$S$3:$S$501,"=41")</f>
        <v>0</v>
      </c>
      <c r="T48" s="153">
        <f>SUMIFS('Unos rashoda i izdataka'!$L$3:$L$506,'Unos rashoda i izdataka'!$C$3:$C$506,"=61",'Unos rashoda i izdataka'!$P$3:$P$506,"=41")+SUMIFS('Unos rashoda P4'!$J$3:$J$501,'Unos rashoda P4'!$A$3:$A$501,"=61",'Unos rashoda P4'!$S$3:$S$501,"=41")</f>
        <v>0</v>
      </c>
      <c r="U48" s="153">
        <f>SUMIFS('Unos rashoda i izdataka'!$L$3:$L$506,'Unos rashoda i izdataka'!$C$3:$C$506,"=63",'Unos rashoda i izdataka'!$P$3:$P$506,"=41")+SUMIFS('Unos rashoda P4'!$J$3:$J$501,'Unos rashoda P4'!$A$3:$A$501,"=63",'Unos rashoda P4'!$S$3:$S$501,"=41")</f>
        <v>0</v>
      </c>
      <c r="V48" s="153">
        <f>SUMIFS('Unos rashoda i izdataka'!$L$3:$L$506,'Unos rashoda i izdataka'!$C$3:$C$506,"=71",'Unos rashoda i izdataka'!$P$3:$P$506,"=41")+SUMIFS('Unos rashoda P4'!$J$3:$J$501,'Unos rashoda P4'!$A$3:$A$501,"=71",'Unos rashoda P4'!$S$3:$S$501,"=41")</f>
        <v>0</v>
      </c>
      <c r="W48" s="153">
        <f>SUMIFS('Unos rashoda i izdataka'!$L$3:$L$506,'Unos rashoda i izdataka'!$C$3:$C$506,"=81",'Unos rashoda i izdataka'!$P$3:$P$506,"=41")+SUMIFS('Unos rashoda P4'!$J$3:$J$501,'Unos rashoda P4'!$A$3:$A$501,"=81",'Unos rashoda P4'!$S$3:$S$501,"=41")</f>
        <v>0</v>
      </c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</row>
    <row r="49" spans="1:43" ht="12" customHeight="1">
      <c r="A49" s="143">
        <v>2025</v>
      </c>
      <c r="B49" s="155">
        <v>42</v>
      </c>
      <c r="C49" s="156" t="s">
        <v>3675</v>
      </c>
      <c r="D49" s="157">
        <f t="shared" si="8"/>
        <v>954588</v>
      </c>
      <c r="E49" s="153">
        <f>SUMIFS('Unos rashoda i izdataka'!$L$3:$L$506,'Unos rashoda i izdataka'!$C$3:$C$506,"=11",'Unos rashoda i izdataka'!$P$3:$P$506,"=42")+SUMIFS('Unos rashoda P4'!$J$3:$J$501,'Unos rashoda P4'!$A$3:$A$501,"=11",'Unos rashoda P4'!$S$3:$S$501,"=42")</f>
        <v>299907</v>
      </c>
      <c r="F49" s="153">
        <f>SUMIFS('Unos rashoda i izdataka'!$L$3:$L$506,'Unos rashoda i izdataka'!$C$3:$C$506,"=12",'Unos rashoda i izdataka'!$P$3:$P$506,"=42")+SUMIFS('Unos rashoda P4'!$J$3:$J$501,'Unos rashoda P4'!$A$3:$A$501,"=12",'Unos rashoda P4'!$S$3:$S$501,"=42")</f>
        <v>0</v>
      </c>
      <c r="G49" s="153">
        <f>SUMIFS('Unos rashoda i izdataka'!$L$3:$L$506,'Unos rashoda i izdataka'!$C$3:$C$506,"=31",'Unos rashoda i izdataka'!$P$3:$P$506,"=42")+SUMIFS('Unos rashoda P4'!$J$3:$J$501,'Unos rashoda P4'!$A$3:$A$501,"=31",'Unos rashoda P4'!$S$3:$S$501,"=42")</f>
        <v>343680</v>
      </c>
      <c r="H49" s="153">
        <f>SUMIFS('Unos rashoda i izdataka'!$L$3:$L$506,'Unos rashoda i izdataka'!$C$3:$C$506,"=41",'Unos rashoda i izdataka'!$P$3:$P$506,"=42")+SUMIFS('Unos rashoda P4'!$J$3:$J$501,'Unos rashoda P4'!$A$3:$A$501,"=41",'Unos rashoda P4'!$S$3:$S$501,"=42")</f>
        <v>0</v>
      </c>
      <c r="I49" s="153">
        <f>SUMIFS('Unos rashoda i izdataka'!$L$3:$L$506,'Unos rashoda i izdataka'!$C$3:$C$506,"=43",'Unos rashoda i izdataka'!$P$3:$P$506,"=42")+SUMIFS('Unos rashoda P4'!$J$3:$J$501,'Unos rashoda P4'!$A$3:$A$501,"=43",'Unos rashoda P4'!$S$3:$S$501,"=42")</f>
        <v>0</v>
      </c>
      <c r="J49" s="153">
        <f>SUMIFS('Unos rashoda i izdataka'!$L$3:$L$506,'Unos rashoda i izdataka'!$C$3:$C$506,"=51",'Unos rashoda i izdataka'!$P$3:$P$506,"=42")+SUMIFS('Unos rashoda P4'!$J$3:$J$501,'Unos rashoda P4'!$A$3:$A$501,"=51",'Unos rashoda P4'!$S$3:$S$501,"=42")</f>
        <v>79150</v>
      </c>
      <c r="K49" s="153">
        <f>SUMIFS('Unos rashoda i izdataka'!$L$3:$L$506,'Unos rashoda i izdataka'!$C$3:$C$506,"=52",'Unos rashoda i izdataka'!$P$3:$P$506,"=42")+SUMIFS('Unos rashoda P4'!$J$3:$J$501,'Unos rashoda P4'!$A$3:$A$501,"=52",'Unos rashoda P4'!$S$3:$S$501,"=42")</f>
        <v>223554</v>
      </c>
      <c r="L49" s="153">
        <f>SUMIFS('Unos rashoda i izdataka'!$L$3:$L$506,'Unos rashoda i izdataka'!$C$3:$C$506,"=552",'Unos rashoda i izdataka'!$P$3:$P$506,"=42")+SUMIFS('Unos rashoda P4'!$J$3:$J$501,'Unos rashoda P4'!$A$3:$A$501,"=552",'Unos rashoda P4'!$S$3:$S$501,"=42")</f>
        <v>0</v>
      </c>
      <c r="M49" s="153">
        <f>SUMIFS('Unos rashoda i izdataka'!$L$3:$L$506,'Unos rashoda i izdataka'!$C$3:$C$506,"=559",'Unos rashoda i izdataka'!$P$3:$P$506,"=42")+SUMIFS('Unos rashoda P4'!$J$3:$J$501,'Unos rashoda P4'!$A$3:$A$501,"=559",'Unos rashoda P4'!$S$3:$S$501,"=42")</f>
        <v>0</v>
      </c>
      <c r="N49" s="153">
        <f>SUMIFS('Unos rashoda i izdataka'!$L$3:$L$506,'Unos rashoda i izdataka'!$C$3:$C$506,"=561",'Unos rashoda i izdataka'!$P$3:$P$506,"=42")+SUMIFS('Unos rashoda P4'!$J$3:$J$501,'Unos rashoda P4'!$A$3:$A$501,"=561",'Unos rashoda P4'!$S$3:$S$501,"=42")</f>
        <v>0</v>
      </c>
      <c r="O49" s="153">
        <f>SUMIFS('Unos rashoda i izdataka'!$L$3:$L$506,'Unos rashoda i izdataka'!$C$3:$C$506,"=563",'Unos rashoda i izdataka'!$P$3:$P$506,"=42")+SUMIFS('Unos rashoda P4'!$J$3:$J$501,'Unos rashoda P4'!$A$3:$A$501,"=563",'Unos rashoda P4'!$S$3:$S$501,"=42")</f>
        <v>0</v>
      </c>
      <c r="P49" s="153">
        <f>SUMIFS('Unos rashoda i izdataka'!$L$3:$L$506,'Unos rashoda i izdataka'!$C$3:$C$506,"=573",'Unos rashoda i izdataka'!$P$3:$P$506,"=42")+SUMIFS('Unos rashoda P4'!$J$3:$J$501,'Unos rashoda P4'!$A$3:$A$501,"=573",'Unos rashoda P4'!$S$3:$S$501,"=42")</f>
        <v>0</v>
      </c>
      <c r="Q49" s="153">
        <f>SUMIFS('Unos rashoda i izdataka'!$L$3:$L$506,'Unos rashoda i izdataka'!$C$3:$C$506,"=575",'Unos rashoda i izdataka'!$P$3:$P$506,"=42")+SUMIFS('Unos rashoda P4'!$J$3:$J$501,'Unos rashoda P4'!$A$3:$A$501,"=575",'Unos rashoda P4'!$S$3:$S$501,"=42")</f>
        <v>0</v>
      </c>
      <c r="R49" s="153">
        <f>SUMIFS('Unos rashoda i izdataka'!$L$3:$L$506,'Unos rashoda i izdataka'!$Q$3:$Q$506,"=576",'Unos rashoda i izdataka'!$P$3:$P$506,"=42")+SUMIFS('Unos rashoda P4'!$J$3:$J$501,'Unos rashoda P4'!$A$3:$A$501,"=576",'Unos rashoda P4'!$S$3:$S$501,"=42")</f>
        <v>0</v>
      </c>
      <c r="S49" s="153">
        <f>SUMIFS('Unos rashoda i izdataka'!$L$3:$L$506,'Unos rashoda i izdataka'!$C$3:$C$506,"=581",'Unos rashoda i izdataka'!$P$3:$P$506,"=42")+SUMIFS('Unos rashoda P4'!$J$3:$J$501,'Unos rashoda P4'!$A$3:$A$501,"=581",'Unos rashoda P4'!$S$3:$S$501,"=42")</f>
        <v>0</v>
      </c>
      <c r="T49" s="153">
        <f>SUMIFS('Unos rashoda i izdataka'!$L$3:$L$506,'Unos rashoda i izdataka'!$C$3:$C$506,"=61",'Unos rashoda i izdataka'!$P$3:$P$506,"=42")+SUMIFS('Unos rashoda P4'!$J$3:$J$501,'Unos rashoda P4'!$A$3:$A$501,"=61",'Unos rashoda P4'!$S$3:$S$501,"=42")</f>
        <v>8297</v>
      </c>
      <c r="U49" s="153">
        <f>SUMIFS('Unos rashoda i izdataka'!$L$3:$L$506,'Unos rashoda i izdataka'!$C$3:$C$506,"=63",'Unos rashoda i izdataka'!$P$3:$P$506,"=42")+SUMIFS('Unos rashoda P4'!$J$3:$J$501,'Unos rashoda P4'!$A$3:$A$501,"=63",'Unos rashoda P4'!$S$3:$S$501,"=42")</f>
        <v>0</v>
      </c>
      <c r="V49" s="153">
        <f>SUMIFS('Unos rashoda i izdataka'!$L$3:$L$506,'Unos rashoda i izdataka'!$C$3:$C$506,"=71",'Unos rashoda i izdataka'!$P$3:$P$506,"=42")+SUMIFS('Unos rashoda P4'!$J$3:$J$501,'Unos rashoda P4'!$A$3:$A$501,"=71",'Unos rashoda P4'!$S$3:$S$501,"=42")</f>
        <v>0</v>
      </c>
      <c r="W49" s="153">
        <f>SUMIFS('Unos rashoda i izdataka'!$L$3:$L$506,'Unos rashoda i izdataka'!$C$3:$C$506,"=81",'Unos rashoda i izdataka'!$P$3:$P$506,"=42")+SUMIFS('Unos rashoda P4'!$J$3:$J$501,'Unos rashoda P4'!$A$3:$A$501,"=81",'Unos rashoda P4'!$S$3:$S$501,"=42")</f>
        <v>0</v>
      </c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</row>
    <row r="50" spans="1:43" ht="12" customHeight="1">
      <c r="A50" s="143">
        <v>2025</v>
      </c>
      <c r="B50" s="150">
        <v>43</v>
      </c>
      <c r="C50" s="151" t="s">
        <v>3676</v>
      </c>
      <c r="D50" s="157">
        <f t="shared" si="8"/>
        <v>0</v>
      </c>
      <c r="E50" s="153">
        <f>SUMIFS('Unos rashoda i izdataka'!$L$3:$L$506,'Unos rashoda i izdataka'!$C$3:$C$506,"=11",'Unos rashoda i izdataka'!$P$3:$P$506,"=43")+SUMIFS('Unos rashoda P4'!$J$3:$J$501,'Unos rashoda P4'!$A$3:$A$501,"=11",'Unos rashoda P4'!$S$3:$S$501,"=43")</f>
        <v>0</v>
      </c>
      <c r="F50" s="153">
        <f>SUMIFS('Unos rashoda i izdataka'!$L$3:$L$506,'Unos rashoda i izdataka'!$C$3:$C$506,"=12",'Unos rashoda i izdataka'!$P$3:$P$506,"=43")+SUMIFS('Unos rashoda P4'!$J$3:$J$501,'Unos rashoda P4'!$A$3:$A$501,"=12",'Unos rashoda P4'!$S$3:$S$501,"=43")</f>
        <v>0</v>
      </c>
      <c r="G50" s="153">
        <f>SUMIFS('Unos rashoda i izdataka'!$L$3:$L$506,'Unos rashoda i izdataka'!$C$3:$C$506,"=31",'Unos rashoda i izdataka'!$P$3:$P$506,"=43")+SUMIFS('Unos rashoda P4'!$J$3:$J$501,'Unos rashoda P4'!$A$3:$A$501,"=31",'Unos rashoda P4'!$S$3:$S$501,"=43")</f>
        <v>0</v>
      </c>
      <c r="H50" s="153">
        <f>SUMIFS('Unos rashoda i izdataka'!$L$3:$L$506,'Unos rashoda i izdataka'!$C$3:$C$506,"=41",'Unos rashoda i izdataka'!$P$3:$P$506,"=43")+SUMIFS('Unos rashoda P4'!$J$3:$J$501,'Unos rashoda P4'!$A$3:$A$501,"=41",'Unos rashoda P4'!$S$3:$S$501,"=43")</f>
        <v>0</v>
      </c>
      <c r="I50" s="153">
        <f>SUMIFS('Unos rashoda i izdataka'!$L$3:$L$506,'Unos rashoda i izdataka'!$C$3:$C$506,"=43",'Unos rashoda i izdataka'!$P$3:$P$506,"=43")+SUMIFS('Unos rashoda P4'!$J$3:$J$501,'Unos rashoda P4'!$A$3:$A$501,"=43",'Unos rashoda P4'!$S$3:$S$501,"=43")</f>
        <v>0</v>
      </c>
      <c r="J50" s="153">
        <f>SUMIFS('Unos rashoda i izdataka'!$L$3:$L$506,'Unos rashoda i izdataka'!$C$3:$C$506,"=51",'Unos rashoda i izdataka'!$P$3:$P$506,"=43")+SUMIFS('Unos rashoda P4'!$J$3:$J$501,'Unos rashoda P4'!$A$3:$A$501,"=51",'Unos rashoda P4'!$S$3:$S$501,"=43")</f>
        <v>0</v>
      </c>
      <c r="K50" s="153">
        <f>SUMIFS('Unos rashoda i izdataka'!$L$3:$L$506,'Unos rashoda i izdataka'!$C$3:$C$506,"=52",'Unos rashoda i izdataka'!$P$3:$P$506,"=43")+SUMIFS('Unos rashoda P4'!$J$3:$J$501,'Unos rashoda P4'!$A$3:$A$501,"=52",'Unos rashoda P4'!$S$3:$S$501,"=43")</f>
        <v>0</v>
      </c>
      <c r="L50" s="153">
        <f>SUMIFS('Unos rashoda i izdataka'!$L$3:$L$506,'Unos rashoda i izdataka'!$C$3:$C$506,"=552",'Unos rashoda i izdataka'!$P$3:$P$506,"=43")+SUMIFS('Unos rashoda P4'!$J$3:$J$501,'Unos rashoda P4'!$A$3:$A$501,"=552",'Unos rashoda P4'!$S$3:$S$501,"=43")</f>
        <v>0</v>
      </c>
      <c r="M50" s="153">
        <f>SUMIFS('Unos rashoda i izdataka'!$L$3:$L$506,'Unos rashoda i izdataka'!$C$3:$C$506,"=559",'Unos rashoda i izdataka'!$P$3:$P$506,"=43")+SUMIFS('Unos rashoda P4'!$J$3:$J$501,'Unos rashoda P4'!$A$3:$A$501,"=559",'Unos rashoda P4'!$S$3:$S$501,"=43")</f>
        <v>0</v>
      </c>
      <c r="N50" s="153">
        <f>SUMIFS('Unos rashoda i izdataka'!$L$3:$L$506,'Unos rashoda i izdataka'!$C$3:$C$506,"=561",'Unos rashoda i izdataka'!$P$3:$P$506,"=43")+SUMIFS('Unos rashoda P4'!$J$3:$J$501,'Unos rashoda P4'!$A$3:$A$501,"=561",'Unos rashoda P4'!$S$3:$S$501,"=43")</f>
        <v>0</v>
      </c>
      <c r="O50" s="153">
        <f>SUMIFS('Unos rashoda i izdataka'!$L$3:$L$506,'Unos rashoda i izdataka'!$C$3:$C$506,"=563",'Unos rashoda i izdataka'!$P$3:$P$506,"=43")+SUMIFS('Unos rashoda P4'!$J$3:$J$501,'Unos rashoda P4'!$A$3:$A$501,"=563",'Unos rashoda P4'!$S$3:$S$501,"=43")</f>
        <v>0</v>
      </c>
      <c r="P50" s="153">
        <f>SUMIFS('Unos rashoda i izdataka'!$L$3:$L$506,'Unos rashoda i izdataka'!$C$3:$C$506,"=573",'Unos rashoda i izdataka'!$P$3:$P$506,"=43")+SUMIFS('Unos rashoda P4'!$J$3:$J$501,'Unos rashoda P4'!$A$3:$A$501,"=573",'Unos rashoda P4'!$S$3:$S$501,"=43")</f>
        <v>0</v>
      </c>
      <c r="Q50" s="153">
        <f>SUMIFS('Unos rashoda i izdataka'!$L$3:$L$506,'Unos rashoda i izdataka'!$C$3:$C$506,"=575",'Unos rashoda i izdataka'!$P$3:$P$506,"=43")+SUMIFS('Unos rashoda P4'!$J$3:$J$501,'Unos rashoda P4'!$A$3:$A$501,"=575",'Unos rashoda P4'!$S$3:$S$501,"=43")</f>
        <v>0</v>
      </c>
      <c r="R50" s="153">
        <f>SUMIFS('Unos rashoda i izdataka'!$L$3:$L$506,'Unos rashoda i izdataka'!$Q$3:$Q$506,"=576",'Unos rashoda i izdataka'!$P$3:$P$506,"=43")+SUMIFS('Unos rashoda P4'!$J$3:$J$501,'Unos rashoda P4'!$A$3:$A$501,"=576",'Unos rashoda P4'!$S$3:$S$501,"=43")</f>
        <v>0</v>
      </c>
      <c r="S50" s="153">
        <f>SUMIFS('Unos rashoda i izdataka'!$L$3:$L$506,'Unos rashoda i izdataka'!$C$3:$C$506,"=581",'Unos rashoda i izdataka'!$P$3:$P$506,"=43")+SUMIFS('Unos rashoda P4'!$J$3:$J$501,'Unos rashoda P4'!$A$3:$A$501,"=581",'Unos rashoda P4'!$S$3:$S$501,"=43")</f>
        <v>0</v>
      </c>
      <c r="T50" s="153">
        <f>SUMIFS('Unos rashoda i izdataka'!$L$3:$L$506,'Unos rashoda i izdataka'!$C$3:$C$506,"=61",'Unos rashoda i izdataka'!$P$3:$P$506,"=43")+SUMIFS('Unos rashoda P4'!$J$3:$J$501,'Unos rashoda P4'!$A$3:$A$501,"=61",'Unos rashoda P4'!$S$3:$S$501,"=43")</f>
        <v>0</v>
      </c>
      <c r="U50" s="153">
        <f>SUMIFS('Unos rashoda i izdataka'!$L$3:$L$506,'Unos rashoda i izdataka'!$C$3:$C$506,"=63",'Unos rashoda i izdataka'!$P$3:$P$506,"=43")+SUMIFS('Unos rashoda P4'!$J$3:$J$501,'Unos rashoda P4'!$A$3:$A$501,"=63",'Unos rashoda P4'!$S$3:$S$501,"=43")</f>
        <v>0</v>
      </c>
      <c r="V50" s="153">
        <f>SUMIFS('Unos rashoda i izdataka'!$L$3:$L$506,'Unos rashoda i izdataka'!$C$3:$C$506,"=71",'Unos rashoda i izdataka'!$P$3:$P$506,"=43")+SUMIFS('Unos rashoda P4'!$J$3:$J$501,'Unos rashoda P4'!$A$3:$A$501,"=71",'Unos rashoda P4'!$S$3:$S$501,"=43")</f>
        <v>0</v>
      </c>
      <c r="W50" s="153">
        <f>SUMIFS('Unos rashoda i izdataka'!$L$3:$L$506,'Unos rashoda i izdataka'!$C$3:$C$506,"=81",'Unos rashoda i izdataka'!$P$3:$P$506,"=43")+SUMIFS('Unos rashoda P4'!$J$3:$J$501,'Unos rashoda P4'!$A$3:$A$501,"=81",'Unos rashoda P4'!$S$3:$S$501,"=43")</f>
        <v>0</v>
      </c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</row>
    <row r="51" spans="1:43" ht="12" customHeight="1">
      <c r="A51" s="143">
        <v>2025</v>
      </c>
      <c r="B51" s="150">
        <v>44</v>
      </c>
      <c r="C51" s="151" t="s">
        <v>3677</v>
      </c>
      <c r="D51" s="157">
        <f t="shared" si="8"/>
        <v>0</v>
      </c>
      <c r="E51" s="153">
        <f>SUMIFS('Unos rashoda i izdataka'!$L$3:$L$506,'Unos rashoda i izdataka'!$C$3:$C$506,"=11",'Unos rashoda i izdataka'!$P$3:$P$506,"=44")+SUMIFS('Unos rashoda P4'!$J$3:$J$501,'Unos rashoda P4'!$A$3:$A$501,"=11",'Unos rashoda P4'!$S$3:$S$501,"=44")</f>
        <v>0</v>
      </c>
      <c r="F51" s="153">
        <f>SUMIFS('Unos rashoda i izdataka'!$L$3:$L$506,'Unos rashoda i izdataka'!$C$3:$C$506,"=12",'Unos rashoda i izdataka'!$P$3:$P$506,"=44")+SUMIFS('Unos rashoda P4'!$J$3:$J$501,'Unos rashoda P4'!$A$3:$A$501,"=12",'Unos rashoda P4'!$S$3:$S$501,"=44")</f>
        <v>0</v>
      </c>
      <c r="G51" s="153">
        <f>SUMIFS('Unos rashoda i izdataka'!$L$3:$L$506,'Unos rashoda i izdataka'!$C$3:$C$506,"=31",'Unos rashoda i izdataka'!$P$3:$P$506,"=44")+SUMIFS('Unos rashoda P4'!$J$3:$J$501,'Unos rashoda P4'!$A$3:$A$501,"=31",'Unos rashoda P4'!$S$3:$S$501,"=44")</f>
        <v>0</v>
      </c>
      <c r="H51" s="153">
        <f>SUMIFS('Unos rashoda i izdataka'!$L$3:$L$506,'Unos rashoda i izdataka'!$C$3:$C$506,"=41",'Unos rashoda i izdataka'!$P$3:$P$506,"=44")+SUMIFS('Unos rashoda P4'!$J$3:$J$501,'Unos rashoda P4'!$A$3:$A$501,"=41",'Unos rashoda P4'!$S$3:$S$501,"=44")</f>
        <v>0</v>
      </c>
      <c r="I51" s="153">
        <f>SUMIFS('Unos rashoda i izdataka'!$L$3:$L$506,'Unos rashoda i izdataka'!$C$3:$C$506,"=43",'Unos rashoda i izdataka'!$P$3:$P$506,"=44")+SUMIFS('Unos rashoda P4'!$J$3:$J$501,'Unos rashoda P4'!$A$3:$A$501,"=43",'Unos rashoda P4'!$S$3:$S$501,"=44")</f>
        <v>0</v>
      </c>
      <c r="J51" s="153">
        <f>SUMIFS('Unos rashoda i izdataka'!$L$3:$L$506,'Unos rashoda i izdataka'!$C$3:$C$506,"=51",'Unos rashoda i izdataka'!$P$3:$P$506,"=44")+SUMIFS('Unos rashoda P4'!$J$3:$J$501,'Unos rashoda P4'!$A$3:$A$501,"=51",'Unos rashoda P4'!$S$3:$S$501,"=44")</f>
        <v>0</v>
      </c>
      <c r="K51" s="153">
        <f>SUMIFS('Unos rashoda i izdataka'!$L$3:$L$506,'Unos rashoda i izdataka'!$C$3:$C$506,"=52",'Unos rashoda i izdataka'!$P$3:$P$506,"=44")+SUMIFS('Unos rashoda P4'!$J$3:$J$501,'Unos rashoda P4'!$A$3:$A$501,"=52",'Unos rashoda P4'!$S$3:$S$501,"=44")</f>
        <v>0</v>
      </c>
      <c r="L51" s="153">
        <f>SUMIFS('Unos rashoda i izdataka'!$L$3:$L$506,'Unos rashoda i izdataka'!$C$3:$C$506,"=552",'Unos rashoda i izdataka'!$P$3:$P$506,"=44")+SUMIFS('Unos rashoda P4'!$J$3:$J$501,'Unos rashoda P4'!$A$3:$A$501,"=552",'Unos rashoda P4'!$S$3:$S$501,"=44")</f>
        <v>0</v>
      </c>
      <c r="M51" s="153">
        <f>SUMIFS('Unos rashoda i izdataka'!$L$3:$L$506,'Unos rashoda i izdataka'!$C$3:$C$506,"=559",'Unos rashoda i izdataka'!$P$3:$P$506,"=44")+SUMIFS('Unos rashoda P4'!$J$3:$J$501,'Unos rashoda P4'!$A$3:$A$501,"=559",'Unos rashoda P4'!$S$3:$S$501,"=44")</f>
        <v>0</v>
      </c>
      <c r="N51" s="153">
        <f>SUMIFS('Unos rashoda i izdataka'!$L$3:$L$506,'Unos rashoda i izdataka'!$C$3:$C$506,"=561",'Unos rashoda i izdataka'!$P$3:$P$506,"=44")+SUMIFS('Unos rashoda P4'!$J$3:$J$501,'Unos rashoda P4'!$A$3:$A$501,"=561",'Unos rashoda P4'!$S$3:$S$501,"=44")</f>
        <v>0</v>
      </c>
      <c r="O51" s="153">
        <f>SUMIFS('Unos rashoda i izdataka'!$L$3:$L$506,'Unos rashoda i izdataka'!$C$3:$C$506,"=563",'Unos rashoda i izdataka'!$P$3:$P$506,"=44")+SUMIFS('Unos rashoda P4'!$J$3:$J$501,'Unos rashoda P4'!$A$3:$A$501,"=563",'Unos rashoda P4'!$S$3:$S$501,"=44")</f>
        <v>0</v>
      </c>
      <c r="P51" s="153">
        <f>SUMIFS('Unos rashoda i izdataka'!$L$3:$L$506,'Unos rashoda i izdataka'!$C$3:$C$506,"=573",'Unos rashoda i izdataka'!$P$3:$P$506,"=44")+SUMIFS('Unos rashoda P4'!$J$3:$J$501,'Unos rashoda P4'!$A$3:$A$501,"=573",'Unos rashoda P4'!$S$3:$S$501,"=44")</f>
        <v>0</v>
      </c>
      <c r="Q51" s="153">
        <f>SUMIFS('Unos rashoda i izdataka'!$L$3:$L$506,'Unos rashoda i izdataka'!$C$3:$C$506,"=575",'Unos rashoda i izdataka'!$P$3:$P$506,"=44")+SUMIFS('Unos rashoda P4'!$J$3:$J$501,'Unos rashoda P4'!$A$3:$A$501,"=575",'Unos rashoda P4'!$S$3:$S$501,"=44")</f>
        <v>0</v>
      </c>
      <c r="R51" s="153">
        <f>SUMIFS('Unos rashoda i izdataka'!$L$3:$L$506,'Unos rashoda i izdataka'!$Q$3:$Q$506,"=576",'Unos rashoda i izdataka'!$P$3:$P$506,"=44")+SUMIFS('Unos rashoda P4'!$J$3:$J$501,'Unos rashoda P4'!$A$3:$A$501,"=576",'Unos rashoda P4'!$S$3:$S$501,"=44")</f>
        <v>0</v>
      </c>
      <c r="S51" s="153">
        <f>SUMIFS('Unos rashoda i izdataka'!$L$3:$L$506,'Unos rashoda i izdataka'!$C$3:$C$506,"=581",'Unos rashoda i izdataka'!$P$3:$P$506,"=44")+SUMIFS('Unos rashoda P4'!$J$3:$J$501,'Unos rashoda P4'!$A$3:$A$501,"=581",'Unos rashoda P4'!$S$3:$S$501,"=44")</f>
        <v>0</v>
      </c>
      <c r="T51" s="153">
        <f>SUMIFS('Unos rashoda i izdataka'!$L$3:$L$506,'Unos rashoda i izdataka'!$C$3:$C$506,"=61",'Unos rashoda i izdataka'!$P$3:$P$506,"=44")+SUMIFS('Unos rashoda P4'!$J$3:$J$501,'Unos rashoda P4'!$A$3:$A$501,"=61",'Unos rashoda P4'!$S$3:$S$501,"=44")</f>
        <v>0</v>
      </c>
      <c r="U51" s="153">
        <f>SUMIFS('Unos rashoda i izdataka'!$L$3:$L$506,'Unos rashoda i izdataka'!$C$3:$C$506,"=63",'Unos rashoda i izdataka'!$P$3:$P$506,"=44")+SUMIFS('Unos rashoda P4'!$J$3:$J$501,'Unos rashoda P4'!$A$3:$A$501,"=63",'Unos rashoda P4'!$S$3:$S$501,"=44")</f>
        <v>0</v>
      </c>
      <c r="V51" s="153">
        <f>SUMIFS('Unos rashoda i izdataka'!$L$3:$L$506,'Unos rashoda i izdataka'!$C$3:$C$506,"=71",'Unos rashoda i izdataka'!$P$3:$P$506,"=44")+SUMIFS('Unos rashoda P4'!$J$3:$J$501,'Unos rashoda P4'!$A$3:$A$501,"=71",'Unos rashoda P4'!$S$3:$S$501,"=44")</f>
        <v>0</v>
      </c>
      <c r="W51" s="153">
        <f>SUMIFS('Unos rashoda i izdataka'!$L$3:$L$506,'Unos rashoda i izdataka'!$C$3:$C$506,"=81",'Unos rashoda i izdataka'!$P$3:$P$506,"=44")+SUMIFS('Unos rashoda P4'!$J$3:$J$501,'Unos rashoda P4'!$A$3:$A$501,"=81",'Unos rashoda P4'!$S$3:$S$501,"=44")</f>
        <v>0</v>
      </c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63"/>
      <c r="AO51" s="163"/>
      <c r="AP51" s="163"/>
      <c r="AQ51" s="163"/>
    </row>
    <row r="52" spans="1:43" ht="12" customHeight="1">
      <c r="A52" s="143">
        <v>2025</v>
      </c>
      <c r="B52" s="155">
        <v>45</v>
      </c>
      <c r="C52" s="156" t="s">
        <v>3678</v>
      </c>
      <c r="D52" s="157">
        <f t="shared" si="8"/>
        <v>16837</v>
      </c>
      <c r="E52" s="153">
        <f>SUMIFS('Unos rashoda i izdataka'!$L$3:$L$506,'Unos rashoda i izdataka'!$C$3:$C$506,"=11",'Unos rashoda i izdataka'!$P$3:$P$506,"=45")+SUMIFS('Unos rashoda P4'!$J$3:$J$501,'Unos rashoda P4'!$A$3:$A$501,"=11",'Unos rashoda P4'!$S$3:$S$501,"=45")</f>
        <v>16837</v>
      </c>
      <c r="F52" s="153">
        <f>SUMIFS('Unos rashoda i izdataka'!$L$3:$L$506,'Unos rashoda i izdataka'!$C$3:$C$506,"=12",'Unos rashoda i izdataka'!$P$3:$P$506,"=45")+SUMIFS('Unos rashoda P4'!$J$3:$J$501,'Unos rashoda P4'!$A$3:$A$501,"=12",'Unos rashoda P4'!$S$3:$S$501,"=45")</f>
        <v>0</v>
      </c>
      <c r="G52" s="153">
        <f>SUMIFS('Unos rashoda i izdataka'!$L$3:$L$506,'Unos rashoda i izdataka'!$C$3:$C$506,"=31",'Unos rashoda i izdataka'!$P$3:$P$506,"=45")+SUMIFS('Unos rashoda P4'!$J$3:$J$501,'Unos rashoda P4'!$A$3:$A$501,"=31",'Unos rashoda P4'!$S$3:$S$501,"=45")</f>
        <v>0</v>
      </c>
      <c r="H52" s="153">
        <f>SUMIFS('Unos rashoda i izdataka'!$L$3:$L$506,'Unos rashoda i izdataka'!$C$3:$C$506,"=41",'Unos rashoda i izdataka'!$P$3:$P$506,"=45")+SUMIFS('Unos rashoda P4'!$J$3:$J$501,'Unos rashoda P4'!$A$3:$A$501,"=41",'Unos rashoda P4'!$S$3:$S$501,"=45")</f>
        <v>0</v>
      </c>
      <c r="I52" s="153">
        <f>SUMIFS('Unos rashoda i izdataka'!$L$3:$L$506,'Unos rashoda i izdataka'!$C$3:$C$506,"=43",'Unos rashoda i izdataka'!$P$3:$P$506,"=45")+SUMIFS('Unos rashoda P4'!$J$3:$J$501,'Unos rashoda P4'!$A$3:$A$501,"=43",'Unos rashoda P4'!$S$3:$S$501,"=45")</f>
        <v>0</v>
      </c>
      <c r="J52" s="153">
        <f>SUMIFS('Unos rashoda i izdataka'!$L$3:$L$506,'Unos rashoda i izdataka'!$C$3:$C$506,"=51",'Unos rashoda i izdataka'!$P$3:$P$506,"=45")+SUMIFS('Unos rashoda P4'!$J$3:$J$501,'Unos rashoda P4'!$A$3:$A$501,"=51",'Unos rashoda P4'!$S$3:$S$501,"=45")</f>
        <v>0</v>
      </c>
      <c r="K52" s="153">
        <f>SUMIFS('Unos rashoda i izdataka'!$L$3:$L$506,'Unos rashoda i izdataka'!$C$3:$C$506,"=52",'Unos rashoda i izdataka'!$P$3:$P$506,"=45")+SUMIFS('Unos rashoda P4'!$J$3:$J$501,'Unos rashoda P4'!$A$3:$A$501,"=52",'Unos rashoda P4'!$S$3:$S$501,"=45")</f>
        <v>0</v>
      </c>
      <c r="L52" s="153">
        <f>SUMIFS('Unos rashoda i izdataka'!$L$3:$L$506,'Unos rashoda i izdataka'!$C$3:$C$506,"=552",'Unos rashoda i izdataka'!$P$3:$P$506,"=45")+SUMIFS('Unos rashoda P4'!$J$3:$J$501,'Unos rashoda P4'!$A$3:$A$501,"=552",'Unos rashoda P4'!$S$3:$S$501,"=45")</f>
        <v>0</v>
      </c>
      <c r="M52" s="153">
        <f>SUMIFS('Unos rashoda i izdataka'!$L$3:$L$506,'Unos rashoda i izdataka'!$C$3:$C$506,"=559",'Unos rashoda i izdataka'!$P$3:$P$506,"=45")+SUMIFS('Unos rashoda P4'!$J$3:$J$501,'Unos rashoda P4'!$A$3:$A$501,"=559",'Unos rashoda P4'!$S$3:$S$501,"=45")</f>
        <v>0</v>
      </c>
      <c r="N52" s="153">
        <f>SUMIFS('Unos rashoda i izdataka'!$L$3:$L$506,'Unos rashoda i izdataka'!$C$3:$C$506,"=561",'Unos rashoda i izdataka'!$P$3:$P$506,"=45")+SUMIFS('Unos rashoda P4'!$J$3:$J$501,'Unos rashoda P4'!$A$3:$A$501,"=561",'Unos rashoda P4'!$S$3:$S$501,"=45")</f>
        <v>0</v>
      </c>
      <c r="O52" s="153">
        <f>SUMIFS('Unos rashoda i izdataka'!$L$3:$L$506,'Unos rashoda i izdataka'!$C$3:$C$506,"=563",'Unos rashoda i izdataka'!$P$3:$P$506,"=45")+SUMIFS('Unos rashoda P4'!$J$3:$J$501,'Unos rashoda P4'!$A$3:$A$501,"=563",'Unos rashoda P4'!$S$3:$S$501,"=45")</f>
        <v>0</v>
      </c>
      <c r="P52" s="153">
        <f>SUMIFS('Unos rashoda i izdataka'!$L$3:$L$506,'Unos rashoda i izdataka'!$C$3:$C$506,"=573",'Unos rashoda i izdataka'!$P$3:$P$506,"=45")+SUMIFS('Unos rashoda P4'!$J$3:$J$501,'Unos rashoda P4'!$A$3:$A$501,"=573",'Unos rashoda P4'!$S$3:$S$501,"=45")</f>
        <v>0</v>
      </c>
      <c r="Q52" s="153">
        <f>SUMIFS('Unos rashoda i izdataka'!$L$3:$L$506,'Unos rashoda i izdataka'!$C$3:$C$506,"=575",'Unos rashoda i izdataka'!$P$3:$P$506,"=45")+SUMIFS('Unos rashoda P4'!$J$3:$J$501,'Unos rashoda P4'!$A$3:$A$501,"=575",'Unos rashoda P4'!$S$3:$S$501,"=45")</f>
        <v>0</v>
      </c>
      <c r="R52" s="153">
        <f>SUMIFS('Unos rashoda i izdataka'!$L$3:$L$506,'Unos rashoda i izdataka'!$Q$3:$Q$506,"=576",'Unos rashoda i izdataka'!$P$3:$P$506,"=45")+SUMIFS('Unos rashoda P4'!$J$3:$J$501,'Unos rashoda P4'!$A$3:$A$501,"=576",'Unos rashoda P4'!$S$3:$S$501,"=45")</f>
        <v>0</v>
      </c>
      <c r="S52" s="153">
        <f>SUMIFS('Unos rashoda i izdataka'!$L$3:$L$506,'Unos rashoda i izdataka'!$C$3:$C$506,"=581",'Unos rashoda i izdataka'!$P$3:$P$506,"=45")+SUMIFS('Unos rashoda P4'!$J$3:$J$501,'Unos rashoda P4'!$A$3:$A$501,"=581",'Unos rashoda P4'!$S$3:$S$501,"=45")</f>
        <v>0</v>
      </c>
      <c r="T52" s="153">
        <f>SUMIFS('Unos rashoda i izdataka'!$L$3:$L$506,'Unos rashoda i izdataka'!$C$3:$C$506,"=61",'Unos rashoda i izdataka'!$P$3:$P$506,"=45")+SUMIFS('Unos rashoda P4'!$J$3:$J$501,'Unos rashoda P4'!$A$3:$A$501,"=61",'Unos rashoda P4'!$S$3:$S$501,"=45")</f>
        <v>0</v>
      </c>
      <c r="U52" s="153">
        <f>SUMIFS('Unos rashoda i izdataka'!$L$3:$L$506,'Unos rashoda i izdataka'!$C$3:$C$506,"=63",'Unos rashoda i izdataka'!$P$3:$P$506,"=45")+SUMIFS('Unos rashoda P4'!$J$3:$J$501,'Unos rashoda P4'!$A$3:$A$501,"=63",'Unos rashoda P4'!$S$3:$S$501,"=45")</f>
        <v>0</v>
      </c>
      <c r="V52" s="153">
        <f>SUMIFS('Unos rashoda i izdataka'!$L$3:$L$506,'Unos rashoda i izdataka'!$C$3:$C$506,"=71",'Unos rashoda i izdataka'!$P$3:$P$506,"=45")+SUMIFS('Unos rashoda P4'!$J$3:$J$501,'Unos rashoda P4'!$A$3:$A$501,"=71",'Unos rashoda P4'!$S$3:$S$501,"=45")</f>
        <v>0</v>
      </c>
      <c r="W52" s="153">
        <f>SUMIFS('Unos rashoda i izdataka'!$L$3:$L$506,'Unos rashoda i izdataka'!$C$3:$C$506,"=81",'Unos rashoda i izdataka'!$P$3:$P$506,"=45")+SUMIFS('Unos rashoda P4'!$J$3:$J$501,'Unos rashoda P4'!$A$3:$A$501,"=81",'Unos rashoda P4'!$S$3:$S$501,"=45")</f>
        <v>0</v>
      </c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</row>
    <row r="53" spans="1:43" ht="12.75" customHeight="1">
      <c r="A53" s="13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</row>
    <row r="54" spans="1:43" ht="12.75" customHeight="1">
      <c r="A54" s="13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</row>
    <row r="55" spans="1:43" ht="12.75" customHeight="1">
      <c r="A55" s="13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</row>
    <row r="56" spans="1:43" ht="12.75" customHeight="1">
      <c r="A56" s="13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</row>
    <row r="57" spans="1:43" ht="12.75" customHeight="1">
      <c r="A57" s="13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</row>
    <row r="58" spans="1:43" ht="12.75" customHeight="1">
      <c r="A58" s="13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</row>
    <row r="59" spans="1:43" ht="12.75" customHeight="1">
      <c r="A59" s="13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</row>
    <row r="60" spans="1:43" ht="12.75" customHeight="1">
      <c r="A60" s="13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</row>
    <row r="61" spans="1:43" ht="12.75" customHeight="1">
      <c r="A61" s="13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</row>
    <row r="62" spans="1:43" ht="12.75" customHeight="1">
      <c r="A62" s="13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</row>
    <row r="63" spans="1:43" ht="12.75" customHeight="1">
      <c r="A63" s="13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</row>
    <row r="64" spans="1:43" ht="12.75" customHeight="1">
      <c r="A64" s="13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</row>
    <row r="65" spans="1:43" ht="12.75" customHeight="1">
      <c r="A65" s="13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</row>
    <row r="66" spans="1:43" ht="12.75" customHeight="1">
      <c r="A66" s="13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</row>
    <row r="67" spans="1:43" ht="12.75" customHeight="1">
      <c r="A67" s="13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</row>
    <row r="68" spans="1:43" ht="12.75" customHeight="1">
      <c r="A68" s="13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</row>
    <row r="69" spans="1:43" ht="12.75" customHeight="1">
      <c r="A69" s="13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</row>
    <row r="70" spans="1:43" ht="12.75" customHeight="1">
      <c r="A70" s="13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</row>
    <row r="71" spans="1:43" ht="12.75" customHeight="1">
      <c r="A71" s="13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</row>
    <row r="72" spans="1:43" ht="12.75" customHeight="1">
      <c r="A72" s="13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</row>
    <row r="73" spans="1:43" ht="12.75" customHeight="1">
      <c r="A73" s="13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</row>
    <row r="74" spans="1:43" ht="12.75" customHeight="1">
      <c r="A74" s="13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</row>
    <row r="75" spans="1:43" ht="12.75" customHeight="1">
      <c r="A75" s="13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</row>
    <row r="76" spans="1:43" ht="12.75" customHeight="1">
      <c r="A76" s="13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</row>
    <row r="77" spans="1:43" ht="12.75" customHeight="1">
      <c r="A77" s="13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</row>
    <row r="78" spans="1:43" ht="12.75" customHeight="1">
      <c r="A78" s="13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</row>
    <row r="79" spans="1:43" ht="12.75" customHeight="1">
      <c r="A79" s="13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</row>
    <row r="80" spans="1:43" ht="12.75" customHeight="1">
      <c r="A80" s="13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</row>
    <row r="81" spans="1:43" ht="12.75" customHeight="1">
      <c r="A81" s="13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</row>
    <row r="82" spans="1:43" ht="12.75" customHeight="1">
      <c r="A82" s="13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</row>
    <row r="83" spans="1:43" ht="12.75" customHeight="1">
      <c r="A83" s="13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</row>
    <row r="84" spans="1:43" ht="12.75" customHeight="1">
      <c r="A84" s="13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</row>
    <row r="85" spans="1:43" ht="12.75" customHeight="1">
      <c r="A85" s="13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</row>
    <row r="86" spans="1:43" ht="12.75" customHeight="1">
      <c r="A86" s="13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</row>
    <row r="87" spans="1:43" ht="12.75" customHeight="1">
      <c r="A87" s="13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</row>
    <row r="88" spans="1:43" ht="12.75" customHeight="1">
      <c r="A88" s="13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39"/>
      <c r="Y88" s="139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139"/>
      <c r="AP88" s="139"/>
      <c r="AQ88" s="139"/>
    </row>
    <row r="89" spans="1:43" ht="12.75" customHeight="1">
      <c r="A89" s="13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</row>
    <row r="90" spans="1:43" ht="12.75" customHeight="1">
      <c r="A90" s="13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</row>
    <row r="91" spans="1:43" ht="12.75" customHeight="1">
      <c r="A91" s="13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  <c r="AJ91" s="139"/>
      <c r="AK91" s="139"/>
      <c r="AL91" s="139"/>
      <c r="AM91" s="139"/>
      <c r="AN91" s="139"/>
      <c r="AO91" s="139"/>
      <c r="AP91" s="139"/>
      <c r="AQ91" s="139"/>
    </row>
    <row r="92" spans="1:43" ht="12.75" customHeight="1">
      <c r="A92" s="13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  <c r="AJ92" s="139"/>
      <c r="AK92" s="139"/>
      <c r="AL92" s="139"/>
      <c r="AM92" s="139"/>
      <c r="AN92" s="139"/>
      <c r="AO92" s="139"/>
      <c r="AP92" s="139"/>
      <c r="AQ92" s="139"/>
    </row>
    <row r="93" spans="1:43" ht="12.75" customHeight="1">
      <c r="A93" s="13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39"/>
      <c r="AK93" s="139"/>
      <c r="AL93" s="139"/>
      <c r="AM93" s="139"/>
      <c r="AN93" s="139"/>
      <c r="AO93" s="139"/>
      <c r="AP93" s="139"/>
      <c r="AQ93" s="139"/>
    </row>
    <row r="94" spans="1:43" ht="12.75" customHeight="1">
      <c r="A94" s="13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  <c r="AJ94" s="139"/>
      <c r="AK94" s="139"/>
      <c r="AL94" s="139"/>
      <c r="AM94" s="139"/>
      <c r="AN94" s="139"/>
      <c r="AO94" s="139"/>
      <c r="AP94" s="139"/>
      <c r="AQ94" s="139"/>
    </row>
    <row r="95" spans="1:43" ht="12.75" customHeight="1">
      <c r="A95" s="13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139"/>
      <c r="AP95" s="139"/>
      <c r="AQ95" s="139"/>
    </row>
    <row r="96" spans="1:43" ht="12.75" customHeight="1">
      <c r="A96" s="13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139"/>
      <c r="AP96" s="139"/>
      <c r="AQ96" s="139"/>
    </row>
    <row r="97" spans="1:43" ht="12.75" customHeight="1">
      <c r="A97" s="13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</row>
    <row r="98" spans="1:43" ht="12.75" customHeight="1">
      <c r="A98" s="13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</row>
    <row r="99" spans="1:43" ht="12.75" customHeight="1">
      <c r="A99" s="13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139"/>
      <c r="AP99" s="139"/>
      <c r="AQ99" s="139"/>
    </row>
    <row r="100" spans="1:43" ht="12.75" customHeight="1">
      <c r="A100" s="13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</row>
    <row r="101" spans="1:43" ht="12.75" customHeight="1">
      <c r="A101" s="13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</row>
    <row r="102" spans="1:43" ht="12.75" customHeight="1">
      <c r="A102" s="13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</row>
    <row r="103" spans="1:43" ht="12.75" customHeight="1">
      <c r="A103" s="13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</row>
    <row r="104" spans="1:43" ht="12.75" customHeight="1">
      <c r="A104" s="13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</row>
    <row r="105" spans="1:43" ht="12.75" customHeight="1">
      <c r="A105" s="13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</row>
    <row r="106" spans="1:43" ht="12.75" customHeight="1">
      <c r="A106" s="13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</row>
    <row r="107" spans="1:43" ht="12.75" customHeight="1">
      <c r="A107" s="13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</row>
    <row r="108" spans="1:43" ht="12.75" customHeight="1">
      <c r="A108" s="13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</row>
    <row r="109" spans="1:43" ht="12.75" customHeight="1">
      <c r="A109" s="13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</row>
    <row r="110" spans="1:43" ht="12.75" customHeight="1">
      <c r="A110" s="13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</row>
    <row r="111" spans="1:43" ht="12.75" customHeight="1">
      <c r="A111" s="13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</row>
    <row r="112" spans="1:43" ht="12.75" customHeight="1">
      <c r="A112" s="13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</row>
    <row r="113" spans="1:43" ht="12.75" customHeight="1">
      <c r="A113" s="13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</row>
    <row r="114" spans="1:43" ht="12.75" customHeight="1">
      <c r="A114" s="13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</row>
    <row r="115" spans="1:43" ht="12.75" customHeight="1">
      <c r="A115" s="13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</row>
    <row r="116" spans="1:43" ht="12.75" customHeight="1">
      <c r="A116" s="13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</row>
    <row r="117" spans="1:43" ht="12.75" customHeight="1">
      <c r="A117" s="13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</row>
    <row r="118" spans="1:43" ht="12.75" customHeight="1">
      <c r="A118" s="13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</row>
    <row r="119" spans="1:43" ht="12.75" customHeight="1">
      <c r="A119" s="13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</row>
    <row r="120" spans="1:43" ht="12.75" customHeight="1">
      <c r="A120" s="13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</row>
    <row r="121" spans="1:43" ht="12.75" customHeight="1">
      <c r="A121" s="13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</row>
    <row r="122" spans="1:43" ht="12.75" customHeight="1">
      <c r="A122" s="13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</row>
    <row r="123" spans="1:43" ht="12.75" customHeight="1">
      <c r="A123" s="13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</row>
    <row r="124" spans="1:43" ht="12.75" customHeight="1">
      <c r="A124" s="13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39"/>
      <c r="Y124" s="139"/>
      <c r="Z124" s="139"/>
      <c r="AA124" s="139"/>
      <c r="AB124" s="139"/>
      <c r="AC124" s="139"/>
      <c r="AD124" s="139"/>
      <c r="AE124" s="139"/>
      <c r="AF124" s="139"/>
      <c r="AG124" s="139"/>
      <c r="AH124" s="139"/>
      <c r="AI124" s="139"/>
      <c r="AJ124" s="139"/>
      <c r="AK124" s="139"/>
      <c r="AL124" s="139"/>
      <c r="AM124" s="139"/>
      <c r="AN124" s="139"/>
      <c r="AO124" s="139"/>
      <c r="AP124" s="139"/>
      <c r="AQ124" s="139"/>
    </row>
    <row r="125" spans="1:43" ht="12.75" customHeight="1">
      <c r="A125" s="13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</row>
    <row r="126" spans="1:43" ht="12.75" customHeight="1">
      <c r="A126" s="13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</row>
    <row r="127" spans="1:43" ht="12.75" customHeight="1">
      <c r="A127" s="13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</row>
    <row r="128" spans="1:43" ht="12.75" customHeight="1">
      <c r="A128" s="13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</row>
    <row r="129" spans="1:43" ht="12.75" customHeight="1">
      <c r="A129" s="13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</row>
    <row r="130" spans="1:43" ht="12.75" customHeight="1">
      <c r="A130" s="13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</row>
    <row r="131" spans="1:43" ht="12.75" customHeight="1">
      <c r="A131" s="13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</row>
    <row r="132" spans="1:43" ht="12.75" customHeight="1">
      <c r="A132" s="13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</row>
    <row r="133" spans="1:43" ht="12.75" customHeight="1">
      <c r="A133" s="13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</row>
    <row r="134" spans="1:43" ht="12.75" customHeight="1">
      <c r="A134" s="13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</row>
    <row r="135" spans="1:43" ht="12.75" customHeight="1">
      <c r="A135" s="13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</row>
    <row r="136" spans="1:43" ht="12.75" customHeight="1">
      <c r="A136" s="13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</row>
    <row r="137" spans="1:43" ht="12.75" customHeight="1">
      <c r="A137" s="13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</row>
    <row r="138" spans="1:43" ht="12.75" customHeight="1">
      <c r="A138" s="13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</row>
    <row r="139" spans="1:43" ht="12.75" customHeight="1">
      <c r="A139" s="13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</row>
    <row r="140" spans="1:43" ht="12.75" customHeight="1">
      <c r="A140" s="13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</row>
    <row r="141" spans="1:43" ht="12.75" customHeight="1">
      <c r="A141" s="13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</row>
    <row r="142" spans="1:43" ht="12.75" customHeight="1">
      <c r="A142" s="13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</row>
    <row r="143" spans="1:43" ht="12.75" customHeight="1">
      <c r="A143" s="13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</row>
    <row r="144" spans="1:43" ht="12.75" customHeight="1">
      <c r="A144" s="13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</row>
    <row r="145" spans="1:43" ht="12.75" customHeight="1">
      <c r="A145" s="13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</row>
    <row r="146" spans="1:43" ht="12.75" customHeight="1">
      <c r="A146" s="13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</row>
    <row r="147" spans="1:43" ht="12.75" customHeight="1">
      <c r="A147" s="13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</row>
    <row r="148" spans="1:43" ht="12.75" customHeight="1">
      <c r="A148" s="13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</row>
    <row r="149" spans="1:43" ht="12.75" customHeight="1">
      <c r="A149" s="13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</row>
    <row r="150" spans="1:43" ht="12.75" customHeight="1">
      <c r="A150" s="13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</row>
    <row r="151" spans="1:43" ht="12.75" customHeight="1">
      <c r="A151" s="13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</row>
    <row r="152" spans="1:43" ht="12.75" customHeight="1">
      <c r="A152" s="13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</row>
    <row r="153" spans="1:43" ht="12.75" customHeight="1">
      <c r="A153" s="13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</row>
    <row r="154" spans="1:43" ht="12.75" customHeight="1">
      <c r="A154" s="13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39"/>
      <c r="Y154" s="139"/>
      <c r="Z154" s="139"/>
      <c r="AA154" s="139"/>
      <c r="AB154" s="139"/>
      <c r="AC154" s="139"/>
      <c r="AD154" s="139"/>
      <c r="AE154" s="139"/>
      <c r="AF154" s="139"/>
      <c r="AG154" s="139"/>
      <c r="AH154" s="139"/>
      <c r="AI154" s="139"/>
      <c r="AJ154" s="139"/>
      <c r="AK154" s="139"/>
      <c r="AL154" s="139"/>
      <c r="AM154" s="139"/>
      <c r="AN154" s="139"/>
      <c r="AO154" s="139"/>
      <c r="AP154" s="139"/>
      <c r="AQ154" s="139"/>
    </row>
    <row r="155" spans="1:43" ht="12.75" customHeight="1">
      <c r="A155" s="13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</row>
    <row r="156" spans="1:43" ht="12.75" customHeight="1">
      <c r="A156" s="13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</row>
    <row r="157" spans="1:43" ht="12.75" customHeight="1">
      <c r="A157" s="13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</row>
    <row r="158" spans="1:43" ht="12.75" customHeight="1">
      <c r="A158" s="13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</row>
    <row r="159" spans="1:43" ht="12.75" customHeight="1">
      <c r="A159" s="13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</row>
    <row r="160" spans="1:43" ht="12.75" customHeight="1">
      <c r="A160" s="13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</row>
    <row r="161" spans="1:43" ht="12.75" customHeight="1">
      <c r="A161" s="13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</row>
    <row r="162" spans="1:43" ht="12.75" customHeight="1">
      <c r="A162" s="13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</row>
    <row r="163" spans="1:43" ht="12.75" customHeight="1">
      <c r="A163" s="13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</row>
    <row r="164" spans="1:43" ht="12.75" customHeight="1">
      <c r="A164" s="13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</row>
    <row r="165" spans="1:43" ht="12.75" customHeight="1">
      <c r="A165" s="13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</row>
    <row r="166" spans="1:43" ht="12.75" customHeight="1">
      <c r="A166" s="13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</row>
    <row r="167" spans="1:43" ht="12.75" customHeight="1">
      <c r="A167" s="13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</row>
    <row r="168" spans="1:43" ht="12.75" customHeight="1">
      <c r="A168" s="13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</row>
    <row r="169" spans="1:43" ht="12.75" customHeight="1">
      <c r="A169" s="13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</row>
    <row r="170" spans="1:43" ht="12.75" customHeight="1">
      <c r="A170" s="13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</row>
    <row r="171" spans="1:43" ht="12.75" customHeight="1">
      <c r="A171" s="13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</row>
    <row r="172" spans="1:43" ht="12.75" customHeight="1">
      <c r="A172" s="13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</row>
    <row r="173" spans="1:43" ht="12.75" customHeight="1">
      <c r="A173" s="13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</row>
    <row r="174" spans="1:43" ht="12.75" customHeight="1">
      <c r="A174" s="13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</row>
    <row r="175" spans="1:43" ht="12.75" customHeight="1">
      <c r="A175" s="13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</row>
    <row r="176" spans="1:43" ht="12.75" customHeight="1">
      <c r="A176" s="13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</row>
    <row r="177" spans="1:43" ht="12.75" customHeight="1">
      <c r="A177" s="13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</row>
    <row r="178" spans="1:43" ht="12.75" customHeight="1">
      <c r="A178" s="13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39"/>
      <c r="Y178" s="139"/>
      <c r="Z178" s="139"/>
      <c r="AA178" s="139"/>
      <c r="AB178" s="139"/>
      <c r="AC178" s="139"/>
      <c r="AD178" s="139"/>
      <c r="AE178" s="139"/>
      <c r="AF178" s="139"/>
      <c r="AG178" s="139"/>
      <c r="AH178" s="139"/>
      <c r="AI178" s="139"/>
      <c r="AJ178" s="139"/>
      <c r="AK178" s="139"/>
      <c r="AL178" s="139"/>
      <c r="AM178" s="139"/>
      <c r="AN178" s="139"/>
      <c r="AO178" s="139"/>
      <c r="AP178" s="139"/>
      <c r="AQ178" s="139"/>
    </row>
    <row r="179" spans="1:43" ht="12.75" customHeight="1">
      <c r="A179" s="13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39"/>
      <c r="Y179" s="139"/>
      <c r="Z179" s="139"/>
      <c r="AA179" s="139"/>
      <c r="AB179" s="139"/>
      <c r="AC179" s="139"/>
      <c r="AD179" s="139"/>
      <c r="AE179" s="139"/>
      <c r="AF179" s="139"/>
      <c r="AG179" s="139"/>
      <c r="AH179" s="139"/>
      <c r="AI179" s="139"/>
      <c r="AJ179" s="139"/>
      <c r="AK179" s="139"/>
      <c r="AL179" s="139"/>
      <c r="AM179" s="139"/>
      <c r="AN179" s="139"/>
      <c r="AO179" s="139"/>
      <c r="AP179" s="139"/>
      <c r="AQ179" s="139"/>
    </row>
    <row r="180" spans="1:43" ht="12.75" customHeight="1">
      <c r="A180" s="13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39"/>
      <c r="Y180" s="139"/>
      <c r="Z180" s="139"/>
      <c r="AA180" s="139"/>
      <c r="AB180" s="139"/>
      <c r="AC180" s="139"/>
      <c r="AD180" s="139"/>
      <c r="AE180" s="139"/>
      <c r="AF180" s="139"/>
      <c r="AG180" s="139"/>
      <c r="AH180" s="139"/>
      <c r="AI180" s="139"/>
      <c r="AJ180" s="139"/>
      <c r="AK180" s="139"/>
      <c r="AL180" s="139"/>
      <c r="AM180" s="139"/>
      <c r="AN180" s="139"/>
      <c r="AO180" s="139"/>
      <c r="AP180" s="139"/>
      <c r="AQ180" s="139"/>
    </row>
    <row r="181" spans="1:43" ht="12.75" customHeight="1">
      <c r="A181" s="13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39"/>
      <c r="Y181" s="139"/>
      <c r="Z181" s="139"/>
      <c r="AA181" s="139"/>
      <c r="AB181" s="139"/>
      <c r="AC181" s="139"/>
      <c r="AD181" s="139"/>
      <c r="AE181" s="139"/>
      <c r="AF181" s="139"/>
      <c r="AG181" s="139"/>
      <c r="AH181" s="139"/>
      <c r="AI181" s="139"/>
      <c r="AJ181" s="139"/>
      <c r="AK181" s="139"/>
      <c r="AL181" s="139"/>
      <c r="AM181" s="139"/>
      <c r="AN181" s="139"/>
      <c r="AO181" s="139"/>
      <c r="AP181" s="139"/>
      <c r="AQ181" s="139"/>
    </row>
    <row r="182" spans="1:43" ht="12.75" customHeight="1">
      <c r="A182" s="13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39"/>
      <c r="Y182" s="139"/>
      <c r="Z182" s="139"/>
      <c r="AA182" s="139"/>
      <c r="AB182" s="139"/>
      <c r="AC182" s="139"/>
      <c r="AD182" s="139"/>
      <c r="AE182" s="139"/>
      <c r="AF182" s="139"/>
      <c r="AG182" s="139"/>
      <c r="AH182" s="139"/>
      <c r="AI182" s="139"/>
      <c r="AJ182" s="139"/>
      <c r="AK182" s="139"/>
      <c r="AL182" s="139"/>
      <c r="AM182" s="139"/>
      <c r="AN182" s="139"/>
      <c r="AO182" s="139"/>
      <c r="AP182" s="139"/>
      <c r="AQ182" s="139"/>
    </row>
    <row r="183" spans="1:43" ht="12.75" customHeight="1">
      <c r="A183" s="13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139"/>
      <c r="Y183" s="139"/>
      <c r="Z183" s="139"/>
      <c r="AA183" s="139"/>
      <c r="AB183" s="139"/>
      <c r="AC183" s="139"/>
      <c r="AD183" s="139"/>
      <c r="AE183" s="139"/>
      <c r="AF183" s="139"/>
      <c r="AG183" s="139"/>
      <c r="AH183" s="139"/>
      <c r="AI183" s="139"/>
      <c r="AJ183" s="139"/>
      <c r="AK183" s="139"/>
      <c r="AL183" s="139"/>
      <c r="AM183" s="139"/>
      <c r="AN183" s="139"/>
      <c r="AO183" s="139"/>
      <c r="AP183" s="139"/>
      <c r="AQ183" s="139"/>
    </row>
    <row r="184" spans="1:43" ht="12.75" customHeight="1">
      <c r="A184" s="13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139"/>
      <c r="Y184" s="139"/>
      <c r="Z184" s="139"/>
      <c r="AA184" s="139"/>
      <c r="AB184" s="139"/>
      <c r="AC184" s="139"/>
      <c r="AD184" s="139"/>
      <c r="AE184" s="139"/>
      <c r="AF184" s="139"/>
      <c r="AG184" s="139"/>
      <c r="AH184" s="139"/>
      <c r="AI184" s="139"/>
      <c r="AJ184" s="139"/>
      <c r="AK184" s="139"/>
      <c r="AL184" s="139"/>
      <c r="AM184" s="139"/>
      <c r="AN184" s="139"/>
      <c r="AO184" s="139"/>
      <c r="AP184" s="139"/>
      <c r="AQ184" s="139"/>
    </row>
    <row r="185" spans="1:43" ht="12.75" customHeight="1">
      <c r="A185" s="13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39"/>
      <c r="Y185" s="139"/>
      <c r="Z185" s="139"/>
      <c r="AA185" s="139"/>
      <c r="AB185" s="139"/>
      <c r="AC185" s="139"/>
      <c r="AD185" s="139"/>
      <c r="AE185" s="139"/>
      <c r="AF185" s="139"/>
      <c r="AG185" s="139"/>
      <c r="AH185" s="139"/>
      <c r="AI185" s="139"/>
      <c r="AJ185" s="139"/>
      <c r="AK185" s="139"/>
      <c r="AL185" s="139"/>
      <c r="AM185" s="139"/>
      <c r="AN185" s="139"/>
      <c r="AO185" s="139"/>
      <c r="AP185" s="139"/>
      <c r="AQ185" s="139"/>
    </row>
    <row r="186" spans="1:43" ht="12.75" customHeight="1">
      <c r="A186" s="13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9"/>
      <c r="AI186" s="139"/>
      <c r="AJ186" s="139"/>
      <c r="AK186" s="139"/>
      <c r="AL186" s="139"/>
      <c r="AM186" s="139"/>
      <c r="AN186" s="139"/>
      <c r="AO186" s="139"/>
      <c r="AP186" s="139"/>
      <c r="AQ186" s="139"/>
    </row>
    <row r="187" spans="1:43" ht="12.75" customHeight="1">
      <c r="A187" s="13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9"/>
      <c r="AI187" s="139"/>
      <c r="AJ187" s="139"/>
      <c r="AK187" s="139"/>
      <c r="AL187" s="139"/>
      <c r="AM187" s="139"/>
      <c r="AN187" s="139"/>
      <c r="AO187" s="139"/>
      <c r="AP187" s="139"/>
      <c r="AQ187" s="139"/>
    </row>
    <row r="188" spans="1:43" ht="12.75" customHeight="1">
      <c r="A188" s="13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9"/>
      <c r="AI188" s="139"/>
      <c r="AJ188" s="139"/>
      <c r="AK188" s="139"/>
      <c r="AL188" s="139"/>
      <c r="AM188" s="139"/>
      <c r="AN188" s="139"/>
      <c r="AO188" s="139"/>
      <c r="AP188" s="139"/>
      <c r="AQ188" s="139"/>
    </row>
    <row r="189" spans="1:43" ht="12.75" customHeight="1">
      <c r="A189" s="13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9"/>
      <c r="AI189" s="139"/>
      <c r="AJ189" s="139"/>
      <c r="AK189" s="139"/>
      <c r="AL189" s="139"/>
      <c r="AM189" s="139"/>
      <c r="AN189" s="139"/>
      <c r="AO189" s="139"/>
      <c r="AP189" s="139"/>
      <c r="AQ189" s="139"/>
    </row>
    <row r="190" spans="1:43" ht="12.75" customHeight="1">
      <c r="A190" s="13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</row>
    <row r="191" spans="1:43" ht="12.75" customHeight="1">
      <c r="A191" s="13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</row>
    <row r="192" spans="1:43" ht="12.75" customHeight="1">
      <c r="A192" s="13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</row>
    <row r="193" spans="1:43" ht="12.75" customHeight="1">
      <c r="A193" s="13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</row>
    <row r="194" spans="1:43" ht="12.75" customHeight="1">
      <c r="A194" s="13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</row>
    <row r="195" spans="1:43" ht="12.75" customHeight="1">
      <c r="A195" s="13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</row>
    <row r="196" spans="1:43" ht="12.75" customHeight="1">
      <c r="A196" s="13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</row>
    <row r="197" spans="1:43" ht="12.75" customHeight="1">
      <c r="A197" s="13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</row>
    <row r="198" spans="1:43" ht="12.75" customHeight="1">
      <c r="A198" s="13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</row>
    <row r="199" spans="1:43" ht="12.75" customHeight="1">
      <c r="A199" s="13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</row>
    <row r="200" spans="1:43" ht="12.75" customHeight="1">
      <c r="A200" s="13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</row>
    <row r="201" spans="1:43" ht="12.75" customHeight="1">
      <c r="A201" s="13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</row>
    <row r="202" spans="1:43" ht="12.75" customHeight="1">
      <c r="A202" s="13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</row>
    <row r="203" spans="1:43" ht="12.75" customHeight="1">
      <c r="A203" s="13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</row>
    <row r="204" spans="1:43" ht="12.75" customHeight="1">
      <c r="A204" s="13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</row>
    <row r="205" spans="1:43" ht="12.75" customHeight="1">
      <c r="A205" s="13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</row>
    <row r="206" spans="1:43" ht="12.75" customHeight="1">
      <c r="A206" s="13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</row>
    <row r="207" spans="1:43" ht="12.75" customHeight="1">
      <c r="A207" s="13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</row>
    <row r="208" spans="1:43" ht="12.75" customHeight="1">
      <c r="A208" s="13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</row>
    <row r="209" spans="1:43" ht="12.75" customHeight="1">
      <c r="A209" s="13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139"/>
      <c r="Y209" s="139"/>
      <c r="Z209" s="139"/>
      <c r="AA209" s="139"/>
      <c r="AB209" s="139"/>
      <c r="AC209" s="139"/>
      <c r="AD209" s="139"/>
      <c r="AE209" s="139"/>
      <c r="AF209" s="139"/>
      <c r="AG209" s="139"/>
      <c r="AH209" s="139"/>
      <c r="AI209" s="139"/>
      <c r="AJ209" s="139"/>
      <c r="AK209" s="139"/>
      <c r="AL209" s="139"/>
      <c r="AM209" s="139"/>
      <c r="AN209" s="139"/>
      <c r="AO209" s="139"/>
      <c r="AP209" s="139"/>
      <c r="AQ209" s="139"/>
    </row>
    <row r="210" spans="1:43" ht="12.75" customHeight="1">
      <c r="A210" s="13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</row>
    <row r="211" spans="1:43" ht="12.75" customHeight="1">
      <c r="A211" s="13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</row>
    <row r="212" spans="1:43" ht="12.75" customHeight="1">
      <c r="A212" s="13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</row>
    <row r="213" spans="1:43" ht="12.75" customHeight="1">
      <c r="A213" s="13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</row>
    <row r="214" spans="1:43" ht="12.75" customHeight="1">
      <c r="A214" s="13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139"/>
      <c r="Y214" s="139"/>
      <c r="Z214" s="139"/>
      <c r="AA214" s="139"/>
      <c r="AB214" s="139"/>
      <c r="AC214" s="139"/>
      <c r="AD214" s="139"/>
      <c r="AE214" s="139"/>
      <c r="AF214" s="139"/>
      <c r="AG214" s="139"/>
      <c r="AH214" s="139"/>
      <c r="AI214" s="139"/>
      <c r="AJ214" s="139"/>
      <c r="AK214" s="139"/>
      <c r="AL214" s="139"/>
      <c r="AM214" s="139"/>
      <c r="AN214" s="139"/>
      <c r="AO214" s="139"/>
      <c r="AP214" s="139"/>
      <c r="AQ214" s="139"/>
    </row>
    <row r="215" spans="1:43" ht="12.75" customHeight="1">
      <c r="A215" s="13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</row>
    <row r="216" spans="1:43" ht="12.75" customHeight="1">
      <c r="A216" s="13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</row>
    <row r="217" spans="1:43" ht="12.75" customHeight="1">
      <c r="A217" s="13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</row>
    <row r="218" spans="1:43" ht="12.75" customHeight="1">
      <c r="A218" s="13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</row>
    <row r="219" spans="1:43" ht="12.75" customHeight="1">
      <c r="A219" s="13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</row>
    <row r="220" spans="1:43" ht="12.75" customHeight="1">
      <c r="A220" s="13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</row>
    <row r="221" spans="1:43" ht="12.75" customHeight="1">
      <c r="A221" s="13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</row>
    <row r="222" spans="1:43" ht="12.75" customHeight="1">
      <c r="A222" s="13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</row>
    <row r="223" spans="1:43" ht="12.75" customHeight="1">
      <c r="A223" s="13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</row>
    <row r="224" spans="1:43" ht="12.75" customHeight="1">
      <c r="A224" s="13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</row>
    <row r="225" spans="1:43" ht="12.75" customHeight="1">
      <c r="A225" s="13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</row>
    <row r="226" spans="1:43" ht="12.75" customHeight="1">
      <c r="A226" s="13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</row>
    <row r="227" spans="1:43" ht="12.75" customHeight="1">
      <c r="A227" s="13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</row>
    <row r="228" spans="1:43" ht="12.75" customHeight="1">
      <c r="A228" s="13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</row>
    <row r="229" spans="1:43" ht="12.75" customHeight="1">
      <c r="A229" s="13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</row>
    <row r="230" spans="1:43" ht="12.75" customHeight="1">
      <c r="A230" s="13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</row>
    <row r="231" spans="1:43" ht="12.75" customHeight="1">
      <c r="A231" s="13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</row>
    <row r="232" spans="1:43" ht="12.75" customHeight="1">
      <c r="A232" s="13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</row>
    <row r="233" spans="1:43" ht="12.75" customHeight="1">
      <c r="A233" s="13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</row>
    <row r="234" spans="1:43" ht="12.75" customHeight="1">
      <c r="A234" s="13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</row>
    <row r="235" spans="1:43" ht="12.75" customHeight="1">
      <c r="A235" s="13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</row>
    <row r="236" spans="1:43" ht="12.75" customHeight="1">
      <c r="A236" s="13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</row>
    <row r="237" spans="1:43" ht="12.75" customHeight="1">
      <c r="A237" s="13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</row>
    <row r="238" spans="1:43" ht="12.75" customHeight="1">
      <c r="A238" s="13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</row>
    <row r="239" spans="1:43" ht="12.75" customHeight="1">
      <c r="A239" s="13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139"/>
      <c r="Y239" s="139"/>
      <c r="Z239" s="139"/>
      <c r="AA239" s="139"/>
      <c r="AB239" s="139"/>
      <c r="AC239" s="139"/>
      <c r="AD239" s="139"/>
      <c r="AE239" s="139"/>
      <c r="AF239" s="139"/>
      <c r="AG239" s="139"/>
      <c r="AH239" s="139"/>
      <c r="AI239" s="139"/>
      <c r="AJ239" s="139"/>
      <c r="AK239" s="139"/>
      <c r="AL239" s="139"/>
      <c r="AM239" s="139"/>
      <c r="AN239" s="139"/>
      <c r="AO239" s="139"/>
      <c r="AP239" s="139"/>
      <c r="AQ239" s="139"/>
    </row>
    <row r="240" spans="1:43" ht="12.75" customHeight="1">
      <c r="A240" s="13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</row>
    <row r="241" spans="1:43" ht="12.75" customHeight="1">
      <c r="A241" s="13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</row>
    <row r="242" spans="1:43" ht="12.75" customHeight="1">
      <c r="A242" s="13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</row>
    <row r="243" spans="1:43" ht="12.75" customHeight="1">
      <c r="A243" s="13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</row>
    <row r="244" spans="1:43" ht="12.75" customHeight="1">
      <c r="A244" s="13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139"/>
      <c r="Y244" s="139"/>
      <c r="Z244" s="139"/>
      <c r="AA244" s="139"/>
      <c r="AB244" s="139"/>
      <c r="AC244" s="139"/>
      <c r="AD244" s="139"/>
      <c r="AE244" s="139"/>
      <c r="AF244" s="139"/>
      <c r="AG244" s="139"/>
      <c r="AH244" s="139"/>
      <c r="AI244" s="139"/>
      <c r="AJ244" s="139"/>
      <c r="AK244" s="139"/>
      <c r="AL244" s="139"/>
      <c r="AM244" s="139"/>
      <c r="AN244" s="139"/>
      <c r="AO244" s="139"/>
      <c r="AP244" s="139"/>
      <c r="AQ244" s="139"/>
    </row>
    <row r="245" spans="1:43" ht="12.75" customHeight="1">
      <c r="A245" s="13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</row>
    <row r="246" spans="1:43" ht="12.75" customHeight="1">
      <c r="A246" s="13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</row>
    <row r="247" spans="1:43" ht="12.75" customHeight="1">
      <c r="A247" s="13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</row>
    <row r="248" spans="1:43" ht="12.75" customHeight="1">
      <c r="A248" s="13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</row>
    <row r="249" spans="1:43" ht="12.75" customHeight="1">
      <c r="A249" s="13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</row>
    <row r="250" spans="1:43" ht="12.75" customHeight="1">
      <c r="A250" s="13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</row>
    <row r="251" spans="1:43" ht="12.75" customHeight="1">
      <c r="A251" s="13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</row>
    <row r="252" spans="1:43" ht="12.75" customHeight="1">
      <c r="A252" s="13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</row>
    <row r="253" spans="1:43" ht="12.75" customHeight="1">
      <c r="A253" s="139"/>
      <c r="B253" s="139"/>
      <c r="C253" s="139"/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</row>
    <row r="254" spans="1:43" ht="12.75" customHeight="1">
      <c r="A254" s="139"/>
      <c r="B254" s="139"/>
      <c r="C254" s="139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</row>
    <row r="255" spans="1:43" ht="12.75" customHeight="1">
      <c r="A255" s="139"/>
      <c r="B255" s="139"/>
      <c r="C255" s="139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</row>
    <row r="256" spans="1:43" ht="12.75" customHeight="1">
      <c r="A256" s="139"/>
      <c r="B256" s="139"/>
      <c r="C256" s="139"/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</row>
    <row r="257" spans="1:43" ht="12.75" customHeight="1">
      <c r="A257" s="139"/>
      <c r="B257" s="139"/>
      <c r="C257" s="139"/>
      <c r="D257" s="139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</row>
    <row r="258" spans="1:43" ht="12.75" customHeight="1">
      <c r="A258" s="139"/>
      <c r="B258" s="139"/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</row>
    <row r="259" spans="1:43" ht="12.75" customHeight="1">
      <c r="A259" s="139"/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</row>
    <row r="260" spans="1:43" ht="12.75" customHeight="1">
      <c r="A260" s="139"/>
      <c r="B260" s="139"/>
      <c r="C260" s="139"/>
      <c r="D260" s="139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</row>
    <row r="261" spans="1:43" ht="12.75" customHeight="1">
      <c r="A261" s="139"/>
      <c r="B261" s="139"/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</row>
    <row r="262" spans="1:43" ht="12.75" customHeight="1">
      <c r="A262" s="139"/>
      <c r="B262" s="139"/>
      <c r="C262" s="139"/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</row>
    <row r="263" spans="1:43" ht="12.75" customHeight="1">
      <c r="A263" s="139"/>
      <c r="B263" s="139"/>
      <c r="C263" s="139"/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</row>
    <row r="264" spans="1:43" ht="12.75" customHeight="1">
      <c r="A264" s="139"/>
      <c r="B264" s="139"/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</row>
    <row r="265" spans="1:43" ht="12.75" customHeight="1">
      <c r="A265" s="139"/>
      <c r="B265" s="139"/>
      <c r="C265" s="139"/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</row>
    <row r="266" spans="1:43" ht="12.75" customHeight="1">
      <c r="A266" s="139"/>
      <c r="B266" s="139"/>
      <c r="C266" s="139"/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</row>
    <row r="267" spans="1:43" ht="12.75" customHeight="1">
      <c r="A267" s="139"/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</row>
    <row r="268" spans="1:43" ht="12.75" customHeight="1">
      <c r="A268" s="139"/>
      <c r="B268" s="139"/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139"/>
      <c r="AG268" s="139"/>
      <c r="AH268" s="139"/>
      <c r="AI268" s="139"/>
      <c r="AJ268" s="139"/>
      <c r="AK268" s="139"/>
      <c r="AL268" s="139"/>
      <c r="AM268" s="139"/>
      <c r="AN268" s="139"/>
      <c r="AO268" s="139"/>
      <c r="AP268" s="139"/>
      <c r="AQ268" s="139"/>
    </row>
    <row r="269" spans="1:43" ht="12.75" customHeight="1">
      <c r="A269" s="139"/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  <c r="AA269" s="139"/>
      <c r="AB269" s="139"/>
      <c r="AC269" s="139"/>
      <c r="AD269" s="139"/>
      <c r="AE269" s="139"/>
      <c r="AF269" s="139"/>
      <c r="AG269" s="139"/>
      <c r="AH269" s="139"/>
      <c r="AI269" s="139"/>
      <c r="AJ269" s="139"/>
      <c r="AK269" s="139"/>
      <c r="AL269" s="139"/>
      <c r="AM269" s="139"/>
      <c r="AN269" s="139"/>
      <c r="AO269" s="139"/>
      <c r="AP269" s="139"/>
      <c r="AQ269" s="139"/>
    </row>
    <row r="270" spans="1:43" ht="12.75" customHeight="1">
      <c r="A270" s="139"/>
      <c r="B270" s="139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  <c r="AA270" s="139"/>
      <c r="AB270" s="139"/>
      <c r="AC270" s="139"/>
      <c r="AD270" s="139"/>
      <c r="AE270" s="139"/>
      <c r="AF270" s="139"/>
      <c r="AG270" s="139"/>
      <c r="AH270" s="139"/>
      <c r="AI270" s="139"/>
      <c r="AJ270" s="139"/>
      <c r="AK270" s="139"/>
      <c r="AL270" s="139"/>
      <c r="AM270" s="139"/>
      <c r="AN270" s="139"/>
      <c r="AO270" s="139"/>
      <c r="AP270" s="139"/>
      <c r="AQ270" s="139"/>
    </row>
    <row r="271" spans="1:43" ht="12.75" customHeight="1">
      <c r="A271" s="139"/>
      <c r="B271" s="139"/>
      <c r="C271" s="139"/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  <c r="AA271" s="139"/>
      <c r="AB271" s="139"/>
      <c r="AC271" s="139"/>
      <c r="AD271" s="139"/>
      <c r="AE271" s="139"/>
      <c r="AF271" s="139"/>
      <c r="AG271" s="139"/>
      <c r="AH271" s="139"/>
      <c r="AI271" s="139"/>
      <c r="AJ271" s="139"/>
      <c r="AK271" s="139"/>
      <c r="AL271" s="139"/>
      <c r="AM271" s="139"/>
      <c r="AN271" s="139"/>
      <c r="AO271" s="139"/>
      <c r="AP271" s="139"/>
      <c r="AQ271" s="139"/>
    </row>
    <row r="272" spans="1:43" ht="12.75" customHeight="1">
      <c r="A272" s="139"/>
      <c r="B272" s="139"/>
      <c r="C272" s="139"/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  <c r="AA272" s="139"/>
      <c r="AB272" s="139"/>
      <c r="AC272" s="139"/>
      <c r="AD272" s="139"/>
      <c r="AE272" s="139"/>
      <c r="AF272" s="139"/>
      <c r="AG272" s="139"/>
      <c r="AH272" s="139"/>
      <c r="AI272" s="139"/>
      <c r="AJ272" s="139"/>
      <c r="AK272" s="139"/>
      <c r="AL272" s="139"/>
      <c r="AM272" s="139"/>
      <c r="AN272" s="139"/>
      <c r="AO272" s="139"/>
      <c r="AP272" s="139"/>
      <c r="AQ272" s="139"/>
    </row>
    <row r="273" spans="1:43" ht="12.75" customHeight="1">
      <c r="A273" s="139"/>
      <c r="B273" s="139"/>
      <c r="C273" s="139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  <c r="AA273" s="139"/>
      <c r="AB273" s="139"/>
      <c r="AC273" s="139"/>
      <c r="AD273" s="139"/>
      <c r="AE273" s="139"/>
      <c r="AF273" s="139"/>
      <c r="AG273" s="139"/>
      <c r="AH273" s="139"/>
      <c r="AI273" s="139"/>
      <c r="AJ273" s="139"/>
      <c r="AK273" s="139"/>
      <c r="AL273" s="139"/>
      <c r="AM273" s="139"/>
      <c r="AN273" s="139"/>
      <c r="AO273" s="139"/>
      <c r="AP273" s="139"/>
      <c r="AQ273" s="139"/>
    </row>
    <row r="274" spans="1:43" ht="12.75" customHeight="1">
      <c r="A274" s="139"/>
      <c r="B274" s="139"/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139"/>
      <c r="AG274" s="139"/>
      <c r="AH274" s="139"/>
      <c r="AI274" s="139"/>
      <c r="AJ274" s="139"/>
      <c r="AK274" s="139"/>
      <c r="AL274" s="139"/>
      <c r="AM274" s="139"/>
      <c r="AN274" s="139"/>
      <c r="AO274" s="139"/>
      <c r="AP274" s="139"/>
      <c r="AQ274" s="139"/>
    </row>
    <row r="275" spans="1:43" ht="12.75" customHeight="1">
      <c r="A275" s="139"/>
      <c r="B275" s="139"/>
      <c r="C275" s="139"/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  <c r="AA275" s="139"/>
      <c r="AB275" s="139"/>
      <c r="AC275" s="139"/>
      <c r="AD275" s="139"/>
      <c r="AE275" s="139"/>
      <c r="AF275" s="139"/>
      <c r="AG275" s="139"/>
      <c r="AH275" s="139"/>
      <c r="AI275" s="139"/>
      <c r="AJ275" s="139"/>
      <c r="AK275" s="139"/>
      <c r="AL275" s="139"/>
      <c r="AM275" s="139"/>
      <c r="AN275" s="139"/>
      <c r="AO275" s="139"/>
      <c r="AP275" s="139"/>
      <c r="AQ275" s="139"/>
    </row>
    <row r="276" spans="1:43" ht="12.75" customHeight="1">
      <c r="A276" s="139"/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  <c r="AA276" s="139"/>
      <c r="AB276" s="139"/>
      <c r="AC276" s="139"/>
      <c r="AD276" s="139"/>
      <c r="AE276" s="139"/>
      <c r="AF276" s="139"/>
      <c r="AG276" s="139"/>
      <c r="AH276" s="139"/>
      <c r="AI276" s="139"/>
      <c r="AJ276" s="139"/>
      <c r="AK276" s="139"/>
      <c r="AL276" s="139"/>
      <c r="AM276" s="139"/>
      <c r="AN276" s="139"/>
      <c r="AO276" s="139"/>
      <c r="AP276" s="139"/>
      <c r="AQ276" s="139"/>
    </row>
    <row r="277" spans="1:43" ht="12.75" customHeight="1">
      <c r="A277" s="139"/>
      <c r="B277" s="139"/>
      <c r="C277" s="139"/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  <c r="AA277" s="139"/>
      <c r="AB277" s="139"/>
      <c r="AC277" s="139"/>
      <c r="AD277" s="139"/>
      <c r="AE277" s="139"/>
      <c r="AF277" s="139"/>
      <c r="AG277" s="139"/>
      <c r="AH277" s="139"/>
      <c r="AI277" s="139"/>
      <c r="AJ277" s="139"/>
      <c r="AK277" s="139"/>
      <c r="AL277" s="139"/>
      <c r="AM277" s="139"/>
      <c r="AN277" s="139"/>
      <c r="AO277" s="139"/>
      <c r="AP277" s="139"/>
      <c r="AQ277" s="139"/>
    </row>
    <row r="278" spans="1:43" ht="12.75" customHeight="1">
      <c r="A278" s="139"/>
      <c r="B278" s="139"/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  <c r="AA278" s="139"/>
      <c r="AB278" s="139"/>
      <c r="AC278" s="139"/>
      <c r="AD278" s="139"/>
      <c r="AE278" s="139"/>
      <c r="AF278" s="139"/>
      <c r="AG278" s="139"/>
      <c r="AH278" s="139"/>
      <c r="AI278" s="139"/>
      <c r="AJ278" s="139"/>
      <c r="AK278" s="139"/>
      <c r="AL278" s="139"/>
      <c r="AM278" s="139"/>
      <c r="AN278" s="139"/>
      <c r="AO278" s="139"/>
      <c r="AP278" s="139"/>
      <c r="AQ278" s="139"/>
    </row>
    <row r="279" spans="1:43" ht="12.75" customHeight="1">
      <c r="A279" s="139"/>
      <c r="B279" s="139"/>
      <c r="C279" s="139"/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  <c r="AA279" s="139"/>
      <c r="AB279" s="139"/>
      <c r="AC279" s="139"/>
      <c r="AD279" s="139"/>
      <c r="AE279" s="139"/>
      <c r="AF279" s="139"/>
      <c r="AG279" s="139"/>
      <c r="AH279" s="139"/>
      <c r="AI279" s="139"/>
      <c r="AJ279" s="139"/>
      <c r="AK279" s="139"/>
      <c r="AL279" s="139"/>
      <c r="AM279" s="139"/>
      <c r="AN279" s="139"/>
      <c r="AO279" s="139"/>
      <c r="AP279" s="139"/>
      <c r="AQ279" s="139"/>
    </row>
    <row r="280" spans="1:43" ht="12.75" customHeight="1">
      <c r="A280" s="139"/>
      <c r="B280" s="139"/>
      <c r="C280" s="139"/>
      <c r="D280" s="139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  <c r="AA280" s="139"/>
      <c r="AB280" s="139"/>
      <c r="AC280" s="139"/>
      <c r="AD280" s="139"/>
      <c r="AE280" s="139"/>
      <c r="AF280" s="139"/>
      <c r="AG280" s="139"/>
      <c r="AH280" s="139"/>
      <c r="AI280" s="139"/>
      <c r="AJ280" s="139"/>
      <c r="AK280" s="139"/>
      <c r="AL280" s="139"/>
      <c r="AM280" s="139"/>
      <c r="AN280" s="139"/>
      <c r="AO280" s="139"/>
      <c r="AP280" s="139"/>
      <c r="AQ280" s="139"/>
    </row>
    <row r="281" spans="1:43" ht="12.75" customHeight="1">
      <c r="A281" s="139"/>
      <c r="B281" s="139"/>
      <c r="C281" s="139"/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39"/>
      <c r="O281" s="139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  <c r="AA281" s="139"/>
      <c r="AB281" s="139"/>
      <c r="AC281" s="139"/>
      <c r="AD281" s="139"/>
      <c r="AE281" s="139"/>
      <c r="AF281" s="139"/>
      <c r="AG281" s="139"/>
      <c r="AH281" s="139"/>
      <c r="AI281" s="139"/>
      <c r="AJ281" s="139"/>
      <c r="AK281" s="139"/>
      <c r="AL281" s="139"/>
      <c r="AM281" s="139"/>
      <c r="AN281" s="139"/>
      <c r="AO281" s="139"/>
      <c r="AP281" s="139"/>
      <c r="AQ281" s="139"/>
    </row>
    <row r="282" spans="1:43" ht="12.75" customHeight="1">
      <c r="A282" s="139"/>
      <c r="B282" s="139"/>
      <c r="C282" s="139"/>
      <c r="D282" s="139"/>
      <c r="E282" s="139"/>
      <c r="F282" s="139"/>
      <c r="G282" s="139"/>
      <c r="H282" s="139"/>
      <c r="I282" s="139"/>
      <c r="J282" s="139"/>
      <c r="K282" s="139"/>
      <c r="L282" s="139"/>
      <c r="M282" s="139"/>
      <c r="N282" s="139"/>
      <c r="O282" s="139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</row>
    <row r="283" spans="1:43" ht="12.75" customHeight="1">
      <c r="A283" s="139"/>
      <c r="B283" s="139"/>
      <c r="C283" s="139"/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39"/>
      <c r="O283" s="139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</row>
    <row r="284" spans="1:43" ht="12.75" customHeight="1">
      <c r="A284" s="139"/>
      <c r="B284" s="139"/>
      <c r="C284" s="139"/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39"/>
      <c r="O284" s="139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</row>
    <row r="285" spans="1:43" ht="12.75" customHeight="1">
      <c r="A285" s="139"/>
      <c r="B285" s="13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39"/>
      <c r="O285" s="139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</row>
    <row r="286" spans="1:43" ht="12.75" customHeight="1">
      <c r="A286" s="139"/>
      <c r="B286" s="139"/>
      <c r="C286" s="139"/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39"/>
      <c r="O286" s="139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  <c r="AA286" s="139"/>
      <c r="AB286" s="139"/>
      <c r="AC286" s="139"/>
      <c r="AD286" s="139"/>
      <c r="AE286" s="139"/>
      <c r="AF286" s="139"/>
      <c r="AG286" s="139"/>
      <c r="AH286" s="139"/>
      <c r="AI286" s="139"/>
      <c r="AJ286" s="139"/>
      <c r="AK286" s="139"/>
      <c r="AL286" s="139"/>
      <c r="AM286" s="139"/>
      <c r="AN286" s="139"/>
      <c r="AO286" s="139"/>
      <c r="AP286" s="139"/>
      <c r="AQ286" s="139"/>
    </row>
    <row r="287" spans="1:43" ht="12.75" customHeight="1">
      <c r="A287" s="139"/>
      <c r="B287" s="139"/>
      <c r="C287" s="139"/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39"/>
      <c r="O287" s="139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  <c r="AA287" s="139"/>
      <c r="AB287" s="139"/>
      <c r="AC287" s="139"/>
      <c r="AD287" s="139"/>
      <c r="AE287" s="139"/>
      <c r="AF287" s="139"/>
      <c r="AG287" s="139"/>
      <c r="AH287" s="139"/>
      <c r="AI287" s="139"/>
      <c r="AJ287" s="139"/>
      <c r="AK287" s="139"/>
      <c r="AL287" s="139"/>
      <c r="AM287" s="139"/>
      <c r="AN287" s="139"/>
      <c r="AO287" s="139"/>
      <c r="AP287" s="139"/>
      <c r="AQ287" s="139"/>
    </row>
    <row r="288" spans="1:43" ht="12.75" customHeight="1">
      <c r="A288" s="139"/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139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</row>
    <row r="289" spans="1:43" ht="12.75" customHeight="1">
      <c r="A289" s="139"/>
      <c r="B289" s="139"/>
      <c r="C289" s="139"/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39"/>
      <c r="O289" s="139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</row>
    <row r="290" spans="1:43" ht="12.75" customHeight="1">
      <c r="A290" s="139"/>
      <c r="B290" s="139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</row>
    <row r="291" spans="1:43" ht="12.75" customHeight="1">
      <c r="A291" s="139"/>
      <c r="B291" s="139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39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</row>
    <row r="292" spans="1:43" ht="12.75" customHeight="1">
      <c r="A292" s="139"/>
      <c r="B292" s="139"/>
      <c r="C292" s="139"/>
      <c r="D292" s="139"/>
      <c r="E292" s="139"/>
      <c r="F292" s="139"/>
      <c r="G292" s="139"/>
      <c r="H292" s="139"/>
      <c r="I292" s="139"/>
      <c r="J292" s="139"/>
      <c r="K292" s="139"/>
      <c r="L292" s="139"/>
      <c r="M292" s="139"/>
      <c r="N292" s="139"/>
      <c r="O292" s="139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  <c r="AA292" s="139"/>
      <c r="AB292" s="139"/>
      <c r="AC292" s="139"/>
      <c r="AD292" s="139"/>
      <c r="AE292" s="139"/>
      <c r="AF292" s="139"/>
      <c r="AG292" s="139"/>
      <c r="AH292" s="139"/>
      <c r="AI292" s="139"/>
      <c r="AJ292" s="139"/>
      <c r="AK292" s="139"/>
      <c r="AL292" s="139"/>
      <c r="AM292" s="139"/>
      <c r="AN292" s="139"/>
      <c r="AO292" s="139"/>
      <c r="AP292" s="139"/>
      <c r="AQ292" s="139"/>
    </row>
    <row r="293" spans="1:43" ht="12.75" customHeight="1">
      <c r="A293" s="139"/>
      <c r="B293" s="139"/>
      <c r="C293" s="139"/>
      <c r="D293" s="139"/>
      <c r="E293" s="139"/>
      <c r="F293" s="139"/>
      <c r="G293" s="139"/>
      <c r="H293" s="139"/>
      <c r="I293" s="139"/>
      <c r="J293" s="139"/>
      <c r="K293" s="139"/>
      <c r="L293" s="139"/>
      <c r="M293" s="139"/>
      <c r="N293" s="139"/>
      <c r="O293" s="139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  <c r="AA293" s="139"/>
      <c r="AB293" s="139"/>
      <c r="AC293" s="139"/>
      <c r="AD293" s="139"/>
      <c r="AE293" s="139"/>
      <c r="AF293" s="139"/>
      <c r="AG293" s="139"/>
      <c r="AH293" s="139"/>
      <c r="AI293" s="139"/>
      <c r="AJ293" s="139"/>
      <c r="AK293" s="139"/>
      <c r="AL293" s="139"/>
      <c r="AM293" s="139"/>
      <c r="AN293" s="139"/>
      <c r="AO293" s="139"/>
      <c r="AP293" s="139"/>
      <c r="AQ293" s="139"/>
    </row>
    <row r="294" spans="1:43" ht="12.75" customHeight="1">
      <c r="A294" s="139"/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</row>
    <row r="295" spans="1:43" ht="12.75" customHeight="1">
      <c r="A295" s="139"/>
      <c r="B295" s="139"/>
      <c r="C295" s="139"/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39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</row>
    <row r="296" spans="1:43" ht="12.75" customHeight="1">
      <c r="A296" s="139"/>
      <c r="B296" s="139"/>
      <c r="C296" s="139"/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39"/>
      <c r="O296" s="139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</row>
    <row r="297" spans="1:43" ht="12.75" customHeight="1">
      <c r="A297" s="139"/>
      <c r="B297" s="139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39"/>
      <c r="O297" s="139"/>
      <c r="P297" s="139"/>
      <c r="Q297" s="139"/>
      <c r="R297" s="139"/>
      <c r="S297" s="139"/>
      <c r="T297" s="139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</row>
    <row r="298" spans="1:43" ht="12.75" customHeight="1">
      <c r="A298" s="139"/>
      <c r="B298" s="139"/>
      <c r="C298" s="139"/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39"/>
      <c r="O298" s="139"/>
      <c r="P298" s="139"/>
      <c r="Q298" s="139"/>
      <c r="R298" s="139"/>
      <c r="S298" s="139"/>
      <c r="T298" s="139"/>
      <c r="U298" s="139"/>
      <c r="V298" s="139"/>
      <c r="W298" s="139"/>
      <c r="X298" s="139"/>
      <c r="Y298" s="139"/>
      <c r="Z298" s="139"/>
      <c r="AA298" s="139"/>
      <c r="AB298" s="139"/>
      <c r="AC298" s="139"/>
      <c r="AD298" s="139"/>
      <c r="AE298" s="139"/>
      <c r="AF298" s="139"/>
      <c r="AG298" s="139"/>
      <c r="AH298" s="139"/>
      <c r="AI298" s="139"/>
      <c r="AJ298" s="139"/>
      <c r="AK298" s="139"/>
      <c r="AL298" s="139"/>
      <c r="AM298" s="139"/>
      <c r="AN298" s="139"/>
      <c r="AO298" s="139"/>
      <c r="AP298" s="139"/>
      <c r="AQ298" s="139"/>
    </row>
    <row r="299" spans="1:43" ht="12.75" customHeight="1">
      <c r="A299" s="139"/>
      <c r="B299" s="139"/>
      <c r="C299" s="139"/>
      <c r="D299" s="139"/>
      <c r="E299" s="139"/>
      <c r="F299" s="139"/>
      <c r="G299" s="139"/>
      <c r="H299" s="139"/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  <c r="Y299" s="139"/>
      <c r="Z299" s="139"/>
      <c r="AA299" s="139"/>
      <c r="AB299" s="139"/>
      <c r="AC299" s="139"/>
      <c r="AD299" s="139"/>
      <c r="AE299" s="139"/>
      <c r="AF299" s="139"/>
      <c r="AG299" s="139"/>
      <c r="AH299" s="139"/>
      <c r="AI299" s="139"/>
      <c r="AJ299" s="139"/>
      <c r="AK299" s="139"/>
      <c r="AL299" s="139"/>
      <c r="AM299" s="139"/>
      <c r="AN299" s="139"/>
      <c r="AO299" s="139"/>
      <c r="AP299" s="139"/>
      <c r="AQ299" s="139"/>
    </row>
    <row r="300" spans="1:43" ht="12.75" customHeight="1">
      <c r="A300" s="139"/>
      <c r="B300" s="139"/>
      <c r="C300" s="139"/>
      <c r="D300" s="139"/>
      <c r="E300" s="139"/>
      <c r="F300" s="139"/>
      <c r="G300" s="139"/>
      <c r="H300" s="139"/>
      <c r="I300" s="139"/>
      <c r="J300" s="139"/>
      <c r="K300" s="139"/>
      <c r="L300" s="139"/>
      <c r="M300" s="139"/>
      <c r="N300" s="139"/>
      <c r="O300" s="139"/>
      <c r="P300" s="139"/>
      <c r="Q300" s="139"/>
      <c r="R300" s="139"/>
      <c r="S300" s="139"/>
      <c r="T300" s="139"/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</row>
    <row r="301" spans="1:43" ht="12.75" customHeight="1">
      <c r="A301" s="139"/>
      <c r="B301" s="139"/>
      <c r="C301" s="139"/>
      <c r="D301" s="139"/>
      <c r="E301" s="139"/>
      <c r="F301" s="139"/>
      <c r="G301" s="139"/>
      <c r="H301" s="139"/>
      <c r="I301" s="139"/>
      <c r="J301" s="139"/>
      <c r="K301" s="139"/>
      <c r="L301" s="139"/>
      <c r="M301" s="139"/>
      <c r="N301" s="139"/>
      <c r="O301" s="139"/>
      <c r="P301" s="139"/>
      <c r="Q301" s="139"/>
      <c r="R301" s="139"/>
      <c r="S301" s="139"/>
      <c r="T301" s="139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</row>
    <row r="302" spans="1:43" ht="12.75" customHeight="1">
      <c r="A302" s="139"/>
      <c r="B302" s="139"/>
      <c r="C302" s="139"/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39"/>
      <c r="O302" s="139"/>
      <c r="P302" s="139"/>
      <c r="Q302" s="139"/>
      <c r="R302" s="139"/>
      <c r="S302" s="139"/>
      <c r="T302" s="139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</row>
    <row r="303" spans="1:43" ht="12.75" customHeight="1">
      <c r="A303" s="139"/>
      <c r="B303" s="139"/>
      <c r="C303" s="139"/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</row>
    <row r="304" spans="1:43" ht="12.75" customHeight="1">
      <c r="A304" s="139"/>
      <c r="B304" s="139"/>
      <c r="C304" s="139"/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39"/>
      <c r="O304" s="139"/>
      <c r="P304" s="139"/>
      <c r="Q304" s="139"/>
      <c r="R304" s="139"/>
      <c r="S304" s="139"/>
      <c r="T304" s="139"/>
      <c r="U304" s="139"/>
      <c r="V304" s="139"/>
      <c r="W304" s="139"/>
      <c r="X304" s="139"/>
      <c r="Y304" s="139"/>
      <c r="Z304" s="139"/>
      <c r="AA304" s="139"/>
      <c r="AB304" s="139"/>
      <c r="AC304" s="139"/>
      <c r="AD304" s="139"/>
      <c r="AE304" s="139"/>
      <c r="AF304" s="139"/>
      <c r="AG304" s="139"/>
      <c r="AH304" s="139"/>
      <c r="AI304" s="139"/>
      <c r="AJ304" s="139"/>
      <c r="AK304" s="139"/>
      <c r="AL304" s="139"/>
      <c r="AM304" s="139"/>
      <c r="AN304" s="139"/>
      <c r="AO304" s="139"/>
      <c r="AP304" s="139"/>
      <c r="AQ304" s="139"/>
    </row>
    <row r="305" spans="1:43" ht="12.75" customHeight="1">
      <c r="A305" s="139"/>
      <c r="B305" s="139"/>
      <c r="C305" s="139"/>
      <c r="D305" s="139"/>
      <c r="E305" s="139"/>
      <c r="F305" s="139"/>
      <c r="G305" s="139"/>
      <c r="H305" s="139"/>
      <c r="I305" s="139"/>
      <c r="J305" s="139"/>
      <c r="K305" s="139"/>
      <c r="L305" s="139"/>
      <c r="M305" s="139"/>
      <c r="N305" s="139"/>
      <c r="O305" s="139"/>
      <c r="P305" s="139"/>
      <c r="Q305" s="139"/>
      <c r="R305" s="139"/>
      <c r="S305" s="139"/>
      <c r="T305" s="139"/>
      <c r="U305" s="139"/>
      <c r="V305" s="139"/>
      <c r="W305" s="139"/>
      <c r="X305" s="139"/>
      <c r="Y305" s="139"/>
      <c r="Z305" s="139"/>
      <c r="AA305" s="139"/>
      <c r="AB305" s="139"/>
      <c r="AC305" s="139"/>
      <c r="AD305" s="139"/>
      <c r="AE305" s="139"/>
      <c r="AF305" s="139"/>
      <c r="AG305" s="139"/>
      <c r="AH305" s="139"/>
      <c r="AI305" s="139"/>
      <c r="AJ305" s="139"/>
      <c r="AK305" s="139"/>
      <c r="AL305" s="139"/>
      <c r="AM305" s="139"/>
      <c r="AN305" s="139"/>
      <c r="AO305" s="139"/>
      <c r="AP305" s="139"/>
      <c r="AQ305" s="139"/>
    </row>
    <row r="306" spans="1:43" ht="12.75" customHeight="1">
      <c r="A306" s="139"/>
      <c r="B306" s="139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</row>
    <row r="307" spans="1:43" ht="12.75" customHeight="1">
      <c r="A307" s="139"/>
      <c r="B307" s="139"/>
      <c r="C307" s="139"/>
      <c r="D307" s="139"/>
      <c r="E307" s="139"/>
      <c r="F307" s="139"/>
      <c r="G307" s="139"/>
      <c r="H307" s="139"/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</row>
    <row r="308" spans="1:43" ht="12.75" customHeight="1">
      <c r="A308" s="139"/>
      <c r="B308" s="139"/>
      <c r="C308" s="139"/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39"/>
      <c r="P308" s="139"/>
      <c r="Q308" s="139"/>
      <c r="R308" s="139"/>
      <c r="S308" s="139"/>
      <c r="T308" s="139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</row>
    <row r="309" spans="1:43" ht="12.75" customHeight="1">
      <c r="A309" s="139"/>
      <c r="B309" s="139"/>
      <c r="C309" s="139"/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39"/>
      <c r="P309" s="139"/>
      <c r="Q309" s="139"/>
      <c r="R309" s="139"/>
      <c r="S309" s="139"/>
      <c r="T309" s="139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</row>
    <row r="310" spans="1:43" ht="12.75" customHeight="1">
      <c r="A310" s="139"/>
      <c r="B310" s="139"/>
      <c r="C310" s="139"/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39"/>
      <c r="O310" s="139"/>
      <c r="P310" s="139"/>
      <c r="Q310" s="139"/>
      <c r="R310" s="139"/>
      <c r="S310" s="139"/>
      <c r="T310" s="139"/>
      <c r="U310" s="139"/>
      <c r="V310" s="139"/>
      <c r="W310" s="139"/>
      <c r="X310" s="139"/>
      <c r="Y310" s="139"/>
      <c r="Z310" s="139"/>
      <c r="AA310" s="139"/>
      <c r="AB310" s="139"/>
      <c r="AC310" s="139"/>
      <c r="AD310" s="139"/>
      <c r="AE310" s="139"/>
      <c r="AF310" s="139"/>
      <c r="AG310" s="139"/>
      <c r="AH310" s="139"/>
      <c r="AI310" s="139"/>
      <c r="AJ310" s="139"/>
      <c r="AK310" s="139"/>
      <c r="AL310" s="139"/>
      <c r="AM310" s="139"/>
      <c r="AN310" s="139"/>
      <c r="AO310" s="139"/>
      <c r="AP310" s="139"/>
      <c r="AQ310" s="139"/>
    </row>
    <row r="311" spans="1:43" ht="12.75" customHeight="1">
      <c r="A311" s="139"/>
      <c r="B311" s="139"/>
      <c r="C311" s="139"/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39"/>
      <c r="O311" s="139"/>
      <c r="P311" s="139"/>
      <c r="Q311" s="139"/>
      <c r="R311" s="139"/>
      <c r="S311" s="139"/>
      <c r="T311" s="139"/>
      <c r="U311" s="139"/>
      <c r="V311" s="139"/>
      <c r="W311" s="139"/>
      <c r="X311" s="139"/>
      <c r="Y311" s="139"/>
      <c r="Z311" s="139"/>
      <c r="AA311" s="139"/>
      <c r="AB311" s="139"/>
      <c r="AC311" s="139"/>
      <c r="AD311" s="139"/>
      <c r="AE311" s="139"/>
      <c r="AF311" s="139"/>
      <c r="AG311" s="139"/>
      <c r="AH311" s="139"/>
      <c r="AI311" s="139"/>
      <c r="AJ311" s="139"/>
      <c r="AK311" s="139"/>
      <c r="AL311" s="139"/>
      <c r="AM311" s="139"/>
      <c r="AN311" s="139"/>
      <c r="AO311" s="139"/>
      <c r="AP311" s="139"/>
      <c r="AQ311" s="139"/>
    </row>
    <row r="312" spans="1:43" ht="12.75" customHeight="1">
      <c r="A312" s="139"/>
      <c r="B312" s="139"/>
      <c r="C312" s="139"/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</row>
    <row r="313" spans="1:43" ht="12.75" customHeight="1">
      <c r="A313" s="139"/>
      <c r="B313" s="139"/>
      <c r="C313" s="139"/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39"/>
      <c r="O313" s="139"/>
      <c r="P313" s="139"/>
      <c r="Q313" s="139"/>
      <c r="R313" s="139"/>
      <c r="S313" s="139"/>
      <c r="T313" s="139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</row>
    <row r="314" spans="1:43" ht="12.75" customHeight="1">
      <c r="A314" s="139"/>
      <c r="B314" s="139"/>
      <c r="C314" s="139"/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39"/>
      <c r="O314" s="139"/>
      <c r="P314" s="139"/>
      <c r="Q314" s="139"/>
      <c r="R314" s="139"/>
      <c r="S314" s="139"/>
      <c r="T314" s="139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</row>
    <row r="315" spans="1:43" ht="12.75" customHeight="1">
      <c r="A315" s="139"/>
      <c r="B315" s="139"/>
      <c r="C315" s="139"/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39"/>
      <c r="O315" s="139"/>
      <c r="P315" s="139"/>
      <c r="Q315" s="139"/>
      <c r="R315" s="139"/>
      <c r="S315" s="139"/>
      <c r="T315" s="139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</row>
    <row r="316" spans="1:43" ht="12.75" customHeight="1">
      <c r="A316" s="139"/>
      <c r="B316" s="139"/>
      <c r="C316" s="139"/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  <c r="Y316" s="139"/>
      <c r="Z316" s="139"/>
      <c r="AA316" s="139"/>
      <c r="AB316" s="139"/>
      <c r="AC316" s="139"/>
      <c r="AD316" s="139"/>
      <c r="AE316" s="139"/>
      <c r="AF316" s="139"/>
      <c r="AG316" s="139"/>
      <c r="AH316" s="139"/>
      <c r="AI316" s="139"/>
      <c r="AJ316" s="139"/>
      <c r="AK316" s="139"/>
      <c r="AL316" s="139"/>
      <c r="AM316" s="139"/>
      <c r="AN316" s="139"/>
      <c r="AO316" s="139"/>
      <c r="AP316" s="139"/>
      <c r="AQ316" s="139"/>
    </row>
    <row r="317" spans="1:43" ht="12.75" customHeight="1">
      <c r="A317" s="139"/>
      <c r="B317" s="139"/>
      <c r="C317" s="139"/>
      <c r="D317" s="139"/>
      <c r="E317" s="139"/>
      <c r="F317" s="139"/>
      <c r="G317" s="139"/>
      <c r="H317" s="139"/>
      <c r="I317" s="139"/>
      <c r="J317" s="139"/>
      <c r="K317" s="139"/>
      <c r="L317" s="139"/>
      <c r="M317" s="139"/>
      <c r="N317" s="139"/>
      <c r="O317" s="139"/>
      <c r="P317" s="139"/>
      <c r="Q317" s="139"/>
      <c r="R317" s="139"/>
      <c r="S317" s="139"/>
      <c r="T317" s="139"/>
      <c r="U317" s="139"/>
      <c r="V317" s="139"/>
      <c r="W317" s="139"/>
      <c r="X317" s="139"/>
      <c r="Y317" s="139"/>
      <c r="Z317" s="139"/>
      <c r="AA317" s="139"/>
      <c r="AB317" s="139"/>
      <c r="AC317" s="139"/>
      <c r="AD317" s="139"/>
      <c r="AE317" s="139"/>
      <c r="AF317" s="139"/>
      <c r="AG317" s="139"/>
      <c r="AH317" s="139"/>
      <c r="AI317" s="139"/>
      <c r="AJ317" s="139"/>
      <c r="AK317" s="139"/>
      <c r="AL317" s="139"/>
      <c r="AM317" s="139"/>
      <c r="AN317" s="139"/>
      <c r="AO317" s="139"/>
      <c r="AP317" s="139"/>
      <c r="AQ317" s="139"/>
    </row>
    <row r="318" spans="1:43" ht="12.75" customHeight="1">
      <c r="A318" s="139"/>
      <c r="B318" s="139"/>
      <c r="C318" s="139"/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39"/>
      <c r="O318" s="139"/>
      <c r="P318" s="139"/>
      <c r="Q318" s="139"/>
      <c r="R318" s="139"/>
      <c r="S318" s="139"/>
      <c r="T318" s="139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</row>
    <row r="319" spans="1:43" ht="12.75" customHeight="1">
      <c r="A319" s="139"/>
      <c r="B319" s="139"/>
      <c r="C319" s="139"/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</row>
    <row r="320" spans="1:43" ht="12.75" customHeight="1">
      <c r="A320" s="139"/>
      <c r="B320" s="139"/>
      <c r="C320" s="139"/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39"/>
      <c r="O320" s="139"/>
      <c r="P320" s="139"/>
      <c r="Q320" s="139"/>
      <c r="R320" s="139"/>
      <c r="S320" s="139"/>
      <c r="T320" s="139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</row>
    <row r="321" spans="1:43" ht="12.75" customHeight="1">
      <c r="A321" s="139"/>
      <c r="B321" s="139"/>
      <c r="C321" s="139"/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39"/>
      <c r="O321" s="139"/>
      <c r="P321" s="139"/>
      <c r="Q321" s="139"/>
      <c r="R321" s="139"/>
      <c r="S321" s="139"/>
      <c r="T321" s="139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</row>
    <row r="322" spans="1:43" ht="12.75" customHeight="1">
      <c r="A322" s="139"/>
      <c r="B322" s="139"/>
      <c r="C322" s="139"/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  <c r="AA322" s="139"/>
      <c r="AB322" s="139"/>
      <c r="AC322" s="139"/>
      <c r="AD322" s="139"/>
      <c r="AE322" s="139"/>
      <c r="AF322" s="139"/>
      <c r="AG322" s="139"/>
      <c r="AH322" s="139"/>
      <c r="AI322" s="139"/>
      <c r="AJ322" s="139"/>
      <c r="AK322" s="139"/>
      <c r="AL322" s="139"/>
      <c r="AM322" s="139"/>
      <c r="AN322" s="139"/>
      <c r="AO322" s="139"/>
      <c r="AP322" s="139"/>
      <c r="AQ322" s="139"/>
    </row>
    <row r="323" spans="1:43" ht="12.75" customHeight="1">
      <c r="A323" s="139"/>
      <c r="B323" s="139"/>
      <c r="C323" s="139"/>
      <c r="D323" s="139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  <c r="AA323" s="139"/>
      <c r="AB323" s="139"/>
      <c r="AC323" s="139"/>
      <c r="AD323" s="139"/>
      <c r="AE323" s="139"/>
      <c r="AF323" s="139"/>
      <c r="AG323" s="139"/>
      <c r="AH323" s="139"/>
      <c r="AI323" s="139"/>
      <c r="AJ323" s="139"/>
      <c r="AK323" s="139"/>
      <c r="AL323" s="139"/>
      <c r="AM323" s="139"/>
      <c r="AN323" s="139"/>
      <c r="AO323" s="139"/>
      <c r="AP323" s="139"/>
      <c r="AQ323" s="139"/>
    </row>
    <row r="324" spans="1:43" ht="12.75" customHeight="1">
      <c r="A324" s="139"/>
      <c r="B324" s="139"/>
      <c r="C324" s="139"/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</row>
    <row r="325" spans="1:43" ht="12.75" customHeight="1">
      <c r="A325" s="139"/>
      <c r="B325" s="139"/>
      <c r="C325" s="139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</row>
    <row r="326" spans="1:43" ht="12.75" customHeight="1">
      <c r="A326" s="139"/>
      <c r="B326" s="139"/>
      <c r="C326" s="139"/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</row>
    <row r="327" spans="1:43" ht="12.75" customHeight="1">
      <c r="A327" s="139"/>
      <c r="B327" s="139"/>
      <c r="C327" s="139"/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</row>
    <row r="328" spans="1:43" ht="12.75" customHeight="1">
      <c r="A328" s="139"/>
      <c r="B328" s="139"/>
      <c r="C328" s="139"/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  <c r="AA328" s="139"/>
      <c r="AB328" s="139"/>
      <c r="AC328" s="139"/>
      <c r="AD328" s="139"/>
      <c r="AE328" s="139"/>
      <c r="AF328" s="139"/>
      <c r="AG328" s="139"/>
      <c r="AH328" s="139"/>
      <c r="AI328" s="139"/>
      <c r="AJ328" s="139"/>
      <c r="AK328" s="139"/>
      <c r="AL328" s="139"/>
      <c r="AM328" s="139"/>
      <c r="AN328" s="139"/>
      <c r="AO328" s="139"/>
      <c r="AP328" s="139"/>
      <c r="AQ328" s="139"/>
    </row>
    <row r="329" spans="1:43" ht="12.75" customHeight="1">
      <c r="A329" s="139"/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  <c r="AA329" s="139"/>
      <c r="AB329" s="139"/>
      <c r="AC329" s="139"/>
      <c r="AD329" s="139"/>
      <c r="AE329" s="139"/>
      <c r="AF329" s="139"/>
      <c r="AG329" s="139"/>
      <c r="AH329" s="139"/>
      <c r="AI329" s="139"/>
      <c r="AJ329" s="139"/>
      <c r="AK329" s="139"/>
      <c r="AL329" s="139"/>
      <c r="AM329" s="139"/>
      <c r="AN329" s="139"/>
      <c r="AO329" s="139"/>
      <c r="AP329" s="139"/>
      <c r="AQ329" s="139"/>
    </row>
    <row r="330" spans="1:43" ht="12.75" customHeight="1">
      <c r="A330" s="139"/>
      <c r="B330" s="139"/>
      <c r="C330" s="139"/>
      <c r="D330" s="139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</row>
    <row r="331" spans="1:43" ht="12.75" customHeight="1">
      <c r="A331" s="139"/>
      <c r="B331" s="139"/>
      <c r="C331" s="139"/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</row>
    <row r="332" spans="1:43" ht="12.75" customHeight="1">
      <c r="A332" s="139"/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</row>
    <row r="333" spans="1:43" ht="12.75" customHeight="1">
      <c r="A333" s="139"/>
      <c r="B333" s="139"/>
      <c r="C333" s="139"/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</row>
    <row r="334" spans="1:43" ht="12.75" customHeight="1">
      <c r="A334" s="139"/>
      <c r="B334" s="139"/>
      <c r="C334" s="139"/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  <c r="AA334" s="139"/>
      <c r="AB334" s="139"/>
      <c r="AC334" s="139"/>
      <c r="AD334" s="139"/>
      <c r="AE334" s="139"/>
      <c r="AF334" s="139"/>
      <c r="AG334" s="139"/>
      <c r="AH334" s="139"/>
      <c r="AI334" s="139"/>
      <c r="AJ334" s="139"/>
      <c r="AK334" s="139"/>
      <c r="AL334" s="139"/>
      <c r="AM334" s="139"/>
      <c r="AN334" s="139"/>
      <c r="AO334" s="139"/>
      <c r="AP334" s="139"/>
      <c r="AQ334" s="139"/>
    </row>
    <row r="335" spans="1:43" ht="12.75" customHeight="1">
      <c r="A335" s="139"/>
      <c r="B335" s="139"/>
      <c r="C335" s="139"/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  <c r="AA335" s="139"/>
      <c r="AB335" s="139"/>
      <c r="AC335" s="139"/>
      <c r="AD335" s="139"/>
      <c r="AE335" s="139"/>
      <c r="AF335" s="139"/>
      <c r="AG335" s="139"/>
      <c r="AH335" s="139"/>
      <c r="AI335" s="139"/>
      <c r="AJ335" s="139"/>
      <c r="AK335" s="139"/>
      <c r="AL335" s="139"/>
      <c r="AM335" s="139"/>
      <c r="AN335" s="139"/>
      <c r="AO335" s="139"/>
      <c r="AP335" s="139"/>
      <c r="AQ335" s="139"/>
    </row>
    <row r="336" spans="1:43" ht="12.75" customHeight="1">
      <c r="A336" s="139"/>
      <c r="B336" s="139"/>
      <c r="C336" s="139"/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</row>
    <row r="337" spans="1:43" ht="12.75" customHeight="1">
      <c r="A337" s="139"/>
      <c r="B337" s="139"/>
      <c r="C337" s="139"/>
      <c r="D337" s="139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</row>
    <row r="338" spans="1:43" ht="12.75" customHeight="1">
      <c r="A338" s="139"/>
      <c r="B338" s="139"/>
      <c r="C338" s="139"/>
      <c r="D338" s="139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</row>
    <row r="339" spans="1:43" ht="12.75" customHeight="1">
      <c r="A339" s="139"/>
      <c r="B339" s="139"/>
      <c r="C339" s="139"/>
      <c r="D339" s="139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</row>
    <row r="340" spans="1:43" ht="12.75" customHeight="1">
      <c r="A340" s="139"/>
      <c r="B340" s="139"/>
      <c r="C340" s="139"/>
      <c r="D340" s="139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  <c r="AA340" s="139"/>
      <c r="AB340" s="139"/>
      <c r="AC340" s="139"/>
      <c r="AD340" s="139"/>
      <c r="AE340" s="139"/>
      <c r="AF340" s="139"/>
      <c r="AG340" s="139"/>
      <c r="AH340" s="139"/>
      <c r="AI340" s="139"/>
      <c r="AJ340" s="139"/>
      <c r="AK340" s="139"/>
      <c r="AL340" s="139"/>
      <c r="AM340" s="139"/>
      <c r="AN340" s="139"/>
      <c r="AO340" s="139"/>
      <c r="AP340" s="139"/>
      <c r="AQ340" s="139"/>
    </row>
    <row r="341" spans="1:43" ht="12.75" customHeight="1">
      <c r="A341" s="139"/>
      <c r="B341" s="139"/>
      <c r="C341" s="139"/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  <c r="AA341" s="139"/>
      <c r="AB341" s="139"/>
      <c r="AC341" s="139"/>
      <c r="AD341" s="139"/>
      <c r="AE341" s="139"/>
      <c r="AF341" s="139"/>
      <c r="AG341" s="139"/>
      <c r="AH341" s="139"/>
      <c r="AI341" s="139"/>
      <c r="AJ341" s="139"/>
      <c r="AK341" s="139"/>
      <c r="AL341" s="139"/>
      <c r="AM341" s="139"/>
      <c r="AN341" s="139"/>
      <c r="AO341" s="139"/>
      <c r="AP341" s="139"/>
      <c r="AQ341" s="139"/>
    </row>
    <row r="342" spans="1:43" ht="12.75" customHeight="1">
      <c r="A342" s="139"/>
      <c r="B342" s="139"/>
      <c r="C342" s="139"/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</row>
    <row r="343" spans="1:43" ht="12.75" customHeight="1">
      <c r="A343" s="139"/>
      <c r="B343" s="139"/>
      <c r="C343" s="139"/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</row>
    <row r="344" spans="1:43" ht="12.75" customHeight="1">
      <c r="A344" s="139"/>
      <c r="B344" s="139"/>
      <c r="C344" s="139"/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</row>
    <row r="345" spans="1:43" ht="12.75" customHeight="1">
      <c r="A345" s="139"/>
      <c r="B345" s="139"/>
      <c r="C345" s="139"/>
      <c r="D345" s="139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</row>
    <row r="346" spans="1:43" ht="12.75" customHeight="1">
      <c r="A346" s="139"/>
      <c r="B346" s="139"/>
      <c r="C346" s="139"/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  <c r="AA346" s="139"/>
      <c r="AB346" s="139"/>
      <c r="AC346" s="139"/>
      <c r="AD346" s="139"/>
      <c r="AE346" s="139"/>
      <c r="AF346" s="139"/>
      <c r="AG346" s="139"/>
      <c r="AH346" s="139"/>
      <c r="AI346" s="139"/>
      <c r="AJ346" s="139"/>
      <c r="AK346" s="139"/>
      <c r="AL346" s="139"/>
      <c r="AM346" s="139"/>
      <c r="AN346" s="139"/>
      <c r="AO346" s="139"/>
      <c r="AP346" s="139"/>
      <c r="AQ346" s="139"/>
    </row>
    <row r="347" spans="1:43" ht="12.75" customHeight="1">
      <c r="A347" s="139"/>
      <c r="B347" s="139"/>
      <c r="C347" s="139"/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  <c r="AA347" s="139"/>
      <c r="AB347" s="139"/>
      <c r="AC347" s="139"/>
      <c r="AD347" s="139"/>
      <c r="AE347" s="139"/>
      <c r="AF347" s="139"/>
      <c r="AG347" s="139"/>
      <c r="AH347" s="139"/>
      <c r="AI347" s="139"/>
      <c r="AJ347" s="139"/>
      <c r="AK347" s="139"/>
      <c r="AL347" s="139"/>
      <c r="AM347" s="139"/>
      <c r="AN347" s="139"/>
      <c r="AO347" s="139"/>
      <c r="AP347" s="139"/>
      <c r="AQ347" s="139"/>
    </row>
    <row r="348" spans="1:43" ht="12.75" customHeight="1">
      <c r="A348" s="139"/>
      <c r="B348" s="139"/>
      <c r="C348" s="139"/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</row>
    <row r="349" spans="1:43" ht="12.75" customHeight="1">
      <c r="A349" s="139"/>
      <c r="B349" s="139"/>
      <c r="C349" s="139"/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</row>
    <row r="350" spans="1:43" ht="12.75" customHeight="1">
      <c r="A350" s="139"/>
      <c r="B350" s="139"/>
      <c r="C350" s="139"/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</row>
    <row r="351" spans="1:43" ht="12.75" customHeight="1">
      <c r="A351" s="139"/>
      <c r="B351" s="139"/>
      <c r="C351" s="139"/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</row>
    <row r="352" spans="1:43" ht="12.75" customHeight="1">
      <c r="A352" s="139"/>
      <c r="B352" s="139"/>
      <c r="C352" s="139"/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  <c r="AA352" s="139"/>
      <c r="AB352" s="139"/>
      <c r="AC352" s="139"/>
      <c r="AD352" s="139"/>
      <c r="AE352" s="139"/>
      <c r="AF352" s="139"/>
      <c r="AG352" s="139"/>
      <c r="AH352" s="139"/>
      <c r="AI352" s="139"/>
      <c r="AJ352" s="139"/>
      <c r="AK352" s="139"/>
      <c r="AL352" s="139"/>
      <c r="AM352" s="139"/>
      <c r="AN352" s="139"/>
      <c r="AO352" s="139"/>
      <c r="AP352" s="139"/>
      <c r="AQ352" s="139"/>
    </row>
    <row r="353" spans="1:43" ht="12.75" customHeight="1">
      <c r="A353" s="139"/>
      <c r="B353" s="139"/>
      <c r="C353" s="139"/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  <c r="AA353" s="139"/>
      <c r="AB353" s="139"/>
      <c r="AC353" s="139"/>
      <c r="AD353" s="139"/>
      <c r="AE353" s="139"/>
      <c r="AF353" s="139"/>
      <c r="AG353" s="139"/>
      <c r="AH353" s="139"/>
      <c r="AI353" s="139"/>
      <c r="AJ353" s="139"/>
      <c r="AK353" s="139"/>
      <c r="AL353" s="139"/>
      <c r="AM353" s="139"/>
      <c r="AN353" s="139"/>
      <c r="AO353" s="139"/>
      <c r="AP353" s="139"/>
      <c r="AQ353" s="139"/>
    </row>
    <row r="354" spans="1:43" ht="12.75" customHeight="1">
      <c r="A354" s="139"/>
      <c r="B354" s="139"/>
      <c r="C354" s="139"/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</row>
    <row r="355" spans="1:43" ht="12.75" customHeight="1">
      <c r="A355" s="139"/>
      <c r="B355" s="139"/>
      <c r="C355" s="139"/>
      <c r="D355" s="139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</row>
    <row r="356" spans="1:43" ht="12.75" customHeight="1">
      <c r="A356" s="139"/>
      <c r="B356" s="139"/>
      <c r="C356" s="139"/>
      <c r="D356" s="139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</row>
    <row r="357" spans="1:43" ht="12.75" customHeight="1">
      <c r="A357" s="139"/>
      <c r="B357" s="139"/>
      <c r="C357" s="139"/>
      <c r="D357" s="139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</row>
    <row r="358" spans="1:43" ht="12.75" customHeight="1">
      <c r="A358" s="139"/>
      <c r="B358" s="139"/>
      <c r="C358" s="139"/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  <c r="AA358" s="139"/>
      <c r="AB358" s="139"/>
      <c r="AC358" s="139"/>
      <c r="AD358" s="139"/>
      <c r="AE358" s="139"/>
      <c r="AF358" s="139"/>
      <c r="AG358" s="139"/>
      <c r="AH358" s="139"/>
      <c r="AI358" s="139"/>
      <c r="AJ358" s="139"/>
      <c r="AK358" s="139"/>
      <c r="AL358" s="139"/>
      <c r="AM358" s="139"/>
      <c r="AN358" s="139"/>
      <c r="AO358" s="139"/>
      <c r="AP358" s="139"/>
      <c r="AQ358" s="139"/>
    </row>
    <row r="359" spans="1:43" ht="12.75" customHeight="1">
      <c r="A359" s="139"/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39"/>
      <c r="O359" s="139"/>
      <c r="P359" s="139"/>
      <c r="Q359" s="139"/>
      <c r="R359" s="139"/>
      <c r="S359" s="139"/>
      <c r="T359" s="139"/>
      <c r="U359" s="139"/>
      <c r="V359" s="139"/>
      <c r="W359" s="139"/>
      <c r="X359" s="139"/>
      <c r="Y359" s="139"/>
      <c r="Z359" s="139"/>
      <c r="AA359" s="139"/>
      <c r="AB359" s="139"/>
      <c r="AC359" s="139"/>
      <c r="AD359" s="139"/>
      <c r="AE359" s="139"/>
      <c r="AF359" s="139"/>
      <c r="AG359" s="139"/>
      <c r="AH359" s="139"/>
      <c r="AI359" s="139"/>
      <c r="AJ359" s="139"/>
      <c r="AK359" s="139"/>
      <c r="AL359" s="139"/>
      <c r="AM359" s="139"/>
      <c r="AN359" s="139"/>
      <c r="AO359" s="139"/>
      <c r="AP359" s="139"/>
      <c r="AQ359" s="139"/>
    </row>
    <row r="360" spans="1:43" ht="12.75" customHeight="1">
      <c r="A360" s="139"/>
      <c r="B360" s="139"/>
      <c r="C360" s="139"/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39"/>
      <c r="Q360" s="139"/>
      <c r="R360" s="139"/>
      <c r="S360" s="139"/>
      <c r="T360" s="139"/>
      <c r="U360" s="139"/>
      <c r="V360" s="139"/>
      <c r="W360" s="139"/>
      <c r="X360" s="139"/>
      <c r="Y360" s="139"/>
      <c r="Z360" s="139"/>
      <c r="AA360" s="139"/>
      <c r="AB360" s="139"/>
      <c r="AC360" s="139"/>
      <c r="AD360" s="139"/>
      <c r="AE360" s="139"/>
      <c r="AF360" s="139"/>
      <c r="AG360" s="139"/>
      <c r="AH360" s="139"/>
      <c r="AI360" s="139"/>
      <c r="AJ360" s="139"/>
      <c r="AK360" s="139"/>
      <c r="AL360" s="139"/>
      <c r="AM360" s="139"/>
      <c r="AN360" s="139"/>
      <c r="AO360" s="139"/>
      <c r="AP360" s="139"/>
      <c r="AQ360" s="139"/>
    </row>
    <row r="361" spans="1:43" ht="12.75" customHeight="1">
      <c r="A361" s="139"/>
      <c r="B361" s="139"/>
      <c r="C361" s="139"/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  <c r="Y361" s="139"/>
      <c r="Z361" s="139"/>
      <c r="AA361" s="139"/>
      <c r="AB361" s="139"/>
      <c r="AC361" s="139"/>
      <c r="AD361" s="139"/>
      <c r="AE361" s="139"/>
      <c r="AF361" s="139"/>
      <c r="AG361" s="139"/>
      <c r="AH361" s="139"/>
      <c r="AI361" s="139"/>
      <c r="AJ361" s="139"/>
      <c r="AK361" s="139"/>
      <c r="AL361" s="139"/>
      <c r="AM361" s="139"/>
      <c r="AN361" s="139"/>
      <c r="AO361" s="139"/>
      <c r="AP361" s="139"/>
      <c r="AQ361" s="139"/>
    </row>
    <row r="362" spans="1:43" ht="12.75" customHeight="1">
      <c r="A362" s="139"/>
      <c r="B362" s="139"/>
      <c r="C362" s="139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139"/>
      <c r="P362" s="139"/>
      <c r="Q362" s="139"/>
      <c r="R362" s="139"/>
      <c r="S362" s="139"/>
      <c r="T362" s="139"/>
      <c r="U362" s="139"/>
      <c r="V362" s="139"/>
      <c r="W362" s="139"/>
      <c r="X362" s="139"/>
      <c r="Y362" s="139"/>
      <c r="Z362" s="139"/>
      <c r="AA362" s="139"/>
      <c r="AB362" s="139"/>
      <c r="AC362" s="139"/>
      <c r="AD362" s="139"/>
      <c r="AE362" s="139"/>
      <c r="AF362" s="139"/>
      <c r="AG362" s="139"/>
      <c r="AH362" s="139"/>
      <c r="AI362" s="139"/>
      <c r="AJ362" s="139"/>
      <c r="AK362" s="139"/>
      <c r="AL362" s="139"/>
      <c r="AM362" s="139"/>
      <c r="AN362" s="139"/>
      <c r="AO362" s="139"/>
      <c r="AP362" s="139"/>
      <c r="AQ362" s="139"/>
    </row>
    <row r="363" spans="1:43" ht="12.75" customHeight="1">
      <c r="A363" s="139"/>
      <c r="B363" s="139"/>
      <c r="C363" s="139"/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39"/>
      <c r="O363" s="139"/>
      <c r="P363" s="139"/>
      <c r="Q363" s="139"/>
      <c r="R363" s="139"/>
      <c r="S363" s="139"/>
      <c r="T363" s="139"/>
      <c r="U363" s="139"/>
      <c r="V363" s="139"/>
      <c r="W363" s="139"/>
      <c r="X363" s="139"/>
      <c r="Y363" s="139"/>
      <c r="Z363" s="139"/>
      <c r="AA363" s="139"/>
      <c r="AB363" s="139"/>
      <c r="AC363" s="139"/>
      <c r="AD363" s="139"/>
      <c r="AE363" s="139"/>
      <c r="AF363" s="139"/>
      <c r="AG363" s="139"/>
      <c r="AH363" s="139"/>
      <c r="AI363" s="139"/>
      <c r="AJ363" s="139"/>
      <c r="AK363" s="139"/>
      <c r="AL363" s="139"/>
      <c r="AM363" s="139"/>
      <c r="AN363" s="139"/>
      <c r="AO363" s="139"/>
      <c r="AP363" s="139"/>
      <c r="AQ363" s="139"/>
    </row>
    <row r="364" spans="1:43" ht="12.75" customHeight="1">
      <c r="A364" s="139"/>
      <c r="B364" s="139"/>
      <c r="C364" s="139"/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39"/>
      <c r="O364" s="139"/>
      <c r="P364" s="139"/>
      <c r="Q364" s="139"/>
      <c r="R364" s="139"/>
      <c r="S364" s="139"/>
      <c r="T364" s="139"/>
      <c r="U364" s="139"/>
      <c r="V364" s="139"/>
      <c r="W364" s="139"/>
      <c r="X364" s="139"/>
      <c r="Y364" s="139"/>
      <c r="Z364" s="139"/>
      <c r="AA364" s="139"/>
      <c r="AB364" s="139"/>
      <c r="AC364" s="139"/>
      <c r="AD364" s="139"/>
      <c r="AE364" s="139"/>
      <c r="AF364" s="139"/>
      <c r="AG364" s="139"/>
      <c r="AH364" s="139"/>
      <c r="AI364" s="139"/>
      <c r="AJ364" s="139"/>
      <c r="AK364" s="139"/>
      <c r="AL364" s="139"/>
      <c r="AM364" s="139"/>
      <c r="AN364" s="139"/>
      <c r="AO364" s="139"/>
      <c r="AP364" s="139"/>
      <c r="AQ364" s="139"/>
    </row>
    <row r="365" spans="1:43" ht="12.75" customHeight="1">
      <c r="A365" s="139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39"/>
      <c r="Q365" s="139"/>
      <c r="R365" s="139"/>
      <c r="S365" s="139"/>
      <c r="T365" s="139"/>
      <c r="U365" s="139"/>
      <c r="V365" s="139"/>
      <c r="W365" s="139"/>
      <c r="X365" s="139"/>
      <c r="Y365" s="139"/>
      <c r="Z365" s="139"/>
      <c r="AA365" s="139"/>
      <c r="AB365" s="139"/>
      <c r="AC365" s="139"/>
      <c r="AD365" s="139"/>
      <c r="AE365" s="139"/>
      <c r="AF365" s="139"/>
      <c r="AG365" s="139"/>
      <c r="AH365" s="139"/>
      <c r="AI365" s="139"/>
      <c r="AJ365" s="139"/>
      <c r="AK365" s="139"/>
      <c r="AL365" s="139"/>
      <c r="AM365" s="139"/>
      <c r="AN365" s="139"/>
      <c r="AO365" s="139"/>
      <c r="AP365" s="139"/>
      <c r="AQ365" s="139"/>
    </row>
    <row r="366" spans="1:43" ht="12.75" customHeight="1">
      <c r="A366" s="139"/>
      <c r="B366" s="139"/>
      <c r="C366" s="139"/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39"/>
      <c r="O366" s="139"/>
      <c r="P366" s="139"/>
      <c r="Q366" s="139"/>
      <c r="R366" s="139"/>
      <c r="S366" s="139"/>
      <c r="T366" s="139"/>
      <c r="U366" s="139"/>
      <c r="V366" s="139"/>
      <c r="W366" s="139"/>
      <c r="X366" s="139"/>
      <c r="Y366" s="139"/>
      <c r="Z366" s="139"/>
      <c r="AA366" s="139"/>
      <c r="AB366" s="139"/>
      <c r="AC366" s="139"/>
      <c r="AD366" s="139"/>
      <c r="AE366" s="139"/>
      <c r="AF366" s="139"/>
      <c r="AG366" s="139"/>
      <c r="AH366" s="139"/>
      <c r="AI366" s="139"/>
      <c r="AJ366" s="139"/>
      <c r="AK366" s="139"/>
      <c r="AL366" s="139"/>
      <c r="AM366" s="139"/>
      <c r="AN366" s="139"/>
      <c r="AO366" s="139"/>
      <c r="AP366" s="139"/>
      <c r="AQ366" s="139"/>
    </row>
    <row r="367" spans="1:43" ht="12.75" customHeight="1">
      <c r="A367" s="139"/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  <c r="Z367" s="139"/>
      <c r="AA367" s="139"/>
      <c r="AB367" s="139"/>
      <c r="AC367" s="139"/>
      <c r="AD367" s="139"/>
      <c r="AE367" s="139"/>
      <c r="AF367" s="139"/>
      <c r="AG367" s="139"/>
      <c r="AH367" s="139"/>
      <c r="AI367" s="139"/>
      <c r="AJ367" s="139"/>
      <c r="AK367" s="139"/>
      <c r="AL367" s="139"/>
      <c r="AM367" s="139"/>
      <c r="AN367" s="139"/>
      <c r="AO367" s="139"/>
      <c r="AP367" s="139"/>
      <c r="AQ367" s="139"/>
    </row>
    <row r="368" spans="1:43" ht="12.75" customHeight="1">
      <c r="A368" s="139"/>
      <c r="B368" s="139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  <c r="Z368" s="139"/>
      <c r="AA368" s="139"/>
      <c r="AB368" s="139"/>
      <c r="AC368" s="139"/>
      <c r="AD368" s="139"/>
      <c r="AE368" s="139"/>
      <c r="AF368" s="139"/>
      <c r="AG368" s="139"/>
      <c r="AH368" s="139"/>
      <c r="AI368" s="139"/>
      <c r="AJ368" s="139"/>
      <c r="AK368" s="139"/>
      <c r="AL368" s="139"/>
      <c r="AM368" s="139"/>
      <c r="AN368" s="139"/>
      <c r="AO368" s="139"/>
      <c r="AP368" s="139"/>
      <c r="AQ368" s="139"/>
    </row>
    <row r="369" spans="1:43" ht="12.75" customHeight="1">
      <c r="A369" s="139"/>
      <c r="B369" s="139"/>
      <c r="C369" s="139"/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39"/>
      <c r="O369" s="139"/>
      <c r="P369" s="139"/>
      <c r="Q369" s="139"/>
      <c r="R369" s="139"/>
      <c r="S369" s="139"/>
      <c r="T369" s="139"/>
      <c r="U369" s="139"/>
      <c r="V369" s="139"/>
      <c r="W369" s="139"/>
      <c r="X369" s="139"/>
      <c r="Y369" s="139"/>
      <c r="Z369" s="139"/>
      <c r="AA369" s="139"/>
      <c r="AB369" s="139"/>
      <c r="AC369" s="139"/>
      <c r="AD369" s="139"/>
      <c r="AE369" s="139"/>
      <c r="AF369" s="139"/>
      <c r="AG369" s="139"/>
      <c r="AH369" s="139"/>
      <c r="AI369" s="139"/>
      <c r="AJ369" s="139"/>
      <c r="AK369" s="139"/>
      <c r="AL369" s="139"/>
      <c r="AM369" s="139"/>
      <c r="AN369" s="139"/>
      <c r="AO369" s="139"/>
      <c r="AP369" s="139"/>
      <c r="AQ369" s="139"/>
    </row>
    <row r="370" spans="1:43" ht="12.75" customHeight="1">
      <c r="A370" s="139"/>
      <c r="B370" s="139"/>
      <c r="C370" s="139"/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39"/>
      <c r="P370" s="139"/>
      <c r="Q370" s="139"/>
      <c r="R370" s="139"/>
      <c r="S370" s="139"/>
      <c r="T370" s="139"/>
      <c r="U370" s="139"/>
      <c r="V370" s="139"/>
      <c r="W370" s="139"/>
      <c r="X370" s="139"/>
      <c r="Y370" s="139"/>
      <c r="Z370" s="139"/>
      <c r="AA370" s="139"/>
      <c r="AB370" s="139"/>
      <c r="AC370" s="139"/>
      <c r="AD370" s="139"/>
      <c r="AE370" s="139"/>
      <c r="AF370" s="139"/>
      <c r="AG370" s="139"/>
      <c r="AH370" s="139"/>
      <c r="AI370" s="139"/>
      <c r="AJ370" s="139"/>
      <c r="AK370" s="139"/>
      <c r="AL370" s="139"/>
      <c r="AM370" s="139"/>
      <c r="AN370" s="139"/>
      <c r="AO370" s="139"/>
      <c r="AP370" s="139"/>
      <c r="AQ370" s="139"/>
    </row>
    <row r="371" spans="1:43" ht="12.75" customHeight="1">
      <c r="A371" s="139"/>
      <c r="B371" s="139"/>
      <c r="C371" s="139"/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39"/>
      <c r="O371" s="139"/>
      <c r="P371" s="139"/>
      <c r="Q371" s="139"/>
      <c r="R371" s="139"/>
      <c r="S371" s="139"/>
      <c r="T371" s="139"/>
      <c r="U371" s="139"/>
      <c r="V371" s="139"/>
      <c r="W371" s="139"/>
      <c r="X371" s="139"/>
      <c r="Y371" s="139"/>
      <c r="Z371" s="139"/>
      <c r="AA371" s="139"/>
      <c r="AB371" s="139"/>
      <c r="AC371" s="139"/>
      <c r="AD371" s="139"/>
      <c r="AE371" s="139"/>
      <c r="AF371" s="139"/>
      <c r="AG371" s="139"/>
      <c r="AH371" s="139"/>
      <c r="AI371" s="139"/>
      <c r="AJ371" s="139"/>
      <c r="AK371" s="139"/>
      <c r="AL371" s="139"/>
      <c r="AM371" s="139"/>
      <c r="AN371" s="139"/>
      <c r="AO371" s="139"/>
      <c r="AP371" s="139"/>
      <c r="AQ371" s="139"/>
    </row>
    <row r="372" spans="1:43" ht="12.75" customHeight="1">
      <c r="A372" s="139"/>
      <c r="B372" s="139"/>
      <c r="C372" s="139"/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39"/>
      <c r="O372" s="139"/>
      <c r="P372" s="139"/>
      <c r="Q372" s="139"/>
      <c r="R372" s="139"/>
      <c r="S372" s="139"/>
      <c r="T372" s="139"/>
      <c r="U372" s="139"/>
      <c r="V372" s="139"/>
      <c r="W372" s="139"/>
      <c r="X372" s="139"/>
      <c r="Y372" s="139"/>
      <c r="Z372" s="139"/>
      <c r="AA372" s="139"/>
      <c r="AB372" s="139"/>
      <c r="AC372" s="139"/>
      <c r="AD372" s="139"/>
      <c r="AE372" s="139"/>
      <c r="AF372" s="139"/>
      <c r="AG372" s="139"/>
      <c r="AH372" s="139"/>
      <c r="AI372" s="139"/>
      <c r="AJ372" s="139"/>
      <c r="AK372" s="139"/>
      <c r="AL372" s="139"/>
      <c r="AM372" s="139"/>
      <c r="AN372" s="139"/>
      <c r="AO372" s="139"/>
      <c r="AP372" s="139"/>
      <c r="AQ372" s="139"/>
    </row>
    <row r="373" spans="1:43" ht="12.75" customHeight="1">
      <c r="A373" s="139"/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  <c r="Y373" s="139"/>
      <c r="Z373" s="139"/>
      <c r="AA373" s="139"/>
      <c r="AB373" s="139"/>
      <c r="AC373" s="139"/>
      <c r="AD373" s="139"/>
      <c r="AE373" s="139"/>
      <c r="AF373" s="139"/>
      <c r="AG373" s="139"/>
      <c r="AH373" s="139"/>
      <c r="AI373" s="139"/>
      <c r="AJ373" s="139"/>
      <c r="AK373" s="139"/>
      <c r="AL373" s="139"/>
      <c r="AM373" s="139"/>
      <c r="AN373" s="139"/>
      <c r="AO373" s="139"/>
      <c r="AP373" s="139"/>
      <c r="AQ373" s="139"/>
    </row>
    <row r="374" spans="1:43" ht="12.75" customHeight="1">
      <c r="A374" s="139"/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39"/>
      <c r="Q374" s="139"/>
      <c r="R374" s="139"/>
      <c r="S374" s="139"/>
      <c r="T374" s="139"/>
      <c r="U374" s="139"/>
      <c r="V374" s="139"/>
      <c r="W374" s="139"/>
      <c r="X374" s="139"/>
      <c r="Y374" s="139"/>
      <c r="Z374" s="139"/>
      <c r="AA374" s="139"/>
      <c r="AB374" s="139"/>
      <c r="AC374" s="139"/>
      <c r="AD374" s="139"/>
      <c r="AE374" s="139"/>
      <c r="AF374" s="139"/>
      <c r="AG374" s="139"/>
      <c r="AH374" s="139"/>
      <c r="AI374" s="139"/>
      <c r="AJ374" s="139"/>
      <c r="AK374" s="139"/>
      <c r="AL374" s="139"/>
      <c r="AM374" s="139"/>
      <c r="AN374" s="139"/>
      <c r="AO374" s="139"/>
      <c r="AP374" s="139"/>
      <c r="AQ374" s="139"/>
    </row>
    <row r="375" spans="1:43" ht="12.75" customHeight="1">
      <c r="A375" s="139"/>
      <c r="B375" s="139"/>
      <c r="C375" s="139"/>
      <c r="D375" s="139"/>
      <c r="E375" s="139"/>
      <c r="F375" s="139"/>
      <c r="G375" s="139"/>
      <c r="H375" s="139"/>
      <c r="I375" s="139"/>
      <c r="J375" s="139"/>
      <c r="K375" s="139"/>
      <c r="L375" s="139"/>
      <c r="M375" s="139"/>
      <c r="N375" s="139"/>
      <c r="O375" s="139"/>
      <c r="P375" s="139"/>
      <c r="Q375" s="139"/>
      <c r="R375" s="139"/>
      <c r="S375" s="139"/>
      <c r="T375" s="139"/>
      <c r="U375" s="139"/>
      <c r="V375" s="139"/>
      <c r="W375" s="139"/>
      <c r="X375" s="139"/>
      <c r="Y375" s="139"/>
      <c r="Z375" s="139"/>
      <c r="AA375" s="139"/>
      <c r="AB375" s="139"/>
      <c r="AC375" s="139"/>
      <c r="AD375" s="139"/>
      <c r="AE375" s="139"/>
      <c r="AF375" s="139"/>
      <c r="AG375" s="139"/>
      <c r="AH375" s="139"/>
      <c r="AI375" s="139"/>
      <c r="AJ375" s="139"/>
      <c r="AK375" s="139"/>
      <c r="AL375" s="139"/>
      <c r="AM375" s="139"/>
      <c r="AN375" s="139"/>
      <c r="AO375" s="139"/>
      <c r="AP375" s="139"/>
      <c r="AQ375" s="139"/>
    </row>
    <row r="376" spans="1:43" ht="12.75" customHeight="1">
      <c r="A376" s="139"/>
      <c r="B376" s="139"/>
      <c r="C376" s="139"/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39"/>
      <c r="O376" s="139"/>
      <c r="P376" s="139"/>
      <c r="Q376" s="139"/>
      <c r="R376" s="139"/>
      <c r="S376" s="139"/>
      <c r="T376" s="139"/>
      <c r="U376" s="139"/>
      <c r="V376" s="139"/>
      <c r="W376" s="139"/>
      <c r="X376" s="139"/>
      <c r="Y376" s="139"/>
      <c r="Z376" s="139"/>
      <c r="AA376" s="139"/>
      <c r="AB376" s="139"/>
      <c r="AC376" s="139"/>
      <c r="AD376" s="139"/>
      <c r="AE376" s="139"/>
      <c r="AF376" s="139"/>
      <c r="AG376" s="139"/>
      <c r="AH376" s="139"/>
      <c r="AI376" s="139"/>
      <c r="AJ376" s="139"/>
      <c r="AK376" s="139"/>
      <c r="AL376" s="139"/>
      <c r="AM376" s="139"/>
      <c r="AN376" s="139"/>
      <c r="AO376" s="139"/>
      <c r="AP376" s="139"/>
      <c r="AQ376" s="139"/>
    </row>
    <row r="377" spans="1:43" ht="12.75" customHeight="1">
      <c r="A377" s="139"/>
      <c r="B377" s="139"/>
      <c r="C377" s="139"/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39"/>
      <c r="O377" s="139"/>
      <c r="P377" s="139"/>
      <c r="Q377" s="139"/>
      <c r="R377" s="139"/>
      <c r="S377" s="139"/>
      <c r="T377" s="139"/>
      <c r="U377" s="139"/>
      <c r="V377" s="139"/>
      <c r="W377" s="139"/>
      <c r="X377" s="139"/>
      <c r="Y377" s="139"/>
      <c r="Z377" s="139"/>
      <c r="AA377" s="139"/>
      <c r="AB377" s="139"/>
      <c r="AC377" s="139"/>
      <c r="AD377" s="139"/>
      <c r="AE377" s="139"/>
      <c r="AF377" s="139"/>
      <c r="AG377" s="139"/>
      <c r="AH377" s="139"/>
      <c r="AI377" s="139"/>
      <c r="AJ377" s="139"/>
      <c r="AK377" s="139"/>
      <c r="AL377" s="139"/>
      <c r="AM377" s="139"/>
      <c r="AN377" s="139"/>
      <c r="AO377" s="139"/>
      <c r="AP377" s="139"/>
      <c r="AQ377" s="139"/>
    </row>
    <row r="378" spans="1:43" ht="12.75" customHeight="1">
      <c r="A378" s="139"/>
      <c r="B378" s="139"/>
      <c r="C378" s="139"/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39"/>
      <c r="O378" s="139"/>
      <c r="P378" s="139"/>
      <c r="Q378" s="139"/>
      <c r="R378" s="139"/>
      <c r="S378" s="139"/>
      <c r="T378" s="139"/>
      <c r="U378" s="139"/>
      <c r="V378" s="139"/>
      <c r="W378" s="139"/>
      <c r="X378" s="139"/>
      <c r="Y378" s="139"/>
      <c r="Z378" s="139"/>
      <c r="AA378" s="139"/>
      <c r="AB378" s="139"/>
      <c r="AC378" s="139"/>
      <c r="AD378" s="139"/>
      <c r="AE378" s="139"/>
      <c r="AF378" s="139"/>
      <c r="AG378" s="139"/>
      <c r="AH378" s="139"/>
      <c r="AI378" s="139"/>
      <c r="AJ378" s="139"/>
      <c r="AK378" s="139"/>
      <c r="AL378" s="139"/>
      <c r="AM378" s="139"/>
      <c r="AN378" s="139"/>
      <c r="AO378" s="139"/>
      <c r="AP378" s="139"/>
      <c r="AQ378" s="139"/>
    </row>
    <row r="379" spans="1:43" ht="12.75" customHeight="1">
      <c r="A379" s="139"/>
      <c r="B379" s="139"/>
      <c r="C379" s="139"/>
      <c r="D379" s="139"/>
      <c r="E379" s="139"/>
      <c r="F379" s="139"/>
      <c r="G379" s="139"/>
      <c r="H379" s="139"/>
      <c r="I379" s="139"/>
      <c r="J379" s="139"/>
      <c r="K379" s="139"/>
      <c r="L379" s="139"/>
      <c r="M379" s="139"/>
      <c r="N379" s="139"/>
      <c r="O379" s="139"/>
      <c r="P379" s="139"/>
      <c r="Q379" s="139"/>
      <c r="R379" s="139"/>
      <c r="S379" s="139"/>
      <c r="T379" s="139"/>
      <c r="U379" s="139"/>
      <c r="V379" s="139"/>
      <c r="W379" s="139"/>
      <c r="X379" s="139"/>
      <c r="Y379" s="139"/>
      <c r="Z379" s="139"/>
      <c r="AA379" s="139"/>
      <c r="AB379" s="139"/>
      <c r="AC379" s="139"/>
      <c r="AD379" s="139"/>
      <c r="AE379" s="139"/>
      <c r="AF379" s="139"/>
      <c r="AG379" s="139"/>
      <c r="AH379" s="139"/>
      <c r="AI379" s="139"/>
      <c r="AJ379" s="139"/>
      <c r="AK379" s="139"/>
      <c r="AL379" s="139"/>
      <c r="AM379" s="139"/>
      <c r="AN379" s="139"/>
      <c r="AO379" s="139"/>
      <c r="AP379" s="139"/>
      <c r="AQ379" s="139"/>
    </row>
    <row r="380" spans="1:43" ht="12.75" customHeight="1">
      <c r="A380" s="139"/>
      <c r="B380" s="139"/>
      <c r="C380" s="139"/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39"/>
      <c r="O380" s="139"/>
      <c r="P380" s="139"/>
      <c r="Q380" s="139"/>
      <c r="R380" s="139"/>
      <c r="S380" s="139"/>
      <c r="T380" s="139"/>
      <c r="U380" s="139"/>
      <c r="V380" s="139"/>
      <c r="W380" s="139"/>
      <c r="X380" s="139"/>
      <c r="Y380" s="139"/>
      <c r="Z380" s="139"/>
      <c r="AA380" s="139"/>
      <c r="AB380" s="139"/>
      <c r="AC380" s="139"/>
      <c r="AD380" s="139"/>
      <c r="AE380" s="139"/>
      <c r="AF380" s="139"/>
      <c r="AG380" s="139"/>
      <c r="AH380" s="139"/>
      <c r="AI380" s="139"/>
      <c r="AJ380" s="139"/>
      <c r="AK380" s="139"/>
      <c r="AL380" s="139"/>
      <c r="AM380" s="139"/>
      <c r="AN380" s="139"/>
      <c r="AO380" s="139"/>
      <c r="AP380" s="139"/>
      <c r="AQ380" s="139"/>
    </row>
    <row r="381" spans="1:43" ht="12.75" customHeight="1">
      <c r="A381" s="139"/>
      <c r="B381" s="139"/>
      <c r="C381" s="139"/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39"/>
      <c r="O381" s="139"/>
      <c r="P381" s="139"/>
      <c r="Q381" s="139"/>
      <c r="R381" s="139"/>
      <c r="S381" s="139"/>
      <c r="T381" s="139"/>
      <c r="U381" s="139"/>
      <c r="V381" s="139"/>
      <c r="W381" s="139"/>
      <c r="X381" s="139"/>
      <c r="Y381" s="139"/>
      <c r="Z381" s="139"/>
      <c r="AA381" s="139"/>
      <c r="AB381" s="139"/>
      <c r="AC381" s="139"/>
      <c r="AD381" s="139"/>
      <c r="AE381" s="139"/>
      <c r="AF381" s="139"/>
      <c r="AG381" s="139"/>
      <c r="AH381" s="139"/>
      <c r="AI381" s="139"/>
      <c r="AJ381" s="139"/>
      <c r="AK381" s="139"/>
      <c r="AL381" s="139"/>
      <c r="AM381" s="139"/>
      <c r="AN381" s="139"/>
      <c r="AO381" s="139"/>
      <c r="AP381" s="139"/>
      <c r="AQ381" s="139"/>
    </row>
    <row r="382" spans="1:43" ht="12.75" customHeight="1">
      <c r="A382" s="139"/>
      <c r="B382" s="139"/>
      <c r="C382" s="139"/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39"/>
      <c r="O382" s="139"/>
      <c r="P382" s="139"/>
      <c r="Q382" s="139"/>
      <c r="R382" s="139"/>
      <c r="S382" s="139"/>
      <c r="T382" s="139"/>
      <c r="U382" s="139"/>
      <c r="V382" s="139"/>
      <c r="W382" s="139"/>
      <c r="X382" s="139"/>
      <c r="Y382" s="139"/>
      <c r="Z382" s="139"/>
      <c r="AA382" s="139"/>
      <c r="AB382" s="139"/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</row>
    <row r="383" spans="1:43" ht="12.75" customHeight="1">
      <c r="A383" s="139"/>
      <c r="B383" s="139"/>
      <c r="C383" s="139"/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39"/>
      <c r="O383" s="139"/>
      <c r="P383" s="139"/>
      <c r="Q383" s="139"/>
      <c r="R383" s="139"/>
      <c r="S383" s="139"/>
      <c r="T383" s="139"/>
      <c r="U383" s="139"/>
      <c r="V383" s="139"/>
      <c r="W383" s="139"/>
      <c r="X383" s="139"/>
      <c r="Y383" s="139"/>
      <c r="Z383" s="139"/>
      <c r="AA383" s="139"/>
      <c r="AB383" s="139"/>
      <c r="AC383" s="139"/>
      <c r="AD383" s="139"/>
      <c r="AE383" s="139"/>
      <c r="AF383" s="139"/>
      <c r="AG383" s="139"/>
      <c r="AH383" s="139"/>
      <c r="AI383" s="139"/>
      <c r="AJ383" s="139"/>
      <c r="AK383" s="139"/>
      <c r="AL383" s="139"/>
      <c r="AM383" s="139"/>
      <c r="AN383" s="139"/>
      <c r="AO383" s="139"/>
      <c r="AP383" s="139"/>
      <c r="AQ383" s="139"/>
    </row>
    <row r="384" spans="1:43" ht="12.75" customHeight="1">
      <c r="A384" s="139"/>
      <c r="B384" s="139"/>
      <c r="C384" s="139"/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39"/>
      <c r="O384" s="139"/>
      <c r="P384" s="139"/>
      <c r="Q384" s="139"/>
      <c r="R384" s="139"/>
      <c r="S384" s="139"/>
      <c r="T384" s="139"/>
      <c r="U384" s="139"/>
      <c r="V384" s="139"/>
      <c r="W384" s="139"/>
      <c r="X384" s="139"/>
      <c r="Y384" s="139"/>
      <c r="Z384" s="139"/>
      <c r="AA384" s="139"/>
      <c r="AB384" s="139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</row>
    <row r="385" spans="1:43" ht="12.75" customHeight="1">
      <c r="A385" s="139"/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9"/>
      <c r="AD385" s="139"/>
      <c r="AE385" s="139"/>
      <c r="AF385" s="139"/>
      <c r="AG385" s="139"/>
      <c r="AH385" s="139"/>
      <c r="AI385" s="139"/>
      <c r="AJ385" s="139"/>
      <c r="AK385" s="139"/>
      <c r="AL385" s="139"/>
      <c r="AM385" s="139"/>
      <c r="AN385" s="139"/>
      <c r="AO385" s="139"/>
      <c r="AP385" s="139"/>
      <c r="AQ385" s="139"/>
    </row>
    <row r="386" spans="1:43" ht="12.75" customHeight="1">
      <c r="A386" s="139"/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9"/>
      <c r="AD386" s="139"/>
      <c r="AE386" s="139"/>
      <c r="AF386" s="139"/>
      <c r="AG386" s="139"/>
      <c r="AH386" s="139"/>
      <c r="AI386" s="139"/>
      <c r="AJ386" s="139"/>
      <c r="AK386" s="139"/>
      <c r="AL386" s="139"/>
      <c r="AM386" s="139"/>
      <c r="AN386" s="139"/>
      <c r="AO386" s="139"/>
      <c r="AP386" s="139"/>
      <c r="AQ386" s="139"/>
    </row>
    <row r="387" spans="1:43" ht="12.75" customHeight="1">
      <c r="A387" s="139"/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9"/>
      <c r="AD387" s="139"/>
      <c r="AE387" s="139"/>
      <c r="AF387" s="139"/>
      <c r="AG387" s="139"/>
      <c r="AH387" s="139"/>
      <c r="AI387" s="139"/>
      <c r="AJ387" s="139"/>
      <c r="AK387" s="139"/>
      <c r="AL387" s="139"/>
      <c r="AM387" s="139"/>
      <c r="AN387" s="139"/>
      <c r="AO387" s="139"/>
      <c r="AP387" s="139"/>
      <c r="AQ387" s="139"/>
    </row>
    <row r="388" spans="1:43" ht="12.75" customHeight="1">
      <c r="A388" s="139"/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9"/>
      <c r="AD388" s="139"/>
      <c r="AE388" s="139"/>
      <c r="AF388" s="139"/>
      <c r="AG388" s="139"/>
      <c r="AH388" s="139"/>
      <c r="AI388" s="139"/>
      <c r="AJ388" s="139"/>
      <c r="AK388" s="139"/>
      <c r="AL388" s="139"/>
      <c r="AM388" s="139"/>
      <c r="AN388" s="139"/>
      <c r="AO388" s="139"/>
      <c r="AP388" s="139"/>
      <c r="AQ388" s="139"/>
    </row>
    <row r="389" spans="1:43" ht="12.75" customHeight="1">
      <c r="A389" s="139"/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9"/>
      <c r="AD389" s="139"/>
      <c r="AE389" s="139"/>
      <c r="AF389" s="139"/>
      <c r="AG389" s="139"/>
      <c r="AH389" s="139"/>
      <c r="AI389" s="139"/>
      <c r="AJ389" s="139"/>
      <c r="AK389" s="139"/>
      <c r="AL389" s="139"/>
      <c r="AM389" s="139"/>
      <c r="AN389" s="139"/>
      <c r="AO389" s="139"/>
      <c r="AP389" s="139"/>
      <c r="AQ389" s="139"/>
    </row>
    <row r="390" spans="1:43" ht="12.75" customHeight="1">
      <c r="A390" s="139"/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9"/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</row>
    <row r="391" spans="1:43" ht="12.75" customHeight="1">
      <c r="A391" s="139"/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9"/>
      <c r="AD391" s="139"/>
      <c r="AE391" s="139"/>
      <c r="AF391" s="139"/>
      <c r="AG391" s="139"/>
      <c r="AH391" s="139"/>
      <c r="AI391" s="139"/>
      <c r="AJ391" s="139"/>
      <c r="AK391" s="139"/>
      <c r="AL391" s="139"/>
      <c r="AM391" s="139"/>
      <c r="AN391" s="139"/>
      <c r="AO391" s="139"/>
      <c r="AP391" s="139"/>
      <c r="AQ391" s="139"/>
    </row>
    <row r="392" spans="1:43" ht="12.75" customHeight="1">
      <c r="A392" s="139"/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9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</row>
    <row r="393" spans="1:43" ht="12.75" customHeight="1">
      <c r="A393" s="139"/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9"/>
      <c r="AD393" s="139"/>
      <c r="AE393" s="139"/>
      <c r="AF393" s="139"/>
      <c r="AG393" s="139"/>
      <c r="AH393" s="139"/>
      <c r="AI393" s="139"/>
      <c r="AJ393" s="139"/>
      <c r="AK393" s="139"/>
      <c r="AL393" s="139"/>
      <c r="AM393" s="139"/>
      <c r="AN393" s="139"/>
      <c r="AO393" s="139"/>
      <c r="AP393" s="139"/>
      <c r="AQ393" s="139"/>
    </row>
    <row r="394" spans="1:43" ht="12.75" customHeight="1">
      <c r="A394" s="139"/>
      <c r="B394" s="139"/>
      <c r="C394" s="139"/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  <c r="AA394" s="139"/>
      <c r="AB394" s="139"/>
      <c r="AC394" s="139"/>
      <c r="AD394" s="139"/>
      <c r="AE394" s="139"/>
      <c r="AF394" s="139"/>
      <c r="AG394" s="139"/>
      <c r="AH394" s="139"/>
      <c r="AI394" s="139"/>
      <c r="AJ394" s="139"/>
      <c r="AK394" s="139"/>
      <c r="AL394" s="139"/>
      <c r="AM394" s="139"/>
      <c r="AN394" s="139"/>
      <c r="AO394" s="139"/>
      <c r="AP394" s="139"/>
      <c r="AQ394" s="139"/>
    </row>
    <row r="395" spans="1:43" ht="12.75" customHeight="1">
      <c r="A395" s="139"/>
      <c r="B395" s="139"/>
      <c r="C395" s="139"/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  <c r="AA395" s="139"/>
      <c r="AB395" s="139"/>
      <c r="AC395" s="139"/>
      <c r="AD395" s="139"/>
      <c r="AE395" s="139"/>
      <c r="AF395" s="139"/>
      <c r="AG395" s="139"/>
      <c r="AH395" s="139"/>
      <c r="AI395" s="139"/>
      <c r="AJ395" s="139"/>
      <c r="AK395" s="139"/>
      <c r="AL395" s="139"/>
      <c r="AM395" s="139"/>
      <c r="AN395" s="139"/>
      <c r="AO395" s="139"/>
      <c r="AP395" s="139"/>
      <c r="AQ395" s="139"/>
    </row>
    <row r="396" spans="1:43" ht="12.75" customHeight="1">
      <c r="A396" s="139"/>
      <c r="B396" s="139"/>
      <c r="C396" s="139"/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  <c r="AA396" s="139"/>
      <c r="AB396" s="139"/>
      <c r="AC396" s="139"/>
      <c r="AD396" s="139"/>
      <c r="AE396" s="139"/>
      <c r="AF396" s="139"/>
      <c r="AG396" s="139"/>
      <c r="AH396" s="139"/>
      <c r="AI396" s="139"/>
      <c r="AJ396" s="139"/>
      <c r="AK396" s="139"/>
      <c r="AL396" s="139"/>
      <c r="AM396" s="139"/>
      <c r="AN396" s="139"/>
      <c r="AO396" s="139"/>
      <c r="AP396" s="139"/>
      <c r="AQ396" s="139"/>
    </row>
    <row r="397" spans="1:43" ht="12.75" customHeight="1">
      <c r="A397" s="139"/>
      <c r="B397" s="139"/>
      <c r="C397" s="139"/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  <c r="AA397" s="139"/>
      <c r="AB397" s="139"/>
      <c r="AC397" s="139"/>
      <c r="AD397" s="139"/>
      <c r="AE397" s="139"/>
      <c r="AF397" s="139"/>
      <c r="AG397" s="139"/>
      <c r="AH397" s="139"/>
      <c r="AI397" s="139"/>
      <c r="AJ397" s="139"/>
      <c r="AK397" s="139"/>
      <c r="AL397" s="139"/>
      <c r="AM397" s="139"/>
      <c r="AN397" s="139"/>
      <c r="AO397" s="139"/>
      <c r="AP397" s="139"/>
      <c r="AQ397" s="139"/>
    </row>
    <row r="398" spans="1:43" ht="12.75" customHeight="1">
      <c r="A398" s="139"/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  <c r="AA398" s="139"/>
      <c r="AB398" s="139"/>
      <c r="AC398" s="139"/>
      <c r="AD398" s="139"/>
      <c r="AE398" s="139"/>
      <c r="AF398" s="139"/>
      <c r="AG398" s="139"/>
      <c r="AH398" s="139"/>
      <c r="AI398" s="139"/>
      <c r="AJ398" s="139"/>
      <c r="AK398" s="139"/>
      <c r="AL398" s="139"/>
      <c r="AM398" s="139"/>
      <c r="AN398" s="139"/>
      <c r="AO398" s="139"/>
      <c r="AP398" s="139"/>
      <c r="AQ398" s="139"/>
    </row>
    <row r="399" spans="1:43" ht="12.75" customHeight="1">
      <c r="A399" s="139"/>
      <c r="B399" s="139"/>
      <c r="C399" s="139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  <c r="AA399" s="139"/>
      <c r="AB399" s="139"/>
      <c r="AC399" s="139"/>
      <c r="AD399" s="139"/>
      <c r="AE399" s="139"/>
      <c r="AF399" s="139"/>
      <c r="AG399" s="139"/>
      <c r="AH399" s="139"/>
      <c r="AI399" s="139"/>
      <c r="AJ399" s="139"/>
      <c r="AK399" s="139"/>
      <c r="AL399" s="139"/>
      <c r="AM399" s="139"/>
      <c r="AN399" s="139"/>
      <c r="AO399" s="139"/>
      <c r="AP399" s="139"/>
      <c r="AQ399" s="139"/>
    </row>
    <row r="400" spans="1:43" ht="12.75" customHeight="1">
      <c r="A400" s="139"/>
      <c r="B400" s="139"/>
      <c r="C400" s="139"/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  <c r="AA400" s="139"/>
      <c r="AB400" s="139"/>
      <c r="AC400" s="139"/>
      <c r="AD400" s="139"/>
      <c r="AE400" s="139"/>
      <c r="AF400" s="139"/>
      <c r="AG400" s="139"/>
      <c r="AH400" s="139"/>
      <c r="AI400" s="139"/>
      <c r="AJ400" s="139"/>
      <c r="AK400" s="139"/>
      <c r="AL400" s="139"/>
      <c r="AM400" s="139"/>
      <c r="AN400" s="139"/>
      <c r="AO400" s="139"/>
      <c r="AP400" s="139"/>
      <c r="AQ400" s="139"/>
    </row>
    <row r="401" spans="1:43" ht="12.75" customHeight="1">
      <c r="A401" s="139"/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  <c r="AA401" s="139"/>
      <c r="AB401" s="139"/>
      <c r="AC401" s="139"/>
      <c r="AD401" s="139"/>
      <c r="AE401" s="139"/>
      <c r="AF401" s="139"/>
      <c r="AG401" s="139"/>
      <c r="AH401" s="139"/>
      <c r="AI401" s="139"/>
      <c r="AJ401" s="139"/>
      <c r="AK401" s="139"/>
      <c r="AL401" s="139"/>
      <c r="AM401" s="139"/>
      <c r="AN401" s="139"/>
      <c r="AO401" s="139"/>
      <c r="AP401" s="139"/>
      <c r="AQ401" s="139"/>
    </row>
    <row r="402" spans="1:43" ht="12.75" customHeight="1">
      <c r="A402" s="139"/>
      <c r="B402" s="139"/>
      <c r="C402" s="139"/>
      <c r="D402" s="139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  <c r="AA402" s="139"/>
      <c r="AB402" s="139"/>
      <c r="AC402" s="139"/>
      <c r="AD402" s="139"/>
      <c r="AE402" s="139"/>
      <c r="AF402" s="139"/>
      <c r="AG402" s="139"/>
      <c r="AH402" s="139"/>
      <c r="AI402" s="139"/>
      <c r="AJ402" s="139"/>
      <c r="AK402" s="139"/>
      <c r="AL402" s="139"/>
      <c r="AM402" s="139"/>
      <c r="AN402" s="139"/>
      <c r="AO402" s="139"/>
      <c r="AP402" s="139"/>
      <c r="AQ402" s="139"/>
    </row>
    <row r="403" spans="1:43" ht="12.75" customHeight="1">
      <c r="A403" s="139"/>
      <c r="B403" s="139"/>
      <c r="C403" s="139"/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  <c r="AA403" s="139"/>
      <c r="AB403" s="139"/>
      <c r="AC403" s="139"/>
      <c r="AD403" s="139"/>
      <c r="AE403" s="139"/>
      <c r="AF403" s="139"/>
      <c r="AG403" s="139"/>
      <c r="AH403" s="139"/>
      <c r="AI403" s="139"/>
      <c r="AJ403" s="139"/>
      <c r="AK403" s="139"/>
      <c r="AL403" s="139"/>
      <c r="AM403" s="139"/>
      <c r="AN403" s="139"/>
      <c r="AO403" s="139"/>
      <c r="AP403" s="139"/>
      <c r="AQ403" s="139"/>
    </row>
    <row r="404" spans="1:43" ht="12.75" customHeight="1">
      <c r="A404" s="139"/>
      <c r="B404" s="139"/>
      <c r="C404" s="139"/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  <c r="AA404" s="139"/>
      <c r="AB404" s="139"/>
      <c r="AC404" s="139"/>
      <c r="AD404" s="139"/>
      <c r="AE404" s="139"/>
      <c r="AF404" s="139"/>
      <c r="AG404" s="139"/>
      <c r="AH404" s="139"/>
      <c r="AI404" s="139"/>
      <c r="AJ404" s="139"/>
      <c r="AK404" s="139"/>
      <c r="AL404" s="139"/>
      <c r="AM404" s="139"/>
      <c r="AN404" s="139"/>
      <c r="AO404" s="139"/>
      <c r="AP404" s="139"/>
      <c r="AQ404" s="139"/>
    </row>
    <row r="405" spans="1:43" ht="12.75" customHeight="1">
      <c r="A405" s="139"/>
      <c r="B405" s="139"/>
      <c r="C405" s="139"/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  <c r="AA405" s="139"/>
      <c r="AB405" s="139"/>
      <c r="AC405" s="139"/>
      <c r="AD405" s="139"/>
      <c r="AE405" s="139"/>
      <c r="AF405" s="139"/>
      <c r="AG405" s="139"/>
      <c r="AH405" s="139"/>
      <c r="AI405" s="139"/>
      <c r="AJ405" s="139"/>
      <c r="AK405" s="139"/>
      <c r="AL405" s="139"/>
      <c r="AM405" s="139"/>
      <c r="AN405" s="139"/>
      <c r="AO405" s="139"/>
      <c r="AP405" s="139"/>
      <c r="AQ405" s="139"/>
    </row>
    <row r="406" spans="1:43" ht="12.75" customHeight="1">
      <c r="A406" s="139"/>
      <c r="B406" s="13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  <c r="AA406" s="139"/>
      <c r="AB406" s="139"/>
      <c r="AC406" s="139"/>
      <c r="AD406" s="139"/>
      <c r="AE406" s="139"/>
      <c r="AF406" s="139"/>
      <c r="AG406" s="139"/>
      <c r="AH406" s="139"/>
      <c r="AI406" s="139"/>
      <c r="AJ406" s="139"/>
      <c r="AK406" s="139"/>
      <c r="AL406" s="139"/>
      <c r="AM406" s="139"/>
      <c r="AN406" s="139"/>
      <c r="AO406" s="139"/>
      <c r="AP406" s="139"/>
      <c r="AQ406" s="139"/>
    </row>
    <row r="407" spans="1:43" ht="12.75" customHeight="1">
      <c r="A407" s="139"/>
      <c r="B407" s="139"/>
      <c r="C407" s="139"/>
      <c r="D407" s="139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  <c r="AA407" s="139"/>
      <c r="AB407" s="139"/>
      <c r="AC407" s="139"/>
      <c r="AD407" s="139"/>
      <c r="AE407" s="139"/>
      <c r="AF407" s="139"/>
      <c r="AG407" s="139"/>
      <c r="AH407" s="139"/>
      <c r="AI407" s="139"/>
      <c r="AJ407" s="139"/>
      <c r="AK407" s="139"/>
      <c r="AL407" s="139"/>
      <c r="AM407" s="139"/>
      <c r="AN407" s="139"/>
      <c r="AO407" s="139"/>
      <c r="AP407" s="139"/>
      <c r="AQ407" s="139"/>
    </row>
    <row r="408" spans="1:43" ht="12.75" customHeight="1">
      <c r="A408" s="139"/>
      <c r="B408" s="139"/>
      <c r="C408" s="139"/>
      <c r="D408" s="139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  <c r="AA408" s="139"/>
      <c r="AB408" s="139"/>
      <c r="AC408" s="139"/>
      <c r="AD408" s="139"/>
      <c r="AE408" s="139"/>
      <c r="AF408" s="139"/>
      <c r="AG408" s="139"/>
      <c r="AH408" s="139"/>
      <c r="AI408" s="139"/>
      <c r="AJ408" s="139"/>
      <c r="AK408" s="139"/>
      <c r="AL408" s="139"/>
      <c r="AM408" s="139"/>
      <c r="AN408" s="139"/>
      <c r="AO408" s="139"/>
      <c r="AP408" s="139"/>
      <c r="AQ408" s="139"/>
    </row>
    <row r="409" spans="1:43" ht="12.75" customHeight="1">
      <c r="A409" s="139"/>
      <c r="B409" s="139"/>
      <c r="C409" s="139"/>
      <c r="D409" s="139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  <c r="AA409" s="139"/>
      <c r="AB409" s="139"/>
      <c r="AC409" s="139"/>
      <c r="AD409" s="139"/>
      <c r="AE409" s="139"/>
      <c r="AF409" s="139"/>
      <c r="AG409" s="139"/>
      <c r="AH409" s="139"/>
      <c r="AI409" s="139"/>
      <c r="AJ409" s="139"/>
      <c r="AK409" s="139"/>
      <c r="AL409" s="139"/>
      <c r="AM409" s="139"/>
      <c r="AN409" s="139"/>
      <c r="AO409" s="139"/>
      <c r="AP409" s="139"/>
      <c r="AQ409" s="139"/>
    </row>
    <row r="410" spans="1:43" ht="12.75" customHeight="1">
      <c r="A410" s="139"/>
      <c r="B410" s="139"/>
      <c r="C410" s="139"/>
      <c r="D410" s="139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  <c r="AA410" s="139"/>
      <c r="AB410" s="139"/>
      <c r="AC410" s="139"/>
      <c r="AD410" s="139"/>
      <c r="AE410" s="139"/>
      <c r="AF410" s="139"/>
      <c r="AG410" s="139"/>
      <c r="AH410" s="139"/>
      <c r="AI410" s="139"/>
      <c r="AJ410" s="139"/>
      <c r="AK410" s="139"/>
      <c r="AL410" s="139"/>
      <c r="AM410" s="139"/>
      <c r="AN410" s="139"/>
      <c r="AO410" s="139"/>
      <c r="AP410" s="139"/>
      <c r="AQ410" s="139"/>
    </row>
    <row r="411" spans="1:43" ht="12.75" customHeight="1">
      <c r="A411" s="139"/>
      <c r="B411" s="139"/>
      <c r="C411" s="139"/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  <c r="AA411" s="139"/>
      <c r="AB411" s="139"/>
      <c r="AC411" s="139"/>
      <c r="AD411" s="139"/>
      <c r="AE411" s="139"/>
      <c r="AF411" s="139"/>
      <c r="AG411" s="139"/>
      <c r="AH411" s="139"/>
      <c r="AI411" s="139"/>
      <c r="AJ411" s="139"/>
      <c r="AK411" s="139"/>
      <c r="AL411" s="139"/>
      <c r="AM411" s="139"/>
      <c r="AN411" s="139"/>
      <c r="AO411" s="139"/>
      <c r="AP411" s="139"/>
      <c r="AQ411" s="139"/>
    </row>
    <row r="412" spans="1:43" ht="12.75" customHeight="1">
      <c r="A412" s="139"/>
      <c r="B412" s="139"/>
      <c r="C412" s="139"/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  <c r="AA412" s="139"/>
      <c r="AB412" s="139"/>
      <c r="AC412" s="139"/>
      <c r="AD412" s="139"/>
      <c r="AE412" s="139"/>
      <c r="AF412" s="139"/>
      <c r="AG412" s="139"/>
      <c r="AH412" s="139"/>
      <c r="AI412" s="139"/>
      <c r="AJ412" s="139"/>
      <c r="AK412" s="139"/>
      <c r="AL412" s="139"/>
      <c r="AM412" s="139"/>
      <c r="AN412" s="139"/>
      <c r="AO412" s="139"/>
      <c r="AP412" s="139"/>
      <c r="AQ412" s="139"/>
    </row>
    <row r="413" spans="1:43" ht="12.75" customHeight="1">
      <c r="A413" s="139"/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9"/>
      <c r="AD413" s="139"/>
      <c r="AE413" s="139"/>
      <c r="AF413" s="139"/>
      <c r="AG413" s="139"/>
      <c r="AH413" s="139"/>
      <c r="AI413" s="139"/>
      <c r="AJ413" s="139"/>
      <c r="AK413" s="139"/>
      <c r="AL413" s="139"/>
      <c r="AM413" s="139"/>
      <c r="AN413" s="139"/>
      <c r="AO413" s="139"/>
      <c r="AP413" s="139"/>
      <c r="AQ413" s="139"/>
    </row>
    <row r="414" spans="1:43" ht="12.75" customHeight="1">
      <c r="A414" s="139"/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9"/>
      <c r="AD414" s="139"/>
      <c r="AE414" s="139"/>
      <c r="AF414" s="139"/>
      <c r="AG414" s="139"/>
      <c r="AH414" s="139"/>
      <c r="AI414" s="139"/>
      <c r="AJ414" s="139"/>
      <c r="AK414" s="139"/>
      <c r="AL414" s="139"/>
      <c r="AM414" s="139"/>
      <c r="AN414" s="139"/>
      <c r="AO414" s="139"/>
      <c r="AP414" s="139"/>
      <c r="AQ414" s="139"/>
    </row>
    <row r="415" spans="1:43" ht="12.75" customHeight="1">
      <c r="A415" s="139"/>
      <c r="B415" s="139"/>
      <c r="C415" s="139"/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  <c r="AA415" s="139"/>
      <c r="AB415" s="139"/>
      <c r="AC415" s="139"/>
      <c r="AD415" s="139"/>
      <c r="AE415" s="139"/>
      <c r="AF415" s="139"/>
      <c r="AG415" s="139"/>
      <c r="AH415" s="139"/>
      <c r="AI415" s="139"/>
      <c r="AJ415" s="139"/>
      <c r="AK415" s="139"/>
      <c r="AL415" s="139"/>
      <c r="AM415" s="139"/>
      <c r="AN415" s="139"/>
      <c r="AO415" s="139"/>
      <c r="AP415" s="139"/>
      <c r="AQ415" s="139"/>
    </row>
    <row r="416" spans="1:43" ht="12.75" customHeight="1">
      <c r="A416" s="139"/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9"/>
      <c r="AD416" s="139"/>
      <c r="AE416" s="139"/>
      <c r="AF416" s="139"/>
      <c r="AG416" s="139"/>
      <c r="AH416" s="139"/>
      <c r="AI416" s="139"/>
      <c r="AJ416" s="139"/>
      <c r="AK416" s="139"/>
      <c r="AL416" s="139"/>
      <c r="AM416" s="139"/>
      <c r="AN416" s="139"/>
      <c r="AO416" s="139"/>
      <c r="AP416" s="139"/>
      <c r="AQ416" s="139"/>
    </row>
    <row r="417" spans="1:43" ht="12.75" customHeight="1">
      <c r="A417" s="139"/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9"/>
      <c r="AD417" s="139"/>
      <c r="AE417" s="139"/>
      <c r="AF417" s="139"/>
      <c r="AG417" s="139"/>
      <c r="AH417" s="139"/>
      <c r="AI417" s="139"/>
      <c r="AJ417" s="139"/>
      <c r="AK417" s="139"/>
      <c r="AL417" s="139"/>
      <c r="AM417" s="139"/>
      <c r="AN417" s="139"/>
      <c r="AO417" s="139"/>
      <c r="AP417" s="139"/>
      <c r="AQ417" s="139"/>
    </row>
    <row r="418" spans="1:43" ht="12.75" customHeight="1">
      <c r="A418" s="139"/>
      <c r="B418" s="139"/>
      <c r="C418" s="139"/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  <c r="AA418" s="139"/>
      <c r="AB418" s="139"/>
      <c r="AC418" s="139"/>
      <c r="AD418" s="139"/>
      <c r="AE418" s="139"/>
      <c r="AF418" s="139"/>
      <c r="AG418" s="139"/>
      <c r="AH418" s="139"/>
      <c r="AI418" s="139"/>
      <c r="AJ418" s="139"/>
      <c r="AK418" s="139"/>
      <c r="AL418" s="139"/>
      <c r="AM418" s="139"/>
      <c r="AN418" s="139"/>
      <c r="AO418" s="139"/>
      <c r="AP418" s="139"/>
      <c r="AQ418" s="139"/>
    </row>
    <row r="419" spans="1:43" ht="12.75" customHeight="1">
      <c r="A419" s="139"/>
      <c r="B419" s="139"/>
      <c r="C419" s="139"/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39"/>
      <c r="O419" s="139"/>
      <c r="P419" s="139"/>
      <c r="Q419" s="139"/>
      <c r="R419" s="139"/>
      <c r="S419" s="139"/>
      <c r="T419" s="139"/>
      <c r="U419" s="139"/>
      <c r="V419" s="139"/>
      <c r="W419" s="139"/>
      <c r="X419" s="139"/>
      <c r="Y419" s="139"/>
      <c r="Z419" s="139"/>
      <c r="AA419" s="139"/>
      <c r="AB419" s="139"/>
      <c r="AC419" s="139"/>
      <c r="AD419" s="139"/>
      <c r="AE419" s="139"/>
      <c r="AF419" s="139"/>
      <c r="AG419" s="139"/>
      <c r="AH419" s="139"/>
      <c r="AI419" s="139"/>
      <c r="AJ419" s="139"/>
      <c r="AK419" s="139"/>
      <c r="AL419" s="139"/>
      <c r="AM419" s="139"/>
      <c r="AN419" s="139"/>
      <c r="AO419" s="139"/>
      <c r="AP419" s="139"/>
      <c r="AQ419" s="139"/>
    </row>
    <row r="420" spans="1:43" ht="12.75" customHeight="1">
      <c r="A420" s="139"/>
      <c r="B420" s="139"/>
      <c r="C420" s="139"/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39"/>
      <c r="O420" s="139"/>
      <c r="P420" s="139"/>
      <c r="Q420" s="139"/>
      <c r="R420" s="139"/>
      <c r="S420" s="139"/>
      <c r="T420" s="139"/>
      <c r="U420" s="139"/>
      <c r="V420" s="139"/>
      <c r="W420" s="139"/>
      <c r="X420" s="139"/>
      <c r="Y420" s="139"/>
      <c r="Z420" s="139"/>
      <c r="AA420" s="139"/>
      <c r="AB420" s="139"/>
      <c r="AC420" s="139"/>
      <c r="AD420" s="139"/>
      <c r="AE420" s="139"/>
      <c r="AF420" s="139"/>
      <c r="AG420" s="139"/>
      <c r="AH420" s="139"/>
      <c r="AI420" s="139"/>
      <c r="AJ420" s="139"/>
      <c r="AK420" s="139"/>
      <c r="AL420" s="139"/>
      <c r="AM420" s="139"/>
      <c r="AN420" s="139"/>
      <c r="AO420" s="139"/>
      <c r="AP420" s="139"/>
      <c r="AQ420" s="139"/>
    </row>
    <row r="421" spans="1:43" ht="12.75" customHeight="1">
      <c r="A421" s="139"/>
      <c r="B421" s="139"/>
      <c r="C421" s="139"/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/>
      <c r="U421" s="139"/>
      <c r="V421" s="139"/>
      <c r="W421" s="139"/>
      <c r="X421" s="139"/>
      <c r="Y421" s="139"/>
      <c r="Z421" s="139"/>
      <c r="AA421" s="139"/>
      <c r="AB421" s="139"/>
      <c r="AC421" s="139"/>
      <c r="AD421" s="139"/>
      <c r="AE421" s="139"/>
      <c r="AF421" s="139"/>
      <c r="AG421" s="139"/>
      <c r="AH421" s="139"/>
      <c r="AI421" s="139"/>
      <c r="AJ421" s="139"/>
      <c r="AK421" s="139"/>
      <c r="AL421" s="139"/>
      <c r="AM421" s="139"/>
      <c r="AN421" s="139"/>
      <c r="AO421" s="139"/>
      <c r="AP421" s="139"/>
      <c r="AQ421" s="139"/>
    </row>
    <row r="422" spans="1:43" ht="12.75" customHeight="1">
      <c r="A422" s="139"/>
      <c r="B422" s="139"/>
      <c r="C422" s="139"/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139"/>
      <c r="O422" s="139"/>
      <c r="P422" s="139"/>
      <c r="Q422" s="139"/>
      <c r="R422" s="139"/>
      <c r="S422" s="139"/>
      <c r="T422" s="139"/>
      <c r="U422" s="139"/>
      <c r="V422" s="139"/>
      <c r="W422" s="139"/>
      <c r="X422" s="139"/>
      <c r="Y422" s="139"/>
      <c r="Z422" s="139"/>
      <c r="AA422" s="139"/>
      <c r="AB422" s="139"/>
      <c r="AC422" s="139"/>
      <c r="AD422" s="139"/>
      <c r="AE422" s="139"/>
      <c r="AF422" s="139"/>
      <c r="AG422" s="139"/>
      <c r="AH422" s="139"/>
      <c r="AI422" s="139"/>
      <c r="AJ422" s="139"/>
      <c r="AK422" s="139"/>
      <c r="AL422" s="139"/>
      <c r="AM422" s="139"/>
      <c r="AN422" s="139"/>
      <c r="AO422" s="139"/>
      <c r="AP422" s="139"/>
      <c r="AQ422" s="139"/>
    </row>
    <row r="423" spans="1:43" ht="12.75" customHeight="1">
      <c r="A423" s="139"/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9"/>
      <c r="AD423" s="139"/>
      <c r="AE423" s="139"/>
      <c r="AF423" s="139"/>
      <c r="AG423" s="139"/>
      <c r="AH423" s="139"/>
      <c r="AI423" s="139"/>
      <c r="AJ423" s="139"/>
      <c r="AK423" s="139"/>
      <c r="AL423" s="139"/>
      <c r="AM423" s="139"/>
      <c r="AN423" s="139"/>
      <c r="AO423" s="139"/>
      <c r="AP423" s="139"/>
      <c r="AQ423" s="139"/>
    </row>
    <row r="424" spans="1:43" ht="12.75" customHeight="1">
      <c r="A424" s="139"/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9"/>
      <c r="AD424" s="139"/>
      <c r="AE424" s="139"/>
      <c r="AF424" s="139"/>
      <c r="AG424" s="139"/>
      <c r="AH424" s="139"/>
      <c r="AI424" s="139"/>
      <c r="AJ424" s="139"/>
      <c r="AK424" s="139"/>
      <c r="AL424" s="139"/>
      <c r="AM424" s="139"/>
      <c r="AN424" s="139"/>
      <c r="AO424" s="139"/>
      <c r="AP424" s="139"/>
      <c r="AQ424" s="139"/>
    </row>
    <row r="425" spans="1:43" ht="12.75" customHeight="1">
      <c r="A425" s="139"/>
      <c r="B425" s="139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9"/>
      <c r="V425" s="139"/>
      <c r="W425" s="139"/>
      <c r="X425" s="139"/>
      <c r="Y425" s="139"/>
      <c r="Z425" s="139"/>
      <c r="AA425" s="139"/>
      <c r="AB425" s="139"/>
      <c r="AC425" s="139"/>
      <c r="AD425" s="139"/>
      <c r="AE425" s="139"/>
      <c r="AF425" s="139"/>
      <c r="AG425" s="139"/>
      <c r="AH425" s="139"/>
      <c r="AI425" s="139"/>
      <c r="AJ425" s="139"/>
      <c r="AK425" s="139"/>
      <c r="AL425" s="139"/>
      <c r="AM425" s="139"/>
      <c r="AN425" s="139"/>
      <c r="AO425" s="139"/>
      <c r="AP425" s="139"/>
      <c r="AQ425" s="139"/>
    </row>
    <row r="426" spans="1:43" ht="12.75" customHeight="1">
      <c r="A426" s="139"/>
      <c r="B426" s="139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  <c r="Y426" s="139"/>
      <c r="Z426" s="139"/>
      <c r="AA426" s="139"/>
      <c r="AB426" s="139"/>
      <c r="AC426" s="139"/>
      <c r="AD426" s="139"/>
      <c r="AE426" s="139"/>
      <c r="AF426" s="139"/>
      <c r="AG426" s="139"/>
      <c r="AH426" s="139"/>
      <c r="AI426" s="139"/>
      <c r="AJ426" s="139"/>
      <c r="AK426" s="139"/>
      <c r="AL426" s="139"/>
      <c r="AM426" s="139"/>
      <c r="AN426" s="139"/>
      <c r="AO426" s="139"/>
      <c r="AP426" s="139"/>
      <c r="AQ426" s="139"/>
    </row>
    <row r="427" spans="1:43" ht="12.75" customHeight="1">
      <c r="A427" s="139"/>
      <c r="B427" s="139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  <c r="Y427" s="139"/>
      <c r="Z427" s="139"/>
      <c r="AA427" s="139"/>
      <c r="AB427" s="139"/>
      <c r="AC427" s="139"/>
      <c r="AD427" s="139"/>
      <c r="AE427" s="139"/>
      <c r="AF427" s="139"/>
      <c r="AG427" s="139"/>
      <c r="AH427" s="139"/>
      <c r="AI427" s="139"/>
      <c r="AJ427" s="139"/>
      <c r="AK427" s="139"/>
      <c r="AL427" s="139"/>
      <c r="AM427" s="139"/>
      <c r="AN427" s="139"/>
      <c r="AO427" s="139"/>
      <c r="AP427" s="139"/>
      <c r="AQ427" s="139"/>
    </row>
    <row r="428" spans="1:43" ht="12.75" customHeight="1">
      <c r="A428" s="139"/>
      <c r="B428" s="139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  <c r="Y428" s="139"/>
      <c r="Z428" s="139"/>
      <c r="AA428" s="139"/>
      <c r="AB428" s="139"/>
      <c r="AC428" s="139"/>
      <c r="AD428" s="139"/>
      <c r="AE428" s="139"/>
      <c r="AF428" s="139"/>
      <c r="AG428" s="139"/>
      <c r="AH428" s="139"/>
      <c r="AI428" s="139"/>
      <c r="AJ428" s="139"/>
      <c r="AK428" s="139"/>
      <c r="AL428" s="139"/>
      <c r="AM428" s="139"/>
      <c r="AN428" s="139"/>
      <c r="AO428" s="139"/>
      <c r="AP428" s="139"/>
      <c r="AQ428" s="139"/>
    </row>
    <row r="429" spans="1:43" ht="12.75" customHeight="1">
      <c r="A429" s="139"/>
      <c r="B429" s="139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  <c r="AB429" s="139"/>
      <c r="AC429" s="139"/>
      <c r="AD429" s="139"/>
      <c r="AE429" s="139"/>
      <c r="AF429" s="139"/>
      <c r="AG429" s="139"/>
      <c r="AH429" s="139"/>
      <c r="AI429" s="139"/>
      <c r="AJ429" s="139"/>
      <c r="AK429" s="139"/>
      <c r="AL429" s="139"/>
      <c r="AM429" s="139"/>
      <c r="AN429" s="139"/>
      <c r="AO429" s="139"/>
      <c r="AP429" s="139"/>
      <c r="AQ429" s="139"/>
    </row>
    <row r="430" spans="1:43" ht="12.75" customHeight="1">
      <c r="A430" s="139"/>
      <c r="B430" s="139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  <c r="AB430" s="139"/>
      <c r="AC430" s="139"/>
      <c r="AD430" s="139"/>
      <c r="AE430" s="139"/>
      <c r="AF430" s="139"/>
      <c r="AG430" s="139"/>
      <c r="AH430" s="139"/>
      <c r="AI430" s="139"/>
      <c r="AJ430" s="139"/>
      <c r="AK430" s="139"/>
      <c r="AL430" s="139"/>
      <c r="AM430" s="139"/>
      <c r="AN430" s="139"/>
      <c r="AO430" s="139"/>
      <c r="AP430" s="139"/>
      <c r="AQ430" s="139"/>
    </row>
    <row r="431" spans="1:43" ht="12.75" customHeight="1">
      <c r="A431" s="139"/>
      <c r="B431" s="139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  <c r="AB431" s="139"/>
      <c r="AC431" s="139"/>
      <c r="AD431" s="139"/>
      <c r="AE431" s="139"/>
      <c r="AF431" s="139"/>
      <c r="AG431" s="139"/>
      <c r="AH431" s="139"/>
      <c r="AI431" s="139"/>
      <c r="AJ431" s="139"/>
      <c r="AK431" s="139"/>
      <c r="AL431" s="139"/>
      <c r="AM431" s="139"/>
      <c r="AN431" s="139"/>
      <c r="AO431" s="139"/>
      <c r="AP431" s="139"/>
      <c r="AQ431" s="139"/>
    </row>
    <row r="432" spans="1:43" ht="12.75" customHeight="1">
      <c r="A432" s="139"/>
      <c r="B432" s="139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  <c r="AB432" s="139"/>
      <c r="AC432" s="139"/>
      <c r="AD432" s="139"/>
      <c r="AE432" s="139"/>
      <c r="AF432" s="139"/>
      <c r="AG432" s="139"/>
      <c r="AH432" s="139"/>
      <c r="AI432" s="139"/>
      <c r="AJ432" s="139"/>
      <c r="AK432" s="139"/>
      <c r="AL432" s="139"/>
      <c r="AM432" s="139"/>
      <c r="AN432" s="139"/>
      <c r="AO432" s="139"/>
      <c r="AP432" s="139"/>
      <c r="AQ432" s="139"/>
    </row>
    <row r="433" spans="1:43" ht="12.75" customHeight="1">
      <c r="A433" s="139"/>
      <c r="B433" s="139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  <c r="AB433" s="139"/>
      <c r="AC433" s="139"/>
      <c r="AD433" s="139"/>
      <c r="AE433" s="139"/>
      <c r="AF433" s="139"/>
      <c r="AG433" s="139"/>
      <c r="AH433" s="139"/>
      <c r="AI433" s="139"/>
      <c r="AJ433" s="139"/>
      <c r="AK433" s="139"/>
      <c r="AL433" s="139"/>
      <c r="AM433" s="139"/>
      <c r="AN433" s="139"/>
      <c r="AO433" s="139"/>
      <c r="AP433" s="139"/>
      <c r="AQ433" s="139"/>
    </row>
    <row r="434" spans="1:43" ht="12.75" customHeight="1">
      <c r="A434" s="139"/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  <c r="AB434" s="139"/>
      <c r="AC434" s="139"/>
      <c r="AD434" s="139"/>
      <c r="AE434" s="139"/>
      <c r="AF434" s="139"/>
      <c r="AG434" s="139"/>
      <c r="AH434" s="139"/>
      <c r="AI434" s="139"/>
      <c r="AJ434" s="139"/>
      <c r="AK434" s="139"/>
      <c r="AL434" s="139"/>
      <c r="AM434" s="139"/>
      <c r="AN434" s="139"/>
      <c r="AO434" s="139"/>
      <c r="AP434" s="139"/>
      <c r="AQ434" s="139"/>
    </row>
    <row r="435" spans="1:43" ht="12.75" customHeight="1">
      <c r="A435" s="139"/>
      <c r="B435" s="139"/>
      <c r="C435" s="139"/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  <c r="Y435" s="139"/>
      <c r="Z435" s="139"/>
      <c r="AA435" s="139"/>
      <c r="AB435" s="139"/>
      <c r="AC435" s="139"/>
      <c r="AD435" s="139"/>
      <c r="AE435" s="139"/>
      <c r="AF435" s="139"/>
      <c r="AG435" s="139"/>
      <c r="AH435" s="139"/>
      <c r="AI435" s="139"/>
      <c r="AJ435" s="139"/>
      <c r="AK435" s="139"/>
      <c r="AL435" s="139"/>
      <c r="AM435" s="139"/>
      <c r="AN435" s="139"/>
      <c r="AO435" s="139"/>
      <c r="AP435" s="139"/>
      <c r="AQ435" s="139"/>
    </row>
    <row r="436" spans="1:43" ht="12.75" customHeight="1">
      <c r="A436" s="139"/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9"/>
      <c r="AD436" s="139"/>
      <c r="AE436" s="139"/>
      <c r="AF436" s="139"/>
      <c r="AG436" s="139"/>
      <c r="AH436" s="139"/>
      <c r="AI436" s="139"/>
      <c r="AJ436" s="139"/>
      <c r="AK436" s="139"/>
      <c r="AL436" s="139"/>
      <c r="AM436" s="139"/>
      <c r="AN436" s="139"/>
      <c r="AO436" s="139"/>
      <c r="AP436" s="139"/>
      <c r="AQ436" s="139"/>
    </row>
    <row r="437" spans="1:43" ht="12.75" customHeight="1">
      <c r="A437" s="139"/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9"/>
      <c r="AD437" s="139"/>
      <c r="AE437" s="139"/>
      <c r="AF437" s="139"/>
      <c r="AG437" s="139"/>
      <c r="AH437" s="139"/>
      <c r="AI437" s="139"/>
      <c r="AJ437" s="139"/>
      <c r="AK437" s="139"/>
      <c r="AL437" s="139"/>
      <c r="AM437" s="139"/>
      <c r="AN437" s="139"/>
      <c r="AO437" s="139"/>
      <c r="AP437" s="139"/>
      <c r="AQ437" s="139"/>
    </row>
    <row r="438" spans="1:43" ht="12.75" customHeight="1">
      <c r="A438" s="139"/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9"/>
      <c r="AD438" s="139"/>
      <c r="AE438" s="139"/>
      <c r="AF438" s="139"/>
      <c r="AG438" s="139"/>
      <c r="AH438" s="139"/>
      <c r="AI438" s="139"/>
      <c r="AJ438" s="139"/>
      <c r="AK438" s="139"/>
      <c r="AL438" s="139"/>
      <c r="AM438" s="139"/>
      <c r="AN438" s="139"/>
      <c r="AO438" s="139"/>
      <c r="AP438" s="139"/>
      <c r="AQ438" s="139"/>
    </row>
    <row r="439" spans="1:43" ht="12.75" customHeight="1">
      <c r="A439" s="139"/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9"/>
      <c r="AD439" s="139"/>
      <c r="AE439" s="139"/>
      <c r="AF439" s="139"/>
      <c r="AG439" s="139"/>
      <c r="AH439" s="139"/>
      <c r="AI439" s="139"/>
      <c r="AJ439" s="139"/>
      <c r="AK439" s="139"/>
      <c r="AL439" s="139"/>
      <c r="AM439" s="139"/>
      <c r="AN439" s="139"/>
      <c r="AO439" s="139"/>
      <c r="AP439" s="139"/>
      <c r="AQ439" s="139"/>
    </row>
    <row r="440" spans="1:43" ht="12.75" customHeight="1">
      <c r="A440" s="139"/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9"/>
      <c r="AD440" s="139"/>
      <c r="AE440" s="139"/>
      <c r="AF440" s="139"/>
      <c r="AG440" s="139"/>
      <c r="AH440" s="139"/>
      <c r="AI440" s="139"/>
      <c r="AJ440" s="139"/>
      <c r="AK440" s="139"/>
      <c r="AL440" s="139"/>
      <c r="AM440" s="139"/>
      <c r="AN440" s="139"/>
      <c r="AO440" s="139"/>
      <c r="AP440" s="139"/>
      <c r="AQ440" s="139"/>
    </row>
    <row r="441" spans="1:43" ht="12.75" customHeight="1">
      <c r="A441" s="139"/>
      <c r="B441" s="139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  <c r="AB441" s="139"/>
      <c r="AC441" s="139"/>
      <c r="AD441" s="139"/>
      <c r="AE441" s="139"/>
      <c r="AF441" s="139"/>
      <c r="AG441" s="139"/>
      <c r="AH441" s="139"/>
      <c r="AI441" s="139"/>
      <c r="AJ441" s="139"/>
      <c r="AK441" s="139"/>
      <c r="AL441" s="139"/>
      <c r="AM441" s="139"/>
      <c r="AN441" s="139"/>
      <c r="AO441" s="139"/>
      <c r="AP441" s="139"/>
      <c r="AQ441" s="139"/>
    </row>
    <row r="442" spans="1:43" ht="12.75" customHeight="1">
      <c r="A442" s="139"/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9"/>
      <c r="AD442" s="139"/>
      <c r="AE442" s="139"/>
      <c r="AF442" s="139"/>
      <c r="AG442" s="139"/>
      <c r="AH442" s="139"/>
      <c r="AI442" s="139"/>
      <c r="AJ442" s="139"/>
      <c r="AK442" s="139"/>
      <c r="AL442" s="139"/>
      <c r="AM442" s="139"/>
      <c r="AN442" s="139"/>
      <c r="AO442" s="139"/>
      <c r="AP442" s="139"/>
      <c r="AQ442" s="139"/>
    </row>
    <row r="443" spans="1:43" ht="12.75" customHeight="1">
      <c r="A443" s="139"/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9"/>
      <c r="AD443" s="139"/>
      <c r="AE443" s="139"/>
      <c r="AF443" s="139"/>
      <c r="AG443" s="139"/>
      <c r="AH443" s="139"/>
      <c r="AI443" s="139"/>
      <c r="AJ443" s="139"/>
      <c r="AK443" s="139"/>
      <c r="AL443" s="139"/>
      <c r="AM443" s="139"/>
      <c r="AN443" s="139"/>
      <c r="AO443" s="139"/>
      <c r="AP443" s="139"/>
      <c r="AQ443" s="139"/>
    </row>
    <row r="444" spans="1:43" ht="12.75" customHeight="1">
      <c r="A444" s="139"/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9"/>
      <c r="AD444" s="139"/>
      <c r="AE444" s="139"/>
      <c r="AF444" s="139"/>
      <c r="AG444" s="139"/>
      <c r="AH444" s="139"/>
      <c r="AI444" s="139"/>
      <c r="AJ444" s="139"/>
      <c r="AK444" s="139"/>
      <c r="AL444" s="139"/>
      <c r="AM444" s="139"/>
      <c r="AN444" s="139"/>
      <c r="AO444" s="139"/>
      <c r="AP444" s="139"/>
      <c r="AQ444" s="139"/>
    </row>
    <row r="445" spans="1:43" ht="12.75" customHeight="1">
      <c r="A445" s="139"/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9"/>
      <c r="AD445" s="139"/>
      <c r="AE445" s="139"/>
      <c r="AF445" s="139"/>
      <c r="AG445" s="139"/>
      <c r="AH445" s="139"/>
      <c r="AI445" s="139"/>
      <c r="AJ445" s="139"/>
      <c r="AK445" s="139"/>
      <c r="AL445" s="139"/>
      <c r="AM445" s="139"/>
      <c r="AN445" s="139"/>
      <c r="AO445" s="139"/>
      <c r="AP445" s="139"/>
      <c r="AQ445" s="139"/>
    </row>
    <row r="446" spans="1:43" ht="12.75" customHeight="1">
      <c r="A446" s="139"/>
      <c r="B446" s="139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  <c r="AB446" s="139"/>
      <c r="AC446" s="139"/>
      <c r="AD446" s="139"/>
      <c r="AE446" s="139"/>
      <c r="AF446" s="139"/>
      <c r="AG446" s="139"/>
      <c r="AH446" s="139"/>
      <c r="AI446" s="139"/>
      <c r="AJ446" s="139"/>
      <c r="AK446" s="139"/>
      <c r="AL446" s="139"/>
      <c r="AM446" s="139"/>
      <c r="AN446" s="139"/>
      <c r="AO446" s="139"/>
      <c r="AP446" s="139"/>
      <c r="AQ446" s="139"/>
    </row>
    <row r="447" spans="1:43" ht="12.75" customHeight="1">
      <c r="A447" s="139"/>
      <c r="B447" s="139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  <c r="AB447" s="139"/>
      <c r="AC447" s="139"/>
      <c r="AD447" s="139"/>
      <c r="AE447" s="139"/>
      <c r="AF447" s="139"/>
      <c r="AG447" s="139"/>
      <c r="AH447" s="139"/>
      <c r="AI447" s="139"/>
      <c r="AJ447" s="139"/>
      <c r="AK447" s="139"/>
      <c r="AL447" s="139"/>
      <c r="AM447" s="139"/>
      <c r="AN447" s="139"/>
      <c r="AO447" s="139"/>
      <c r="AP447" s="139"/>
      <c r="AQ447" s="139"/>
    </row>
    <row r="448" spans="1:43" ht="12.75" customHeight="1">
      <c r="A448" s="139"/>
      <c r="B448" s="139"/>
      <c r="C448" s="139"/>
      <c r="D448" s="139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  <c r="AA448" s="139"/>
      <c r="AB448" s="139"/>
      <c r="AC448" s="139"/>
      <c r="AD448" s="139"/>
      <c r="AE448" s="139"/>
      <c r="AF448" s="139"/>
      <c r="AG448" s="139"/>
      <c r="AH448" s="139"/>
      <c r="AI448" s="139"/>
      <c r="AJ448" s="139"/>
      <c r="AK448" s="139"/>
      <c r="AL448" s="139"/>
      <c r="AM448" s="139"/>
      <c r="AN448" s="139"/>
      <c r="AO448" s="139"/>
      <c r="AP448" s="139"/>
      <c r="AQ448" s="139"/>
    </row>
    <row r="449" spans="1:43" ht="12.75" customHeight="1">
      <c r="A449" s="139"/>
      <c r="B449" s="139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  <c r="AB449" s="139"/>
      <c r="AC449" s="139"/>
      <c r="AD449" s="139"/>
      <c r="AE449" s="139"/>
      <c r="AF449" s="139"/>
      <c r="AG449" s="139"/>
      <c r="AH449" s="139"/>
      <c r="AI449" s="139"/>
      <c r="AJ449" s="139"/>
      <c r="AK449" s="139"/>
      <c r="AL449" s="139"/>
      <c r="AM449" s="139"/>
      <c r="AN449" s="139"/>
      <c r="AO449" s="139"/>
      <c r="AP449" s="139"/>
      <c r="AQ449" s="139"/>
    </row>
    <row r="450" spans="1:43" ht="12.75" customHeight="1">
      <c r="A450" s="139"/>
      <c r="B450" s="139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  <c r="AB450" s="139"/>
      <c r="AC450" s="139"/>
      <c r="AD450" s="139"/>
      <c r="AE450" s="139"/>
      <c r="AF450" s="139"/>
      <c r="AG450" s="139"/>
      <c r="AH450" s="139"/>
      <c r="AI450" s="139"/>
      <c r="AJ450" s="139"/>
      <c r="AK450" s="139"/>
      <c r="AL450" s="139"/>
      <c r="AM450" s="139"/>
      <c r="AN450" s="139"/>
      <c r="AO450" s="139"/>
      <c r="AP450" s="139"/>
      <c r="AQ450" s="139"/>
    </row>
    <row r="451" spans="1:43" ht="12.75" customHeight="1">
      <c r="A451" s="139"/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9"/>
      <c r="AD451" s="139"/>
      <c r="AE451" s="139"/>
      <c r="AF451" s="139"/>
      <c r="AG451" s="139"/>
      <c r="AH451" s="139"/>
      <c r="AI451" s="139"/>
      <c r="AJ451" s="139"/>
      <c r="AK451" s="139"/>
      <c r="AL451" s="139"/>
      <c r="AM451" s="139"/>
      <c r="AN451" s="139"/>
      <c r="AO451" s="139"/>
      <c r="AP451" s="139"/>
      <c r="AQ451" s="139"/>
    </row>
    <row r="452" spans="1:43" ht="12.75" customHeight="1">
      <c r="A452" s="139"/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9"/>
      <c r="AD452" s="139"/>
      <c r="AE452" s="139"/>
      <c r="AF452" s="139"/>
      <c r="AG452" s="139"/>
      <c r="AH452" s="139"/>
      <c r="AI452" s="139"/>
      <c r="AJ452" s="139"/>
      <c r="AK452" s="139"/>
      <c r="AL452" s="139"/>
      <c r="AM452" s="139"/>
      <c r="AN452" s="139"/>
      <c r="AO452" s="139"/>
      <c r="AP452" s="139"/>
      <c r="AQ452" s="139"/>
    </row>
    <row r="453" spans="1:43" ht="12.75" customHeight="1">
      <c r="A453" s="139"/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9"/>
      <c r="AD453" s="139"/>
      <c r="AE453" s="139"/>
      <c r="AF453" s="139"/>
      <c r="AG453" s="139"/>
      <c r="AH453" s="139"/>
      <c r="AI453" s="139"/>
      <c r="AJ453" s="139"/>
      <c r="AK453" s="139"/>
      <c r="AL453" s="139"/>
      <c r="AM453" s="139"/>
      <c r="AN453" s="139"/>
      <c r="AO453" s="139"/>
      <c r="AP453" s="139"/>
      <c r="AQ453" s="139"/>
    </row>
    <row r="454" spans="1:43" ht="12.75" customHeight="1">
      <c r="A454" s="139"/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9"/>
      <c r="AD454" s="139"/>
      <c r="AE454" s="139"/>
      <c r="AF454" s="139"/>
      <c r="AG454" s="139"/>
      <c r="AH454" s="139"/>
      <c r="AI454" s="139"/>
      <c r="AJ454" s="139"/>
      <c r="AK454" s="139"/>
      <c r="AL454" s="139"/>
      <c r="AM454" s="139"/>
      <c r="AN454" s="139"/>
      <c r="AO454" s="139"/>
      <c r="AP454" s="139"/>
      <c r="AQ454" s="139"/>
    </row>
    <row r="455" spans="1:43" ht="12.75" customHeight="1">
      <c r="A455" s="139"/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9"/>
      <c r="AD455" s="139"/>
      <c r="AE455" s="139"/>
      <c r="AF455" s="139"/>
      <c r="AG455" s="139"/>
      <c r="AH455" s="139"/>
      <c r="AI455" s="139"/>
      <c r="AJ455" s="139"/>
      <c r="AK455" s="139"/>
      <c r="AL455" s="139"/>
      <c r="AM455" s="139"/>
      <c r="AN455" s="139"/>
      <c r="AO455" s="139"/>
      <c r="AP455" s="139"/>
      <c r="AQ455" s="139"/>
    </row>
    <row r="456" spans="1:43" ht="12.75" customHeight="1">
      <c r="A456" s="139"/>
      <c r="B456" s="139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  <c r="AB456" s="139"/>
      <c r="AC456" s="139"/>
      <c r="AD456" s="139"/>
      <c r="AE456" s="139"/>
      <c r="AF456" s="139"/>
      <c r="AG456" s="139"/>
      <c r="AH456" s="139"/>
      <c r="AI456" s="139"/>
      <c r="AJ456" s="139"/>
      <c r="AK456" s="139"/>
      <c r="AL456" s="139"/>
      <c r="AM456" s="139"/>
      <c r="AN456" s="139"/>
      <c r="AO456" s="139"/>
      <c r="AP456" s="139"/>
      <c r="AQ456" s="139"/>
    </row>
    <row r="457" spans="1:43" ht="12.75" customHeight="1">
      <c r="A457" s="139"/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9"/>
      <c r="AD457" s="139"/>
      <c r="AE457" s="139"/>
      <c r="AF457" s="139"/>
      <c r="AG457" s="139"/>
      <c r="AH457" s="139"/>
      <c r="AI457" s="139"/>
      <c r="AJ457" s="139"/>
      <c r="AK457" s="139"/>
      <c r="AL457" s="139"/>
      <c r="AM457" s="139"/>
      <c r="AN457" s="139"/>
      <c r="AO457" s="139"/>
      <c r="AP457" s="139"/>
      <c r="AQ457" s="139"/>
    </row>
    <row r="458" spans="1:43" ht="12.75" customHeight="1">
      <c r="A458" s="139"/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9"/>
      <c r="AD458" s="139"/>
      <c r="AE458" s="139"/>
      <c r="AF458" s="139"/>
      <c r="AG458" s="139"/>
      <c r="AH458" s="139"/>
      <c r="AI458" s="139"/>
      <c r="AJ458" s="139"/>
      <c r="AK458" s="139"/>
      <c r="AL458" s="139"/>
      <c r="AM458" s="139"/>
      <c r="AN458" s="139"/>
      <c r="AO458" s="139"/>
      <c r="AP458" s="139"/>
      <c r="AQ458" s="139"/>
    </row>
    <row r="459" spans="1:43" ht="12.75" customHeight="1">
      <c r="A459" s="139"/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9"/>
      <c r="AD459" s="139"/>
      <c r="AE459" s="139"/>
      <c r="AF459" s="139"/>
      <c r="AG459" s="139"/>
      <c r="AH459" s="139"/>
      <c r="AI459" s="139"/>
      <c r="AJ459" s="139"/>
      <c r="AK459" s="139"/>
      <c r="AL459" s="139"/>
      <c r="AM459" s="139"/>
      <c r="AN459" s="139"/>
      <c r="AO459" s="139"/>
      <c r="AP459" s="139"/>
      <c r="AQ459" s="139"/>
    </row>
    <row r="460" spans="1:43" ht="12.75" customHeight="1">
      <c r="A460" s="139"/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9"/>
      <c r="AD460" s="139"/>
      <c r="AE460" s="139"/>
      <c r="AF460" s="139"/>
      <c r="AG460" s="139"/>
      <c r="AH460" s="139"/>
      <c r="AI460" s="139"/>
      <c r="AJ460" s="139"/>
      <c r="AK460" s="139"/>
      <c r="AL460" s="139"/>
      <c r="AM460" s="139"/>
      <c r="AN460" s="139"/>
      <c r="AO460" s="139"/>
      <c r="AP460" s="139"/>
      <c r="AQ460" s="139"/>
    </row>
    <row r="461" spans="1:43" ht="12.75" customHeight="1">
      <c r="A461" s="139"/>
      <c r="B461" s="139"/>
      <c r="C461" s="139"/>
      <c r="D461" s="139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  <c r="S461" s="139"/>
      <c r="T461" s="139"/>
      <c r="U461" s="139"/>
      <c r="V461" s="139"/>
      <c r="W461" s="139"/>
      <c r="X461" s="139"/>
      <c r="Y461" s="139"/>
      <c r="Z461" s="139"/>
      <c r="AA461" s="139"/>
      <c r="AB461" s="139"/>
      <c r="AC461" s="139"/>
      <c r="AD461" s="139"/>
      <c r="AE461" s="139"/>
      <c r="AF461" s="139"/>
      <c r="AG461" s="139"/>
      <c r="AH461" s="139"/>
      <c r="AI461" s="139"/>
      <c r="AJ461" s="139"/>
      <c r="AK461" s="139"/>
      <c r="AL461" s="139"/>
      <c r="AM461" s="139"/>
      <c r="AN461" s="139"/>
      <c r="AO461" s="139"/>
      <c r="AP461" s="139"/>
      <c r="AQ461" s="139"/>
    </row>
    <row r="462" spans="1:43" ht="12.75" customHeight="1">
      <c r="A462" s="139"/>
      <c r="B462" s="139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  <c r="AB462" s="139"/>
      <c r="AC462" s="139"/>
      <c r="AD462" s="139"/>
      <c r="AE462" s="139"/>
      <c r="AF462" s="139"/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</row>
    <row r="463" spans="1:43" ht="12.75" customHeight="1">
      <c r="A463" s="139"/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9"/>
      <c r="AD463" s="139"/>
      <c r="AE463" s="139"/>
      <c r="AF463" s="139"/>
      <c r="AG463" s="139"/>
      <c r="AH463" s="139"/>
      <c r="AI463" s="139"/>
      <c r="AJ463" s="139"/>
      <c r="AK463" s="139"/>
      <c r="AL463" s="139"/>
      <c r="AM463" s="139"/>
      <c r="AN463" s="139"/>
      <c r="AO463" s="139"/>
      <c r="AP463" s="139"/>
      <c r="AQ463" s="139"/>
    </row>
    <row r="464" spans="1:43" ht="12.75" customHeight="1">
      <c r="A464" s="139"/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9"/>
      <c r="AD464" s="139"/>
      <c r="AE464" s="139"/>
      <c r="AF464" s="139"/>
      <c r="AG464" s="139"/>
      <c r="AH464" s="139"/>
      <c r="AI464" s="139"/>
      <c r="AJ464" s="139"/>
      <c r="AK464" s="139"/>
      <c r="AL464" s="139"/>
      <c r="AM464" s="139"/>
      <c r="AN464" s="139"/>
      <c r="AO464" s="139"/>
      <c r="AP464" s="139"/>
      <c r="AQ464" s="139"/>
    </row>
    <row r="465" spans="1:43" ht="12.75" customHeight="1">
      <c r="A465" s="139"/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9"/>
      <c r="AD465" s="139"/>
      <c r="AE465" s="139"/>
      <c r="AF465" s="139"/>
      <c r="AG465" s="139"/>
      <c r="AH465" s="139"/>
      <c r="AI465" s="139"/>
      <c r="AJ465" s="139"/>
      <c r="AK465" s="139"/>
      <c r="AL465" s="139"/>
      <c r="AM465" s="139"/>
      <c r="AN465" s="139"/>
      <c r="AO465" s="139"/>
      <c r="AP465" s="139"/>
      <c r="AQ465" s="139"/>
    </row>
    <row r="466" spans="1:43" ht="12.75" customHeight="1">
      <c r="A466" s="139"/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9"/>
      <c r="AD466" s="139"/>
      <c r="AE466" s="139"/>
      <c r="AF466" s="139"/>
      <c r="AG466" s="139"/>
      <c r="AH466" s="139"/>
      <c r="AI466" s="139"/>
      <c r="AJ466" s="139"/>
      <c r="AK466" s="139"/>
      <c r="AL466" s="139"/>
      <c r="AM466" s="139"/>
      <c r="AN466" s="139"/>
      <c r="AO466" s="139"/>
      <c r="AP466" s="139"/>
      <c r="AQ466" s="139"/>
    </row>
    <row r="467" spans="1:43" ht="12.75" customHeight="1">
      <c r="A467" s="139"/>
      <c r="B467" s="139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  <c r="AB467" s="139"/>
      <c r="AC467" s="139"/>
      <c r="AD467" s="139"/>
      <c r="AE467" s="139"/>
      <c r="AF467" s="139"/>
      <c r="AG467" s="139"/>
      <c r="AH467" s="139"/>
      <c r="AI467" s="139"/>
      <c r="AJ467" s="139"/>
      <c r="AK467" s="139"/>
      <c r="AL467" s="139"/>
      <c r="AM467" s="139"/>
      <c r="AN467" s="139"/>
      <c r="AO467" s="139"/>
      <c r="AP467" s="139"/>
      <c r="AQ467" s="139"/>
    </row>
    <row r="468" spans="1:43" ht="12.75" customHeight="1">
      <c r="A468" s="139"/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9"/>
      <c r="AD468" s="139"/>
      <c r="AE468" s="139"/>
      <c r="AF468" s="139"/>
      <c r="AG468" s="139"/>
      <c r="AH468" s="139"/>
      <c r="AI468" s="139"/>
      <c r="AJ468" s="139"/>
      <c r="AK468" s="139"/>
      <c r="AL468" s="139"/>
      <c r="AM468" s="139"/>
      <c r="AN468" s="139"/>
      <c r="AO468" s="139"/>
      <c r="AP468" s="139"/>
      <c r="AQ468" s="139"/>
    </row>
    <row r="469" spans="1:43" ht="12.75" customHeight="1">
      <c r="A469" s="139"/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9"/>
      <c r="AD469" s="139"/>
      <c r="AE469" s="139"/>
      <c r="AF469" s="139"/>
      <c r="AG469" s="139"/>
      <c r="AH469" s="139"/>
      <c r="AI469" s="139"/>
      <c r="AJ469" s="139"/>
      <c r="AK469" s="139"/>
      <c r="AL469" s="139"/>
      <c r="AM469" s="139"/>
      <c r="AN469" s="139"/>
      <c r="AO469" s="139"/>
      <c r="AP469" s="139"/>
      <c r="AQ469" s="139"/>
    </row>
    <row r="470" spans="1:43" ht="12.75" customHeight="1">
      <c r="A470" s="139"/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9"/>
      <c r="AD470" s="139"/>
      <c r="AE470" s="139"/>
      <c r="AF470" s="139"/>
      <c r="AG470" s="139"/>
      <c r="AH470" s="139"/>
      <c r="AI470" s="139"/>
      <c r="AJ470" s="139"/>
      <c r="AK470" s="139"/>
      <c r="AL470" s="139"/>
      <c r="AM470" s="139"/>
      <c r="AN470" s="139"/>
      <c r="AO470" s="139"/>
      <c r="AP470" s="139"/>
      <c r="AQ470" s="139"/>
    </row>
    <row r="471" spans="1:43" ht="12.75" customHeight="1">
      <c r="A471" s="139"/>
      <c r="B471" s="139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  <c r="AB471" s="139"/>
      <c r="AC471" s="139"/>
      <c r="AD471" s="139"/>
      <c r="AE471" s="139"/>
      <c r="AF471" s="139"/>
      <c r="AG471" s="139"/>
      <c r="AH471" s="139"/>
      <c r="AI471" s="139"/>
      <c r="AJ471" s="139"/>
      <c r="AK471" s="139"/>
      <c r="AL471" s="139"/>
      <c r="AM471" s="139"/>
      <c r="AN471" s="139"/>
      <c r="AO471" s="139"/>
      <c r="AP471" s="139"/>
      <c r="AQ471" s="139"/>
    </row>
    <row r="472" spans="1:43" ht="12.75" customHeight="1">
      <c r="A472" s="139"/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9"/>
      <c r="AD472" s="139"/>
      <c r="AE472" s="139"/>
      <c r="AF472" s="139"/>
      <c r="AG472" s="139"/>
      <c r="AH472" s="139"/>
      <c r="AI472" s="139"/>
      <c r="AJ472" s="139"/>
      <c r="AK472" s="139"/>
      <c r="AL472" s="139"/>
      <c r="AM472" s="139"/>
      <c r="AN472" s="139"/>
      <c r="AO472" s="139"/>
      <c r="AP472" s="139"/>
      <c r="AQ472" s="139"/>
    </row>
    <row r="473" spans="1:43" ht="12.75" customHeight="1">
      <c r="A473" s="139"/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9"/>
      <c r="AD473" s="139"/>
      <c r="AE473" s="139"/>
      <c r="AF473" s="139"/>
      <c r="AG473" s="139"/>
      <c r="AH473" s="139"/>
      <c r="AI473" s="139"/>
      <c r="AJ473" s="139"/>
      <c r="AK473" s="139"/>
      <c r="AL473" s="139"/>
      <c r="AM473" s="139"/>
      <c r="AN473" s="139"/>
      <c r="AO473" s="139"/>
      <c r="AP473" s="139"/>
      <c r="AQ473" s="139"/>
    </row>
    <row r="474" spans="1:43" ht="12.75" customHeight="1">
      <c r="A474" s="139"/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9"/>
      <c r="AD474" s="139"/>
      <c r="AE474" s="139"/>
      <c r="AF474" s="139"/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</row>
    <row r="475" spans="1:43" ht="12.75" customHeight="1">
      <c r="A475" s="139"/>
      <c r="B475" s="139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  <c r="AB475" s="139"/>
      <c r="AC475" s="139"/>
      <c r="AD475" s="139"/>
      <c r="AE475" s="139"/>
      <c r="AF475" s="139"/>
      <c r="AG475" s="139"/>
      <c r="AH475" s="139"/>
      <c r="AI475" s="139"/>
      <c r="AJ475" s="139"/>
      <c r="AK475" s="139"/>
      <c r="AL475" s="139"/>
      <c r="AM475" s="139"/>
      <c r="AN475" s="139"/>
      <c r="AO475" s="139"/>
      <c r="AP475" s="139"/>
      <c r="AQ475" s="139"/>
    </row>
    <row r="476" spans="1:43" ht="12.75" customHeight="1">
      <c r="A476" s="139"/>
      <c r="B476" s="139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  <c r="AB476" s="139"/>
      <c r="AC476" s="139"/>
      <c r="AD476" s="139"/>
      <c r="AE476" s="139"/>
      <c r="AF476" s="139"/>
      <c r="AG476" s="139"/>
      <c r="AH476" s="139"/>
      <c r="AI476" s="139"/>
      <c r="AJ476" s="139"/>
      <c r="AK476" s="139"/>
      <c r="AL476" s="139"/>
      <c r="AM476" s="139"/>
      <c r="AN476" s="139"/>
      <c r="AO476" s="139"/>
      <c r="AP476" s="139"/>
      <c r="AQ476" s="139"/>
    </row>
    <row r="477" spans="1:43" ht="12.75" customHeight="1">
      <c r="A477" s="139"/>
      <c r="B477" s="139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  <c r="AB477" s="139"/>
      <c r="AC477" s="139"/>
      <c r="AD477" s="139"/>
      <c r="AE477" s="139"/>
      <c r="AF477" s="139"/>
      <c r="AG477" s="139"/>
      <c r="AH477" s="139"/>
      <c r="AI477" s="139"/>
      <c r="AJ477" s="139"/>
      <c r="AK477" s="139"/>
      <c r="AL477" s="139"/>
      <c r="AM477" s="139"/>
      <c r="AN477" s="139"/>
      <c r="AO477" s="139"/>
      <c r="AP477" s="139"/>
      <c r="AQ477" s="139"/>
    </row>
    <row r="478" spans="1:43" ht="12.75" customHeight="1">
      <c r="A478" s="139"/>
      <c r="B478" s="139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  <c r="AB478" s="139"/>
      <c r="AC478" s="139"/>
      <c r="AD478" s="139"/>
      <c r="AE478" s="139"/>
      <c r="AF478" s="139"/>
      <c r="AG478" s="139"/>
      <c r="AH478" s="139"/>
      <c r="AI478" s="139"/>
      <c r="AJ478" s="139"/>
      <c r="AK478" s="139"/>
      <c r="AL478" s="139"/>
      <c r="AM478" s="139"/>
      <c r="AN478" s="139"/>
      <c r="AO478" s="139"/>
      <c r="AP478" s="139"/>
      <c r="AQ478" s="139"/>
    </row>
    <row r="479" spans="1:43" ht="12.75" customHeight="1">
      <c r="A479" s="139"/>
      <c r="B479" s="139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  <c r="AB479" s="139"/>
      <c r="AC479" s="139"/>
      <c r="AD479" s="139"/>
      <c r="AE479" s="139"/>
      <c r="AF479" s="139"/>
      <c r="AG479" s="139"/>
      <c r="AH479" s="139"/>
      <c r="AI479" s="139"/>
      <c r="AJ479" s="139"/>
      <c r="AK479" s="139"/>
      <c r="AL479" s="139"/>
      <c r="AM479" s="139"/>
      <c r="AN479" s="139"/>
      <c r="AO479" s="139"/>
      <c r="AP479" s="139"/>
      <c r="AQ479" s="139"/>
    </row>
    <row r="480" spans="1:43" ht="12.75" customHeight="1">
      <c r="A480" s="139"/>
      <c r="B480" s="139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  <c r="AB480" s="139"/>
      <c r="AC480" s="139"/>
      <c r="AD480" s="139"/>
      <c r="AE480" s="139"/>
      <c r="AF480" s="139"/>
      <c r="AG480" s="139"/>
      <c r="AH480" s="139"/>
      <c r="AI480" s="139"/>
      <c r="AJ480" s="139"/>
      <c r="AK480" s="139"/>
      <c r="AL480" s="139"/>
      <c r="AM480" s="139"/>
      <c r="AN480" s="139"/>
      <c r="AO480" s="139"/>
      <c r="AP480" s="139"/>
      <c r="AQ480" s="139"/>
    </row>
    <row r="481" spans="1:43" ht="12.75" customHeight="1">
      <c r="A481" s="139"/>
      <c r="B481" s="139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  <c r="AB481" s="139"/>
      <c r="AC481" s="139"/>
      <c r="AD481" s="139"/>
      <c r="AE481" s="139"/>
      <c r="AF481" s="139"/>
      <c r="AG481" s="139"/>
      <c r="AH481" s="139"/>
      <c r="AI481" s="139"/>
      <c r="AJ481" s="139"/>
      <c r="AK481" s="139"/>
      <c r="AL481" s="139"/>
      <c r="AM481" s="139"/>
      <c r="AN481" s="139"/>
      <c r="AO481" s="139"/>
      <c r="AP481" s="139"/>
      <c r="AQ481" s="139"/>
    </row>
    <row r="482" spans="1:43" ht="12.75" customHeight="1">
      <c r="A482" s="139"/>
      <c r="B482" s="139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  <c r="AB482" s="139"/>
      <c r="AC482" s="139"/>
      <c r="AD482" s="139"/>
      <c r="AE482" s="139"/>
      <c r="AF482" s="139"/>
      <c r="AG482" s="139"/>
      <c r="AH482" s="139"/>
      <c r="AI482" s="139"/>
      <c r="AJ482" s="139"/>
      <c r="AK482" s="139"/>
      <c r="AL482" s="139"/>
      <c r="AM482" s="139"/>
      <c r="AN482" s="139"/>
      <c r="AO482" s="139"/>
      <c r="AP482" s="139"/>
      <c r="AQ482" s="139"/>
    </row>
    <row r="483" spans="1:43" ht="12.75" customHeight="1">
      <c r="A483" s="139"/>
      <c r="B483" s="139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  <c r="AB483" s="139"/>
      <c r="AC483" s="139"/>
      <c r="AD483" s="139"/>
      <c r="AE483" s="139"/>
      <c r="AF483" s="139"/>
      <c r="AG483" s="139"/>
      <c r="AH483" s="139"/>
      <c r="AI483" s="139"/>
      <c r="AJ483" s="139"/>
      <c r="AK483" s="139"/>
      <c r="AL483" s="139"/>
      <c r="AM483" s="139"/>
      <c r="AN483" s="139"/>
      <c r="AO483" s="139"/>
      <c r="AP483" s="139"/>
      <c r="AQ483" s="139"/>
    </row>
    <row r="484" spans="1:43" ht="12.75" customHeight="1">
      <c r="A484" s="139"/>
      <c r="B484" s="139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  <c r="AB484" s="139"/>
      <c r="AC484" s="139"/>
      <c r="AD484" s="139"/>
      <c r="AE484" s="139"/>
      <c r="AF484" s="139"/>
      <c r="AG484" s="139"/>
      <c r="AH484" s="139"/>
      <c r="AI484" s="139"/>
      <c r="AJ484" s="139"/>
      <c r="AK484" s="139"/>
      <c r="AL484" s="139"/>
      <c r="AM484" s="139"/>
      <c r="AN484" s="139"/>
      <c r="AO484" s="139"/>
      <c r="AP484" s="139"/>
      <c r="AQ484" s="139"/>
    </row>
    <row r="485" spans="1:43" ht="12.75" customHeight="1">
      <c r="A485" s="139"/>
      <c r="B485" s="139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  <c r="AB485" s="139"/>
      <c r="AC485" s="139"/>
      <c r="AD485" s="139"/>
      <c r="AE485" s="139"/>
      <c r="AF485" s="139"/>
      <c r="AG485" s="139"/>
      <c r="AH485" s="139"/>
      <c r="AI485" s="139"/>
      <c r="AJ485" s="139"/>
      <c r="AK485" s="139"/>
      <c r="AL485" s="139"/>
      <c r="AM485" s="139"/>
      <c r="AN485" s="139"/>
      <c r="AO485" s="139"/>
      <c r="AP485" s="139"/>
      <c r="AQ485" s="139"/>
    </row>
    <row r="486" spans="1:43" ht="12.75" customHeight="1">
      <c r="A486" s="139"/>
      <c r="B486" s="139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  <c r="AB486" s="139"/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39"/>
      <c r="AP486" s="139"/>
      <c r="AQ486" s="139"/>
    </row>
    <row r="487" spans="1:43" ht="12.75" customHeight="1">
      <c r="A487" s="139"/>
      <c r="B487" s="139"/>
      <c r="C487" s="139"/>
      <c r="D487" s="139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  <c r="AA487" s="139"/>
      <c r="AB487" s="139"/>
      <c r="AC487" s="139"/>
      <c r="AD487" s="139"/>
      <c r="AE487" s="139"/>
      <c r="AF487" s="139"/>
      <c r="AG487" s="139"/>
      <c r="AH487" s="139"/>
      <c r="AI487" s="139"/>
      <c r="AJ487" s="139"/>
      <c r="AK487" s="139"/>
      <c r="AL487" s="139"/>
      <c r="AM487" s="139"/>
      <c r="AN487" s="139"/>
      <c r="AO487" s="139"/>
      <c r="AP487" s="139"/>
      <c r="AQ487" s="139"/>
    </row>
    <row r="488" spans="1:43" ht="12.75" customHeight="1">
      <c r="A488" s="139"/>
      <c r="B488" s="139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  <c r="AB488" s="139"/>
      <c r="AC488" s="139"/>
      <c r="AD488" s="139"/>
      <c r="AE488" s="139"/>
      <c r="AF488" s="139"/>
      <c r="AG488" s="139"/>
      <c r="AH488" s="139"/>
      <c r="AI488" s="139"/>
      <c r="AJ488" s="139"/>
      <c r="AK488" s="139"/>
      <c r="AL488" s="139"/>
      <c r="AM488" s="139"/>
      <c r="AN488" s="139"/>
      <c r="AO488" s="139"/>
      <c r="AP488" s="139"/>
      <c r="AQ488" s="139"/>
    </row>
    <row r="489" spans="1:43" ht="12.75" customHeight="1">
      <c r="A489" s="139"/>
      <c r="B489" s="139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  <c r="AB489" s="139"/>
      <c r="AC489" s="139"/>
      <c r="AD489" s="139"/>
      <c r="AE489" s="139"/>
      <c r="AF489" s="139"/>
      <c r="AG489" s="139"/>
      <c r="AH489" s="139"/>
      <c r="AI489" s="139"/>
      <c r="AJ489" s="139"/>
      <c r="AK489" s="139"/>
      <c r="AL489" s="139"/>
      <c r="AM489" s="139"/>
      <c r="AN489" s="139"/>
      <c r="AO489" s="139"/>
      <c r="AP489" s="139"/>
      <c r="AQ489" s="139"/>
    </row>
    <row r="490" spans="1:43" ht="12.75" customHeight="1">
      <c r="A490" s="139"/>
      <c r="B490" s="139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  <c r="AB490" s="139"/>
      <c r="AC490" s="139"/>
      <c r="AD490" s="139"/>
      <c r="AE490" s="139"/>
      <c r="AF490" s="139"/>
      <c r="AG490" s="139"/>
      <c r="AH490" s="139"/>
      <c r="AI490" s="139"/>
      <c r="AJ490" s="139"/>
      <c r="AK490" s="139"/>
      <c r="AL490" s="139"/>
      <c r="AM490" s="139"/>
      <c r="AN490" s="139"/>
      <c r="AO490" s="139"/>
      <c r="AP490" s="139"/>
      <c r="AQ490" s="139"/>
    </row>
    <row r="491" spans="1:43" ht="12.75" customHeight="1">
      <c r="A491" s="139"/>
      <c r="B491" s="139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  <c r="AB491" s="139"/>
      <c r="AC491" s="139"/>
      <c r="AD491" s="139"/>
      <c r="AE491" s="139"/>
      <c r="AF491" s="139"/>
      <c r="AG491" s="139"/>
      <c r="AH491" s="139"/>
      <c r="AI491" s="139"/>
      <c r="AJ491" s="139"/>
      <c r="AK491" s="139"/>
      <c r="AL491" s="139"/>
      <c r="AM491" s="139"/>
      <c r="AN491" s="139"/>
      <c r="AO491" s="139"/>
      <c r="AP491" s="139"/>
      <c r="AQ491" s="139"/>
    </row>
    <row r="492" spans="1:43" ht="12.75" customHeight="1">
      <c r="A492" s="139"/>
      <c r="B492" s="139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  <c r="AB492" s="139"/>
      <c r="AC492" s="139"/>
      <c r="AD492" s="139"/>
      <c r="AE492" s="139"/>
      <c r="AF492" s="139"/>
      <c r="AG492" s="139"/>
      <c r="AH492" s="139"/>
      <c r="AI492" s="139"/>
      <c r="AJ492" s="139"/>
      <c r="AK492" s="139"/>
      <c r="AL492" s="139"/>
      <c r="AM492" s="139"/>
      <c r="AN492" s="139"/>
      <c r="AO492" s="139"/>
      <c r="AP492" s="139"/>
      <c r="AQ492" s="139"/>
    </row>
    <row r="493" spans="1:43" ht="12.75" customHeight="1">
      <c r="A493" s="139"/>
      <c r="B493" s="139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  <c r="AB493" s="139"/>
      <c r="AC493" s="139"/>
      <c r="AD493" s="139"/>
      <c r="AE493" s="139"/>
      <c r="AF493" s="139"/>
      <c r="AG493" s="139"/>
      <c r="AH493" s="139"/>
      <c r="AI493" s="139"/>
      <c r="AJ493" s="139"/>
      <c r="AK493" s="139"/>
      <c r="AL493" s="139"/>
      <c r="AM493" s="139"/>
      <c r="AN493" s="139"/>
      <c r="AO493" s="139"/>
      <c r="AP493" s="139"/>
      <c r="AQ493" s="139"/>
    </row>
    <row r="494" spans="1:43" ht="12.75" customHeight="1">
      <c r="A494" s="139"/>
      <c r="B494" s="139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  <c r="AB494" s="139"/>
      <c r="AC494" s="139"/>
      <c r="AD494" s="139"/>
      <c r="AE494" s="139"/>
      <c r="AF494" s="139"/>
      <c r="AG494" s="139"/>
      <c r="AH494" s="139"/>
      <c r="AI494" s="139"/>
      <c r="AJ494" s="139"/>
      <c r="AK494" s="139"/>
      <c r="AL494" s="139"/>
      <c r="AM494" s="139"/>
      <c r="AN494" s="139"/>
      <c r="AO494" s="139"/>
      <c r="AP494" s="139"/>
      <c r="AQ494" s="139"/>
    </row>
    <row r="495" spans="1:43" ht="12.75" customHeight="1">
      <c r="A495" s="139"/>
      <c r="B495" s="139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  <c r="AB495" s="139"/>
      <c r="AC495" s="139"/>
      <c r="AD495" s="139"/>
      <c r="AE495" s="139"/>
      <c r="AF495" s="139"/>
      <c r="AG495" s="139"/>
      <c r="AH495" s="139"/>
      <c r="AI495" s="139"/>
      <c r="AJ495" s="139"/>
      <c r="AK495" s="139"/>
      <c r="AL495" s="139"/>
      <c r="AM495" s="139"/>
      <c r="AN495" s="139"/>
      <c r="AO495" s="139"/>
      <c r="AP495" s="139"/>
      <c r="AQ495" s="139"/>
    </row>
    <row r="496" spans="1:43" ht="12.75" customHeight="1">
      <c r="A496" s="139"/>
      <c r="B496" s="139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  <c r="AB496" s="139"/>
      <c r="AC496" s="139"/>
      <c r="AD496" s="139"/>
      <c r="AE496" s="139"/>
      <c r="AF496" s="139"/>
      <c r="AG496" s="139"/>
      <c r="AH496" s="139"/>
      <c r="AI496" s="139"/>
      <c r="AJ496" s="139"/>
      <c r="AK496" s="139"/>
      <c r="AL496" s="139"/>
      <c r="AM496" s="139"/>
      <c r="AN496" s="139"/>
      <c r="AO496" s="139"/>
      <c r="AP496" s="139"/>
      <c r="AQ496" s="139"/>
    </row>
    <row r="497" spans="1:43" ht="12.75" customHeight="1">
      <c r="A497" s="139"/>
      <c r="B497" s="139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  <c r="AB497" s="139"/>
      <c r="AC497" s="139"/>
      <c r="AD497" s="139"/>
      <c r="AE497" s="139"/>
      <c r="AF497" s="139"/>
      <c r="AG497" s="139"/>
      <c r="AH497" s="139"/>
      <c r="AI497" s="139"/>
      <c r="AJ497" s="139"/>
      <c r="AK497" s="139"/>
      <c r="AL497" s="139"/>
      <c r="AM497" s="139"/>
      <c r="AN497" s="139"/>
      <c r="AO497" s="139"/>
      <c r="AP497" s="139"/>
      <c r="AQ497" s="139"/>
    </row>
    <row r="498" spans="1:43" ht="12.75" customHeight="1">
      <c r="A498" s="139"/>
      <c r="B498" s="139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  <c r="AB498" s="139"/>
      <c r="AC498" s="139"/>
      <c r="AD498" s="139"/>
      <c r="AE498" s="139"/>
      <c r="AF498" s="139"/>
      <c r="AG498" s="139"/>
      <c r="AH498" s="139"/>
      <c r="AI498" s="139"/>
      <c r="AJ498" s="139"/>
      <c r="AK498" s="139"/>
      <c r="AL498" s="139"/>
      <c r="AM498" s="139"/>
      <c r="AN498" s="139"/>
      <c r="AO498" s="139"/>
      <c r="AP498" s="139"/>
      <c r="AQ498" s="139"/>
    </row>
    <row r="499" spans="1:43" ht="12.75" customHeight="1">
      <c r="A499" s="139"/>
      <c r="B499" s="139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39"/>
      <c r="AL499" s="139"/>
      <c r="AM499" s="139"/>
      <c r="AN499" s="139"/>
      <c r="AO499" s="139"/>
      <c r="AP499" s="139"/>
      <c r="AQ499" s="139"/>
    </row>
    <row r="500" spans="1:43" ht="12.75" customHeight="1">
      <c r="A500" s="139"/>
      <c r="B500" s="139"/>
      <c r="C500" s="139"/>
      <c r="D500" s="139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  <c r="S500" s="139"/>
      <c r="T500" s="139"/>
      <c r="U500" s="139"/>
      <c r="V500" s="139"/>
      <c r="W500" s="139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39"/>
      <c r="AL500" s="139"/>
      <c r="AM500" s="139"/>
      <c r="AN500" s="139"/>
      <c r="AO500" s="139"/>
      <c r="AP500" s="139"/>
      <c r="AQ500" s="139"/>
    </row>
    <row r="501" spans="1:43" ht="12.75" customHeight="1">
      <c r="A501" s="139"/>
      <c r="B501" s="139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39"/>
      <c r="AL501" s="139"/>
      <c r="AM501" s="139"/>
      <c r="AN501" s="139"/>
      <c r="AO501" s="139"/>
      <c r="AP501" s="139"/>
      <c r="AQ501" s="139"/>
    </row>
    <row r="502" spans="1:43" ht="12.75" customHeight="1">
      <c r="A502" s="139"/>
      <c r="B502" s="139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39"/>
      <c r="AL502" s="139"/>
      <c r="AM502" s="139"/>
      <c r="AN502" s="139"/>
      <c r="AO502" s="139"/>
      <c r="AP502" s="139"/>
      <c r="AQ502" s="139"/>
    </row>
    <row r="503" spans="1:43" ht="12.75" customHeight="1">
      <c r="A503" s="139"/>
      <c r="B503" s="139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39"/>
      <c r="AL503" s="139"/>
      <c r="AM503" s="139"/>
      <c r="AN503" s="139"/>
      <c r="AO503" s="139"/>
      <c r="AP503" s="139"/>
      <c r="AQ503" s="139"/>
    </row>
    <row r="504" spans="1:43" ht="12.75" customHeight="1">
      <c r="A504" s="139"/>
      <c r="B504" s="139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39"/>
      <c r="AL504" s="139"/>
      <c r="AM504" s="139"/>
      <c r="AN504" s="139"/>
      <c r="AO504" s="139"/>
      <c r="AP504" s="139"/>
      <c r="AQ504" s="139"/>
    </row>
    <row r="505" spans="1:43" ht="12.75" customHeight="1">
      <c r="A505" s="139"/>
      <c r="B505" s="139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39"/>
      <c r="AL505" s="139"/>
      <c r="AM505" s="139"/>
      <c r="AN505" s="139"/>
      <c r="AO505" s="139"/>
      <c r="AP505" s="139"/>
      <c r="AQ505" s="139"/>
    </row>
    <row r="506" spans="1:43" ht="12.75" customHeight="1">
      <c r="A506" s="139"/>
      <c r="B506" s="139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39"/>
      <c r="AL506" s="139"/>
      <c r="AM506" s="139"/>
      <c r="AN506" s="139"/>
      <c r="AO506" s="139"/>
      <c r="AP506" s="139"/>
      <c r="AQ506" s="139"/>
    </row>
    <row r="507" spans="1:43" ht="12.75" customHeight="1">
      <c r="A507" s="139"/>
      <c r="B507" s="139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39"/>
      <c r="AL507" s="139"/>
      <c r="AM507" s="139"/>
      <c r="AN507" s="139"/>
      <c r="AO507" s="139"/>
      <c r="AP507" s="139"/>
      <c r="AQ507" s="139"/>
    </row>
    <row r="508" spans="1:43" ht="12.75" customHeight="1">
      <c r="A508" s="139"/>
      <c r="B508" s="139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  <c r="AB508" s="139"/>
      <c r="AC508" s="139"/>
      <c r="AD508" s="139"/>
      <c r="AE508" s="139"/>
      <c r="AF508" s="139"/>
      <c r="AG508" s="139"/>
      <c r="AH508" s="139"/>
      <c r="AI508" s="139"/>
      <c r="AJ508" s="139"/>
      <c r="AK508" s="139"/>
      <c r="AL508" s="139"/>
      <c r="AM508" s="139"/>
      <c r="AN508" s="139"/>
      <c r="AO508" s="139"/>
      <c r="AP508" s="139"/>
      <c r="AQ508" s="139"/>
    </row>
    <row r="509" spans="1:43" ht="12.75" customHeight="1">
      <c r="A509" s="139"/>
      <c r="B509" s="139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  <c r="AB509" s="139"/>
      <c r="AC509" s="139"/>
      <c r="AD509" s="139"/>
      <c r="AE509" s="139"/>
      <c r="AF509" s="139"/>
      <c r="AG509" s="139"/>
      <c r="AH509" s="139"/>
      <c r="AI509" s="139"/>
      <c r="AJ509" s="139"/>
      <c r="AK509" s="139"/>
      <c r="AL509" s="139"/>
      <c r="AM509" s="139"/>
      <c r="AN509" s="139"/>
      <c r="AO509" s="139"/>
      <c r="AP509" s="139"/>
      <c r="AQ509" s="139"/>
    </row>
    <row r="510" spans="1:43" ht="12.75" customHeight="1">
      <c r="A510" s="139"/>
      <c r="B510" s="139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  <c r="AB510" s="139"/>
      <c r="AC510" s="139"/>
      <c r="AD510" s="139"/>
      <c r="AE510" s="139"/>
      <c r="AF510" s="139"/>
      <c r="AG510" s="139"/>
      <c r="AH510" s="139"/>
      <c r="AI510" s="139"/>
      <c r="AJ510" s="139"/>
      <c r="AK510" s="139"/>
      <c r="AL510" s="139"/>
      <c r="AM510" s="139"/>
      <c r="AN510" s="139"/>
      <c r="AO510" s="139"/>
      <c r="AP510" s="139"/>
      <c r="AQ510" s="139"/>
    </row>
    <row r="511" spans="1:43" ht="12.75" customHeight="1">
      <c r="A511" s="139"/>
      <c r="B511" s="139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  <c r="AB511" s="139"/>
      <c r="AC511" s="139"/>
      <c r="AD511" s="139"/>
      <c r="AE511" s="139"/>
      <c r="AF511" s="139"/>
      <c r="AG511" s="139"/>
      <c r="AH511" s="139"/>
      <c r="AI511" s="139"/>
      <c r="AJ511" s="139"/>
      <c r="AK511" s="139"/>
      <c r="AL511" s="139"/>
      <c r="AM511" s="139"/>
      <c r="AN511" s="139"/>
      <c r="AO511" s="139"/>
      <c r="AP511" s="139"/>
      <c r="AQ511" s="139"/>
    </row>
    <row r="512" spans="1:43" ht="12.75" customHeight="1">
      <c r="A512" s="139"/>
      <c r="B512" s="139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  <c r="AB512" s="139"/>
      <c r="AC512" s="139"/>
      <c r="AD512" s="139"/>
      <c r="AE512" s="139"/>
      <c r="AF512" s="139"/>
      <c r="AG512" s="139"/>
      <c r="AH512" s="139"/>
      <c r="AI512" s="139"/>
      <c r="AJ512" s="139"/>
      <c r="AK512" s="139"/>
      <c r="AL512" s="139"/>
      <c r="AM512" s="139"/>
      <c r="AN512" s="139"/>
      <c r="AO512" s="139"/>
      <c r="AP512" s="139"/>
      <c r="AQ512" s="139"/>
    </row>
    <row r="513" spans="1:43" ht="12.75" customHeight="1">
      <c r="A513" s="139"/>
      <c r="B513" s="139"/>
      <c r="C513" s="139"/>
      <c r="D513" s="139"/>
      <c r="E513" s="139"/>
      <c r="F513" s="139"/>
      <c r="G513" s="139"/>
      <c r="H513" s="139"/>
      <c r="I513" s="139"/>
      <c r="J513" s="139"/>
      <c r="K513" s="139"/>
      <c r="L513" s="139"/>
      <c r="M513" s="139"/>
      <c r="N513" s="139"/>
      <c r="O513" s="139"/>
      <c r="P513" s="139"/>
      <c r="Q513" s="139"/>
      <c r="R513" s="139"/>
      <c r="S513" s="139"/>
      <c r="T513" s="139"/>
      <c r="U513" s="139"/>
      <c r="V513" s="139"/>
      <c r="W513" s="139"/>
      <c r="X513" s="139"/>
      <c r="Y513" s="139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</row>
    <row r="514" spans="1:43" ht="12.75" customHeight="1">
      <c r="A514" s="139"/>
      <c r="B514" s="139"/>
      <c r="C514" s="139"/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39"/>
      <c r="O514" s="139"/>
      <c r="P514" s="139"/>
      <c r="Q514" s="139"/>
      <c r="R514" s="139"/>
      <c r="S514" s="139"/>
      <c r="T514" s="139"/>
      <c r="U514" s="139"/>
      <c r="V514" s="139"/>
      <c r="W514" s="139"/>
      <c r="X514" s="139"/>
      <c r="Y514" s="139"/>
      <c r="Z514" s="139"/>
      <c r="AA514" s="139"/>
      <c r="AB514" s="139"/>
      <c r="AC514" s="139"/>
      <c r="AD514" s="139"/>
      <c r="AE514" s="139"/>
      <c r="AF514" s="139"/>
      <c r="AG514" s="139"/>
      <c r="AH514" s="139"/>
      <c r="AI514" s="139"/>
      <c r="AJ514" s="139"/>
      <c r="AK514" s="139"/>
      <c r="AL514" s="139"/>
      <c r="AM514" s="139"/>
      <c r="AN514" s="139"/>
      <c r="AO514" s="139"/>
      <c r="AP514" s="139"/>
      <c r="AQ514" s="139"/>
    </row>
    <row r="515" spans="1:43" ht="12.75" customHeight="1">
      <c r="A515" s="139"/>
      <c r="B515" s="139"/>
      <c r="C515" s="139"/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  <c r="S515" s="139"/>
      <c r="T515" s="139"/>
      <c r="U515" s="139"/>
      <c r="V515" s="139"/>
      <c r="W515" s="139"/>
      <c r="X515" s="139"/>
      <c r="Y515" s="139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</row>
    <row r="516" spans="1:43" ht="12.75" customHeight="1">
      <c r="A516" s="139"/>
      <c r="B516" s="139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</row>
    <row r="517" spans="1:43" ht="12.75" customHeight="1">
      <c r="A517" s="139"/>
      <c r="B517" s="139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  <c r="Y517" s="139"/>
      <c r="Z517" s="139"/>
      <c r="AA517" s="139"/>
      <c r="AB517" s="139"/>
      <c r="AC517" s="139"/>
      <c r="AD517" s="139"/>
      <c r="AE517" s="139"/>
      <c r="AF517" s="139"/>
      <c r="AG517" s="139"/>
      <c r="AH517" s="139"/>
      <c r="AI517" s="139"/>
      <c r="AJ517" s="139"/>
      <c r="AK517" s="139"/>
      <c r="AL517" s="139"/>
      <c r="AM517" s="139"/>
      <c r="AN517" s="139"/>
      <c r="AO517" s="139"/>
      <c r="AP517" s="139"/>
      <c r="AQ517" s="139"/>
    </row>
    <row r="518" spans="1:43" ht="12.75" customHeight="1">
      <c r="A518" s="139"/>
      <c r="B518" s="139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  <c r="Y518" s="139"/>
      <c r="Z518" s="139"/>
      <c r="AA518" s="139"/>
      <c r="AB518" s="139"/>
      <c r="AC518" s="139"/>
      <c r="AD518" s="139"/>
      <c r="AE518" s="139"/>
      <c r="AF518" s="139"/>
      <c r="AG518" s="139"/>
      <c r="AH518" s="139"/>
      <c r="AI518" s="139"/>
      <c r="AJ518" s="139"/>
      <c r="AK518" s="139"/>
      <c r="AL518" s="139"/>
      <c r="AM518" s="139"/>
      <c r="AN518" s="139"/>
      <c r="AO518" s="139"/>
      <c r="AP518" s="139"/>
      <c r="AQ518" s="139"/>
    </row>
    <row r="519" spans="1:43" ht="12.75" customHeight="1">
      <c r="A519" s="139"/>
      <c r="B519" s="139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  <c r="Y519" s="139"/>
      <c r="Z519" s="139"/>
      <c r="AA519" s="139"/>
      <c r="AB519" s="139"/>
      <c r="AC519" s="139"/>
      <c r="AD519" s="139"/>
      <c r="AE519" s="139"/>
      <c r="AF519" s="139"/>
      <c r="AG519" s="139"/>
      <c r="AH519" s="139"/>
      <c r="AI519" s="139"/>
      <c r="AJ519" s="139"/>
      <c r="AK519" s="139"/>
      <c r="AL519" s="139"/>
      <c r="AM519" s="139"/>
      <c r="AN519" s="139"/>
      <c r="AO519" s="139"/>
      <c r="AP519" s="139"/>
      <c r="AQ519" s="139"/>
    </row>
    <row r="520" spans="1:43" ht="12.75" customHeight="1">
      <c r="A520" s="139"/>
      <c r="B520" s="139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  <c r="AB520" s="139"/>
      <c r="AC520" s="139"/>
      <c r="AD520" s="139"/>
      <c r="AE520" s="139"/>
      <c r="AF520" s="139"/>
      <c r="AG520" s="139"/>
      <c r="AH520" s="139"/>
      <c r="AI520" s="139"/>
      <c r="AJ520" s="139"/>
      <c r="AK520" s="139"/>
      <c r="AL520" s="139"/>
      <c r="AM520" s="139"/>
      <c r="AN520" s="139"/>
      <c r="AO520" s="139"/>
      <c r="AP520" s="139"/>
      <c r="AQ520" s="139"/>
    </row>
    <row r="521" spans="1:43" ht="12.75" customHeight="1">
      <c r="A521" s="139"/>
      <c r="B521" s="139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  <c r="AB521" s="139"/>
      <c r="AC521" s="139"/>
      <c r="AD521" s="139"/>
      <c r="AE521" s="139"/>
      <c r="AF521" s="139"/>
      <c r="AG521" s="139"/>
      <c r="AH521" s="139"/>
      <c r="AI521" s="139"/>
      <c r="AJ521" s="139"/>
      <c r="AK521" s="139"/>
      <c r="AL521" s="139"/>
      <c r="AM521" s="139"/>
      <c r="AN521" s="139"/>
      <c r="AO521" s="139"/>
      <c r="AP521" s="139"/>
      <c r="AQ521" s="139"/>
    </row>
    <row r="522" spans="1:43" ht="12.75" customHeight="1">
      <c r="A522" s="139"/>
      <c r="B522" s="139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  <c r="AB522" s="139"/>
      <c r="AC522" s="139"/>
      <c r="AD522" s="139"/>
      <c r="AE522" s="139"/>
      <c r="AF522" s="139"/>
      <c r="AG522" s="139"/>
      <c r="AH522" s="139"/>
      <c r="AI522" s="139"/>
      <c r="AJ522" s="139"/>
      <c r="AK522" s="139"/>
      <c r="AL522" s="139"/>
      <c r="AM522" s="139"/>
      <c r="AN522" s="139"/>
      <c r="AO522" s="139"/>
      <c r="AP522" s="139"/>
      <c r="AQ522" s="139"/>
    </row>
    <row r="523" spans="1:43" ht="12.75" customHeight="1">
      <c r="A523" s="139"/>
      <c r="B523" s="139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  <c r="AB523" s="139"/>
      <c r="AC523" s="139"/>
      <c r="AD523" s="139"/>
      <c r="AE523" s="139"/>
      <c r="AF523" s="139"/>
      <c r="AG523" s="139"/>
      <c r="AH523" s="139"/>
      <c r="AI523" s="139"/>
      <c r="AJ523" s="139"/>
      <c r="AK523" s="139"/>
      <c r="AL523" s="139"/>
      <c r="AM523" s="139"/>
      <c r="AN523" s="139"/>
      <c r="AO523" s="139"/>
      <c r="AP523" s="139"/>
      <c r="AQ523" s="139"/>
    </row>
    <row r="524" spans="1:43" ht="12.75" customHeight="1">
      <c r="A524" s="139"/>
      <c r="B524" s="139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  <c r="AB524" s="139"/>
      <c r="AC524" s="139"/>
      <c r="AD524" s="139"/>
      <c r="AE524" s="139"/>
      <c r="AF524" s="139"/>
      <c r="AG524" s="139"/>
      <c r="AH524" s="139"/>
      <c r="AI524" s="139"/>
      <c r="AJ524" s="139"/>
      <c r="AK524" s="139"/>
      <c r="AL524" s="139"/>
      <c r="AM524" s="139"/>
      <c r="AN524" s="139"/>
      <c r="AO524" s="139"/>
      <c r="AP524" s="139"/>
      <c r="AQ524" s="139"/>
    </row>
    <row r="525" spans="1:43" ht="12.75" customHeight="1">
      <c r="A525" s="139"/>
      <c r="B525" s="139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  <c r="AB525" s="139"/>
      <c r="AC525" s="139"/>
      <c r="AD525" s="139"/>
      <c r="AE525" s="139"/>
      <c r="AF525" s="139"/>
      <c r="AG525" s="139"/>
      <c r="AH525" s="139"/>
      <c r="AI525" s="139"/>
      <c r="AJ525" s="139"/>
      <c r="AK525" s="139"/>
      <c r="AL525" s="139"/>
      <c r="AM525" s="139"/>
      <c r="AN525" s="139"/>
      <c r="AO525" s="139"/>
      <c r="AP525" s="139"/>
      <c r="AQ525" s="139"/>
    </row>
    <row r="526" spans="1:43" ht="12.75" customHeight="1">
      <c r="A526" s="139"/>
      <c r="B526" s="139"/>
      <c r="C526" s="139"/>
      <c r="D526" s="139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  <c r="Y526" s="139"/>
      <c r="Z526" s="139"/>
      <c r="AA526" s="139"/>
      <c r="AB526" s="139"/>
      <c r="AC526" s="139"/>
      <c r="AD526" s="139"/>
      <c r="AE526" s="139"/>
      <c r="AF526" s="139"/>
      <c r="AG526" s="139"/>
      <c r="AH526" s="139"/>
      <c r="AI526" s="139"/>
      <c r="AJ526" s="139"/>
      <c r="AK526" s="139"/>
      <c r="AL526" s="139"/>
      <c r="AM526" s="139"/>
      <c r="AN526" s="139"/>
      <c r="AO526" s="139"/>
      <c r="AP526" s="139"/>
      <c r="AQ526" s="139"/>
    </row>
    <row r="527" spans="1:43" ht="12.75" customHeight="1">
      <c r="A527" s="139"/>
      <c r="B527" s="139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  <c r="AB527" s="139"/>
      <c r="AC527" s="139"/>
      <c r="AD527" s="139"/>
      <c r="AE527" s="139"/>
      <c r="AF527" s="139"/>
      <c r="AG527" s="139"/>
      <c r="AH527" s="139"/>
      <c r="AI527" s="139"/>
      <c r="AJ527" s="139"/>
      <c r="AK527" s="139"/>
      <c r="AL527" s="139"/>
      <c r="AM527" s="139"/>
      <c r="AN527" s="139"/>
      <c r="AO527" s="139"/>
      <c r="AP527" s="139"/>
      <c r="AQ527" s="139"/>
    </row>
    <row r="528" spans="1:43" ht="12.75" customHeight="1">
      <c r="A528" s="139"/>
      <c r="B528" s="139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  <c r="AB528" s="139"/>
      <c r="AC528" s="139"/>
      <c r="AD528" s="139"/>
      <c r="AE528" s="139"/>
      <c r="AF528" s="139"/>
      <c r="AG528" s="139"/>
      <c r="AH528" s="139"/>
      <c r="AI528" s="139"/>
      <c r="AJ528" s="139"/>
      <c r="AK528" s="139"/>
      <c r="AL528" s="139"/>
      <c r="AM528" s="139"/>
      <c r="AN528" s="139"/>
      <c r="AO528" s="139"/>
      <c r="AP528" s="139"/>
      <c r="AQ528" s="139"/>
    </row>
    <row r="529" spans="1:43" ht="12.75" customHeight="1">
      <c r="A529" s="139"/>
      <c r="B529" s="139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  <c r="AB529" s="139"/>
      <c r="AC529" s="139"/>
      <c r="AD529" s="139"/>
      <c r="AE529" s="139"/>
      <c r="AF529" s="139"/>
      <c r="AG529" s="139"/>
      <c r="AH529" s="139"/>
      <c r="AI529" s="139"/>
      <c r="AJ529" s="139"/>
      <c r="AK529" s="139"/>
      <c r="AL529" s="139"/>
      <c r="AM529" s="139"/>
      <c r="AN529" s="139"/>
      <c r="AO529" s="139"/>
      <c r="AP529" s="139"/>
      <c r="AQ529" s="139"/>
    </row>
    <row r="530" spans="1:43" ht="12.75" customHeight="1">
      <c r="A530" s="139"/>
      <c r="B530" s="139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  <c r="AB530" s="139"/>
      <c r="AC530" s="139"/>
      <c r="AD530" s="139"/>
      <c r="AE530" s="139"/>
      <c r="AF530" s="139"/>
      <c r="AG530" s="139"/>
      <c r="AH530" s="139"/>
      <c r="AI530" s="139"/>
      <c r="AJ530" s="139"/>
      <c r="AK530" s="139"/>
      <c r="AL530" s="139"/>
      <c r="AM530" s="139"/>
      <c r="AN530" s="139"/>
      <c r="AO530" s="139"/>
      <c r="AP530" s="139"/>
      <c r="AQ530" s="139"/>
    </row>
    <row r="531" spans="1:43" ht="12.75" customHeight="1">
      <c r="A531" s="139"/>
      <c r="B531" s="139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  <c r="AB531" s="139"/>
      <c r="AC531" s="139"/>
      <c r="AD531" s="139"/>
      <c r="AE531" s="139"/>
      <c r="AF531" s="139"/>
      <c r="AG531" s="139"/>
      <c r="AH531" s="139"/>
      <c r="AI531" s="139"/>
      <c r="AJ531" s="139"/>
      <c r="AK531" s="139"/>
      <c r="AL531" s="139"/>
      <c r="AM531" s="139"/>
      <c r="AN531" s="139"/>
      <c r="AO531" s="139"/>
      <c r="AP531" s="139"/>
      <c r="AQ531" s="139"/>
    </row>
    <row r="532" spans="1:43" ht="12.75" customHeight="1">
      <c r="A532" s="139"/>
      <c r="B532" s="139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  <c r="AB532" s="139"/>
      <c r="AC532" s="139"/>
      <c r="AD532" s="139"/>
      <c r="AE532" s="139"/>
      <c r="AF532" s="139"/>
      <c r="AG532" s="139"/>
      <c r="AH532" s="139"/>
      <c r="AI532" s="139"/>
      <c r="AJ532" s="139"/>
      <c r="AK532" s="139"/>
      <c r="AL532" s="139"/>
      <c r="AM532" s="139"/>
      <c r="AN532" s="139"/>
      <c r="AO532" s="139"/>
      <c r="AP532" s="139"/>
      <c r="AQ532" s="139"/>
    </row>
    <row r="533" spans="1:43" ht="12.75" customHeight="1">
      <c r="A533" s="139"/>
      <c r="B533" s="139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  <c r="AB533" s="139"/>
      <c r="AC533" s="139"/>
      <c r="AD533" s="139"/>
      <c r="AE533" s="139"/>
      <c r="AF533" s="139"/>
      <c r="AG533" s="139"/>
      <c r="AH533" s="139"/>
      <c r="AI533" s="139"/>
      <c r="AJ533" s="139"/>
      <c r="AK533" s="139"/>
      <c r="AL533" s="139"/>
      <c r="AM533" s="139"/>
      <c r="AN533" s="139"/>
      <c r="AO533" s="139"/>
      <c r="AP533" s="139"/>
      <c r="AQ533" s="139"/>
    </row>
    <row r="534" spans="1:43" ht="12.75" customHeight="1">
      <c r="A534" s="139"/>
      <c r="B534" s="139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  <c r="AB534" s="139"/>
      <c r="AC534" s="139"/>
      <c r="AD534" s="139"/>
      <c r="AE534" s="139"/>
      <c r="AF534" s="139"/>
      <c r="AG534" s="139"/>
      <c r="AH534" s="139"/>
      <c r="AI534" s="139"/>
      <c r="AJ534" s="139"/>
      <c r="AK534" s="139"/>
      <c r="AL534" s="139"/>
      <c r="AM534" s="139"/>
      <c r="AN534" s="139"/>
      <c r="AO534" s="139"/>
      <c r="AP534" s="139"/>
      <c r="AQ534" s="139"/>
    </row>
    <row r="535" spans="1:43" ht="12.75" customHeight="1">
      <c r="A535" s="139"/>
      <c r="B535" s="139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  <c r="AB535" s="139"/>
      <c r="AC535" s="139"/>
      <c r="AD535" s="139"/>
      <c r="AE535" s="139"/>
      <c r="AF535" s="139"/>
      <c r="AG535" s="139"/>
      <c r="AH535" s="139"/>
      <c r="AI535" s="139"/>
      <c r="AJ535" s="139"/>
      <c r="AK535" s="139"/>
      <c r="AL535" s="139"/>
      <c r="AM535" s="139"/>
      <c r="AN535" s="139"/>
      <c r="AO535" s="139"/>
      <c r="AP535" s="139"/>
      <c r="AQ535" s="139"/>
    </row>
    <row r="536" spans="1:43" ht="12.75" customHeight="1">
      <c r="A536" s="139"/>
      <c r="B536" s="139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  <c r="AB536" s="139"/>
      <c r="AC536" s="139"/>
      <c r="AD536" s="139"/>
      <c r="AE536" s="139"/>
      <c r="AF536" s="139"/>
      <c r="AG536" s="139"/>
      <c r="AH536" s="139"/>
      <c r="AI536" s="139"/>
      <c r="AJ536" s="139"/>
      <c r="AK536" s="139"/>
      <c r="AL536" s="139"/>
      <c r="AM536" s="139"/>
      <c r="AN536" s="139"/>
      <c r="AO536" s="139"/>
      <c r="AP536" s="139"/>
      <c r="AQ536" s="139"/>
    </row>
    <row r="537" spans="1:43" ht="12.75" customHeight="1">
      <c r="A537" s="139"/>
      <c r="B537" s="139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  <c r="AB537" s="139"/>
      <c r="AC537" s="139"/>
      <c r="AD537" s="139"/>
      <c r="AE537" s="139"/>
      <c r="AF537" s="139"/>
      <c r="AG537" s="139"/>
      <c r="AH537" s="139"/>
      <c r="AI537" s="139"/>
      <c r="AJ537" s="139"/>
      <c r="AK537" s="139"/>
      <c r="AL537" s="139"/>
      <c r="AM537" s="139"/>
      <c r="AN537" s="139"/>
      <c r="AO537" s="139"/>
      <c r="AP537" s="139"/>
      <c r="AQ537" s="139"/>
    </row>
    <row r="538" spans="1:43" ht="12.75" customHeight="1">
      <c r="A538" s="139"/>
      <c r="B538" s="139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  <c r="AB538" s="139"/>
      <c r="AC538" s="139"/>
      <c r="AD538" s="139"/>
      <c r="AE538" s="139"/>
      <c r="AF538" s="139"/>
      <c r="AG538" s="139"/>
      <c r="AH538" s="139"/>
      <c r="AI538" s="139"/>
      <c r="AJ538" s="139"/>
      <c r="AK538" s="139"/>
      <c r="AL538" s="139"/>
      <c r="AM538" s="139"/>
      <c r="AN538" s="139"/>
      <c r="AO538" s="139"/>
      <c r="AP538" s="139"/>
      <c r="AQ538" s="139"/>
    </row>
    <row r="539" spans="1:43" ht="12.75" customHeight="1">
      <c r="A539" s="139"/>
      <c r="B539" s="139"/>
      <c r="C539" s="139"/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  <c r="S539" s="139"/>
      <c r="T539" s="139"/>
      <c r="U539" s="139"/>
      <c r="V539" s="139"/>
      <c r="W539" s="139"/>
      <c r="X539" s="139"/>
      <c r="Y539" s="139"/>
      <c r="Z539" s="139"/>
      <c r="AA539" s="139"/>
      <c r="AB539" s="139"/>
      <c r="AC539" s="139"/>
      <c r="AD539" s="139"/>
      <c r="AE539" s="139"/>
      <c r="AF539" s="139"/>
      <c r="AG539" s="139"/>
      <c r="AH539" s="139"/>
      <c r="AI539" s="139"/>
      <c r="AJ539" s="139"/>
      <c r="AK539" s="139"/>
      <c r="AL539" s="139"/>
      <c r="AM539" s="139"/>
      <c r="AN539" s="139"/>
      <c r="AO539" s="139"/>
      <c r="AP539" s="139"/>
      <c r="AQ539" s="139"/>
    </row>
    <row r="540" spans="1:43" ht="12.75" customHeight="1">
      <c r="A540" s="139"/>
      <c r="B540" s="139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  <c r="AB540" s="139"/>
      <c r="AC540" s="139"/>
      <c r="AD540" s="139"/>
      <c r="AE540" s="139"/>
      <c r="AF540" s="139"/>
      <c r="AG540" s="139"/>
      <c r="AH540" s="139"/>
      <c r="AI540" s="139"/>
      <c r="AJ540" s="139"/>
      <c r="AK540" s="139"/>
      <c r="AL540" s="139"/>
      <c r="AM540" s="139"/>
      <c r="AN540" s="139"/>
      <c r="AO540" s="139"/>
      <c r="AP540" s="139"/>
      <c r="AQ540" s="139"/>
    </row>
    <row r="541" spans="1:43" ht="12.75" customHeight="1">
      <c r="A541" s="139"/>
      <c r="B541" s="139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39"/>
    </row>
    <row r="542" spans="1:43" ht="12.75" customHeight="1">
      <c r="A542" s="139"/>
      <c r="B542" s="139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39"/>
    </row>
    <row r="543" spans="1:43" ht="12.75" customHeight="1">
      <c r="A543" s="139"/>
      <c r="B543" s="139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39"/>
    </row>
    <row r="544" spans="1:43" ht="12.75" customHeight="1">
      <c r="A544" s="139"/>
      <c r="B544" s="139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  <c r="AB544" s="139"/>
      <c r="AC544" s="139"/>
      <c r="AD544" s="139"/>
      <c r="AE544" s="139"/>
      <c r="AF544" s="139"/>
      <c r="AG544" s="139"/>
      <c r="AH544" s="139"/>
      <c r="AI544" s="139"/>
      <c r="AJ544" s="139"/>
      <c r="AK544" s="139"/>
      <c r="AL544" s="139"/>
      <c r="AM544" s="139"/>
      <c r="AN544" s="139"/>
      <c r="AO544" s="139"/>
      <c r="AP544" s="139"/>
      <c r="AQ544" s="139"/>
    </row>
    <row r="545" spans="1:43" ht="12.75" customHeight="1">
      <c r="A545" s="139"/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  <c r="AB545" s="139"/>
      <c r="AC545" s="139"/>
      <c r="AD545" s="139"/>
      <c r="AE545" s="139"/>
      <c r="AF545" s="139"/>
      <c r="AG545" s="139"/>
      <c r="AH545" s="139"/>
      <c r="AI545" s="139"/>
      <c r="AJ545" s="139"/>
      <c r="AK545" s="139"/>
      <c r="AL545" s="139"/>
      <c r="AM545" s="139"/>
      <c r="AN545" s="139"/>
      <c r="AO545" s="139"/>
      <c r="AP545" s="139"/>
      <c r="AQ545" s="139"/>
    </row>
    <row r="546" spans="1:43" ht="12.75" customHeight="1">
      <c r="A546" s="139"/>
      <c r="B546" s="139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  <c r="AB546" s="139"/>
      <c r="AC546" s="139"/>
      <c r="AD546" s="139"/>
      <c r="AE546" s="139"/>
      <c r="AF546" s="139"/>
      <c r="AG546" s="139"/>
      <c r="AH546" s="139"/>
      <c r="AI546" s="139"/>
      <c r="AJ546" s="139"/>
      <c r="AK546" s="139"/>
      <c r="AL546" s="139"/>
      <c r="AM546" s="139"/>
      <c r="AN546" s="139"/>
      <c r="AO546" s="139"/>
      <c r="AP546" s="139"/>
      <c r="AQ546" s="139"/>
    </row>
    <row r="547" spans="1:43" ht="12.75" customHeight="1">
      <c r="A547" s="139"/>
      <c r="B547" s="139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  <c r="AB547" s="139"/>
      <c r="AC547" s="139"/>
      <c r="AD547" s="139"/>
      <c r="AE547" s="139"/>
      <c r="AF547" s="139"/>
      <c r="AG547" s="139"/>
      <c r="AH547" s="139"/>
      <c r="AI547" s="139"/>
      <c r="AJ547" s="139"/>
      <c r="AK547" s="139"/>
      <c r="AL547" s="139"/>
      <c r="AM547" s="139"/>
      <c r="AN547" s="139"/>
      <c r="AO547" s="139"/>
      <c r="AP547" s="139"/>
      <c r="AQ547" s="139"/>
    </row>
    <row r="548" spans="1:43" ht="12.75" customHeight="1">
      <c r="A548" s="139"/>
      <c r="B548" s="139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  <c r="AB548" s="139"/>
      <c r="AC548" s="139"/>
      <c r="AD548" s="139"/>
      <c r="AE548" s="139"/>
      <c r="AF548" s="139"/>
      <c r="AG548" s="139"/>
      <c r="AH548" s="139"/>
      <c r="AI548" s="139"/>
      <c r="AJ548" s="139"/>
      <c r="AK548" s="139"/>
      <c r="AL548" s="139"/>
      <c r="AM548" s="139"/>
      <c r="AN548" s="139"/>
      <c r="AO548" s="139"/>
      <c r="AP548" s="139"/>
      <c r="AQ548" s="139"/>
    </row>
    <row r="549" spans="1:43" ht="12.75" customHeight="1">
      <c r="A549" s="139"/>
      <c r="B549" s="139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  <c r="AB549" s="139"/>
      <c r="AC549" s="139"/>
      <c r="AD549" s="139"/>
      <c r="AE549" s="139"/>
      <c r="AF549" s="139"/>
      <c r="AG549" s="139"/>
      <c r="AH549" s="139"/>
      <c r="AI549" s="139"/>
      <c r="AJ549" s="139"/>
      <c r="AK549" s="139"/>
      <c r="AL549" s="139"/>
      <c r="AM549" s="139"/>
      <c r="AN549" s="139"/>
      <c r="AO549" s="139"/>
      <c r="AP549" s="139"/>
      <c r="AQ549" s="139"/>
    </row>
    <row r="550" spans="1:43" ht="12.75" customHeight="1">
      <c r="A550" s="139"/>
      <c r="B550" s="139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  <c r="AB550" s="139"/>
      <c r="AC550" s="139"/>
      <c r="AD550" s="139"/>
      <c r="AE550" s="139"/>
      <c r="AF550" s="139"/>
      <c r="AG550" s="139"/>
      <c r="AH550" s="139"/>
      <c r="AI550" s="139"/>
      <c r="AJ550" s="139"/>
      <c r="AK550" s="139"/>
      <c r="AL550" s="139"/>
      <c r="AM550" s="139"/>
      <c r="AN550" s="139"/>
      <c r="AO550" s="139"/>
      <c r="AP550" s="139"/>
      <c r="AQ550" s="139"/>
    </row>
    <row r="551" spans="1:43" ht="12.75" customHeight="1">
      <c r="A551" s="139"/>
      <c r="B551" s="139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  <c r="AB551" s="139"/>
      <c r="AC551" s="139"/>
      <c r="AD551" s="139"/>
      <c r="AE551" s="139"/>
      <c r="AF551" s="139"/>
      <c r="AG551" s="139"/>
      <c r="AH551" s="139"/>
      <c r="AI551" s="139"/>
      <c r="AJ551" s="139"/>
      <c r="AK551" s="139"/>
      <c r="AL551" s="139"/>
      <c r="AM551" s="139"/>
      <c r="AN551" s="139"/>
      <c r="AO551" s="139"/>
      <c r="AP551" s="139"/>
      <c r="AQ551" s="139"/>
    </row>
    <row r="552" spans="1:43" ht="12.75" customHeight="1">
      <c r="A552" s="139"/>
      <c r="B552" s="139"/>
      <c r="C552" s="139"/>
      <c r="D552" s="139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  <c r="S552" s="139"/>
      <c r="T552" s="139"/>
      <c r="U552" s="139"/>
      <c r="V552" s="139"/>
      <c r="W552" s="139"/>
      <c r="X552" s="139"/>
      <c r="Y552" s="139"/>
      <c r="Z552" s="139"/>
      <c r="AA552" s="139"/>
      <c r="AB552" s="139"/>
      <c r="AC552" s="139"/>
      <c r="AD552" s="139"/>
      <c r="AE552" s="139"/>
      <c r="AF552" s="139"/>
      <c r="AG552" s="139"/>
      <c r="AH552" s="139"/>
      <c r="AI552" s="139"/>
      <c r="AJ552" s="139"/>
      <c r="AK552" s="139"/>
      <c r="AL552" s="139"/>
      <c r="AM552" s="139"/>
      <c r="AN552" s="139"/>
      <c r="AO552" s="139"/>
      <c r="AP552" s="139"/>
      <c r="AQ552" s="139"/>
    </row>
    <row r="553" spans="1:43" ht="12.75" customHeight="1">
      <c r="A553" s="139"/>
      <c r="B553" s="139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  <c r="AB553" s="139"/>
      <c r="AC553" s="139"/>
      <c r="AD553" s="139"/>
      <c r="AE553" s="139"/>
      <c r="AF553" s="139"/>
      <c r="AG553" s="139"/>
      <c r="AH553" s="139"/>
      <c r="AI553" s="139"/>
      <c r="AJ553" s="139"/>
      <c r="AK553" s="139"/>
      <c r="AL553" s="139"/>
      <c r="AM553" s="139"/>
      <c r="AN553" s="139"/>
      <c r="AO553" s="139"/>
      <c r="AP553" s="139"/>
      <c r="AQ553" s="139"/>
    </row>
    <row r="554" spans="1:43" ht="12.75" customHeight="1">
      <c r="A554" s="139"/>
      <c r="B554" s="139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  <c r="AB554" s="139"/>
      <c r="AC554" s="139"/>
      <c r="AD554" s="139"/>
      <c r="AE554" s="139"/>
      <c r="AF554" s="139"/>
      <c r="AG554" s="139"/>
      <c r="AH554" s="139"/>
      <c r="AI554" s="139"/>
      <c r="AJ554" s="139"/>
      <c r="AK554" s="139"/>
      <c r="AL554" s="139"/>
      <c r="AM554" s="139"/>
      <c r="AN554" s="139"/>
      <c r="AO554" s="139"/>
      <c r="AP554" s="139"/>
      <c r="AQ554" s="139"/>
    </row>
    <row r="555" spans="1:43" ht="12.75" customHeight="1">
      <c r="A555" s="139"/>
      <c r="B555" s="139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  <c r="AB555" s="139"/>
      <c r="AC555" s="139"/>
      <c r="AD555" s="139"/>
      <c r="AE555" s="139"/>
      <c r="AF555" s="139"/>
      <c r="AG555" s="139"/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</row>
    <row r="556" spans="1:43" ht="12.75" customHeight="1">
      <c r="A556" s="139"/>
      <c r="B556" s="139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39"/>
      <c r="AG556" s="139"/>
      <c r="AH556" s="139"/>
      <c r="AI556" s="139"/>
      <c r="AJ556" s="139"/>
      <c r="AK556" s="139"/>
      <c r="AL556" s="139"/>
      <c r="AM556" s="139"/>
      <c r="AN556" s="139"/>
      <c r="AO556" s="139"/>
      <c r="AP556" s="139"/>
      <c r="AQ556" s="139"/>
    </row>
    <row r="557" spans="1:43" ht="12.75" customHeight="1">
      <c r="A557" s="139"/>
      <c r="B557" s="139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  <c r="AB557" s="139"/>
      <c r="AC557" s="139"/>
      <c r="AD557" s="139"/>
      <c r="AE557" s="139"/>
      <c r="AF557" s="139"/>
      <c r="AG557" s="139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</row>
    <row r="558" spans="1:43" ht="12.75" customHeight="1">
      <c r="A558" s="139"/>
      <c r="B558" s="139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  <c r="AB558" s="139"/>
      <c r="AC558" s="139"/>
      <c r="AD558" s="139"/>
      <c r="AE558" s="139"/>
      <c r="AF558" s="139"/>
      <c r="AG558" s="139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</row>
    <row r="559" spans="1:43" ht="12.75" customHeight="1">
      <c r="A559" s="139"/>
      <c r="B559" s="139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  <c r="AB559" s="139"/>
      <c r="AC559" s="139"/>
      <c r="AD559" s="139"/>
      <c r="AE559" s="139"/>
      <c r="AF559" s="139"/>
      <c r="AG559" s="139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</row>
    <row r="560" spans="1:43" ht="12.75" customHeight="1">
      <c r="A560" s="139"/>
      <c r="B560" s="139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  <c r="AB560" s="139"/>
      <c r="AC560" s="139"/>
      <c r="AD560" s="139"/>
      <c r="AE560" s="139"/>
      <c r="AF560" s="139"/>
      <c r="AG560" s="139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</row>
    <row r="561" spans="1:43" ht="12.75" customHeight="1">
      <c r="A561" s="139"/>
      <c r="B561" s="139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  <c r="AB561" s="139"/>
      <c r="AC561" s="139"/>
      <c r="AD561" s="139"/>
      <c r="AE561" s="139"/>
      <c r="AF561" s="139"/>
      <c r="AG561" s="139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</row>
    <row r="562" spans="1:43" ht="12.75" customHeight="1">
      <c r="A562" s="139"/>
      <c r="B562" s="139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  <c r="AB562" s="139"/>
      <c r="AC562" s="139"/>
      <c r="AD562" s="139"/>
      <c r="AE562" s="139"/>
      <c r="AF562" s="139"/>
      <c r="AG562" s="139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</row>
    <row r="563" spans="1:43" ht="12.75" customHeight="1">
      <c r="A563" s="139"/>
      <c r="B563" s="139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  <c r="AB563" s="139"/>
      <c r="AC563" s="139"/>
      <c r="AD563" s="139"/>
      <c r="AE563" s="139"/>
      <c r="AF563" s="139"/>
      <c r="AG563" s="139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</row>
    <row r="564" spans="1:43" ht="12.75" customHeight="1">
      <c r="A564" s="139"/>
      <c r="B564" s="139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  <c r="AB564" s="139"/>
      <c r="AC564" s="139"/>
      <c r="AD564" s="139"/>
      <c r="AE564" s="139"/>
      <c r="AF564" s="139"/>
      <c r="AG564" s="139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</row>
    <row r="565" spans="1:43" ht="12.75" customHeight="1">
      <c r="A565" s="139"/>
      <c r="B565" s="139"/>
      <c r="C565" s="139"/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  <c r="S565" s="139"/>
      <c r="T565" s="139"/>
      <c r="U565" s="139"/>
      <c r="V565" s="139"/>
      <c r="W565" s="139"/>
      <c r="X565" s="139"/>
      <c r="Y565" s="139"/>
      <c r="Z565" s="139"/>
      <c r="AA565" s="139"/>
      <c r="AB565" s="139"/>
      <c r="AC565" s="139"/>
      <c r="AD565" s="139"/>
      <c r="AE565" s="139"/>
      <c r="AF565" s="139"/>
      <c r="AG565" s="139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</row>
    <row r="566" spans="1:43" ht="12.75" customHeight="1">
      <c r="A566" s="139"/>
      <c r="B566" s="139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  <c r="AB566" s="139"/>
      <c r="AC566" s="139"/>
      <c r="AD566" s="139"/>
      <c r="AE566" s="139"/>
      <c r="AF566" s="139"/>
      <c r="AG566" s="139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</row>
    <row r="567" spans="1:43" ht="12.75" customHeight="1">
      <c r="A567" s="139"/>
      <c r="B567" s="139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  <c r="AB567" s="139"/>
      <c r="AC567" s="139"/>
      <c r="AD567" s="139"/>
      <c r="AE567" s="139"/>
      <c r="AF567" s="139"/>
      <c r="AG567" s="139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</row>
    <row r="568" spans="1:43" ht="12.75" customHeight="1">
      <c r="A568" s="139"/>
      <c r="B568" s="139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  <c r="AB568" s="139"/>
      <c r="AC568" s="139"/>
      <c r="AD568" s="139"/>
      <c r="AE568" s="139"/>
      <c r="AF568" s="139"/>
      <c r="AG568" s="139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</row>
    <row r="569" spans="1:43" ht="12.75" customHeight="1">
      <c r="A569" s="139"/>
      <c r="B569" s="139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  <c r="AB569" s="139"/>
      <c r="AC569" s="139"/>
      <c r="AD569" s="139"/>
      <c r="AE569" s="139"/>
      <c r="AF569" s="139"/>
      <c r="AG569" s="139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</row>
    <row r="570" spans="1:43" ht="12.75" customHeight="1">
      <c r="A570" s="139"/>
      <c r="B570" s="139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  <c r="AB570" s="139"/>
      <c r="AC570" s="139"/>
      <c r="AD570" s="139"/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</row>
    <row r="571" spans="1:43" ht="12.75" customHeight="1">
      <c r="A571" s="139"/>
      <c r="B571" s="139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  <c r="AB571" s="139"/>
      <c r="AC571" s="139"/>
      <c r="AD571" s="139"/>
      <c r="AE571" s="139"/>
      <c r="AF571" s="139"/>
      <c r="AG571" s="139"/>
      <c r="AH571" s="139"/>
      <c r="AI571" s="139"/>
      <c r="AJ571" s="139"/>
      <c r="AK571" s="139"/>
      <c r="AL571" s="139"/>
      <c r="AM571" s="139"/>
      <c r="AN571" s="139"/>
      <c r="AO571" s="139"/>
      <c r="AP571" s="139"/>
      <c r="AQ571" s="139"/>
    </row>
    <row r="572" spans="1:43" ht="12.75" customHeight="1">
      <c r="A572" s="139"/>
      <c r="B572" s="139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  <c r="AB572" s="139"/>
      <c r="AC572" s="139"/>
      <c r="AD572" s="139"/>
      <c r="AE572" s="139"/>
      <c r="AF572" s="139"/>
      <c r="AG572" s="139"/>
      <c r="AH572" s="139"/>
      <c r="AI572" s="139"/>
      <c r="AJ572" s="139"/>
      <c r="AK572" s="139"/>
      <c r="AL572" s="139"/>
      <c r="AM572" s="139"/>
      <c r="AN572" s="139"/>
      <c r="AO572" s="139"/>
      <c r="AP572" s="139"/>
      <c r="AQ572" s="139"/>
    </row>
    <row r="573" spans="1:43" ht="12.75" customHeight="1">
      <c r="A573" s="139"/>
      <c r="B573" s="139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  <c r="AB573" s="139"/>
      <c r="AC573" s="139"/>
      <c r="AD573" s="139"/>
      <c r="AE573" s="139"/>
      <c r="AF573" s="139"/>
      <c r="AG573" s="139"/>
      <c r="AH573" s="139"/>
      <c r="AI573" s="139"/>
      <c r="AJ573" s="139"/>
      <c r="AK573" s="139"/>
      <c r="AL573" s="139"/>
      <c r="AM573" s="139"/>
      <c r="AN573" s="139"/>
      <c r="AO573" s="139"/>
      <c r="AP573" s="139"/>
      <c r="AQ573" s="139"/>
    </row>
    <row r="574" spans="1:43" ht="12.75" customHeight="1">
      <c r="A574" s="139"/>
      <c r="B574" s="139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  <c r="AB574" s="139"/>
      <c r="AC574" s="139"/>
      <c r="AD574" s="139"/>
      <c r="AE574" s="139"/>
      <c r="AF574" s="139"/>
      <c r="AG574" s="139"/>
      <c r="AH574" s="139"/>
      <c r="AI574" s="139"/>
      <c r="AJ574" s="139"/>
      <c r="AK574" s="139"/>
      <c r="AL574" s="139"/>
      <c r="AM574" s="139"/>
      <c r="AN574" s="139"/>
      <c r="AO574" s="139"/>
      <c r="AP574" s="139"/>
      <c r="AQ574" s="139"/>
    </row>
    <row r="575" spans="1:43" ht="12.75" customHeight="1">
      <c r="A575" s="139"/>
      <c r="B575" s="139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  <c r="AB575" s="139"/>
      <c r="AC575" s="139"/>
      <c r="AD575" s="139"/>
      <c r="AE575" s="139"/>
      <c r="AF575" s="139"/>
      <c r="AG575" s="139"/>
      <c r="AH575" s="139"/>
      <c r="AI575" s="139"/>
      <c r="AJ575" s="139"/>
      <c r="AK575" s="139"/>
      <c r="AL575" s="139"/>
      <c r="AM575" s="139"/>
      <c r="AN575" s="139"/>
      <c r="AO575" s="139"/>
      <c r="AP575" s="139"/>
      <c r="AQ575" s="139"/>
    </row>
    <row r="576" spans="1:43" ht="12.75" customHeight="1">
      <c r="A576" s="139"/>
      <c r="B576" s="139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  <c r="AB576" s="139"/>
      <c r="AC576" s="139"/>
      <c r="AD576" s="139"/>
      <c r="AE576" s="139"/>
      <c r="AF576" s="139"/>
      <c r="AG576" s="139"/>
      <c r="AH576" s="139"/>
      <c r="AI576" s="139"/>
      <c r="AJ576" s="139"/>
      <c r="AK576" s="139"/>
      <c r="AL576" s="139"/>
      <c r="AM576" s="139"/>
      <c r="AN576" s="139"/>
      <c r="AO576" s="139"/>
      <c r="AP576" s="139"/>
      <c r="AQ576" s="139"/>
    </row>
    <row r="577" spans="1:43" ht="12.75" customHeight="1">
      <c r="A577" s="139"/>
      <c r="B577" s="139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  <c r="AB577" s="139"/>
      <c r="AC577" s="139"/>
      <c r="AD577" s="139"/>
      <c r="AE577" s="139"/>
      <c r="AF577" s="139"/>
      <c r="AG577" s="139"/>
      <c r="AH577" s="139"/>
      <c r="AI577" s="139"/>
      <c r="AJ577" s="139"/>
      <c r="AK577" s="139"/>
      <c r="AL577" s="139"/>
      <c r="AM577" s="139"/>
      <c r="AN577" s="139"/>
      <c r="AO577" s="139"/>
      <c r="AP577" s="139"/>
      <c r="AQ577" s="139"/>
    </row>
    <row r="578" spans="1:43" ht="12.75" customHeight="1">
      <c r="A578" s="139"/>
      <c r="B578" s="139"/>
      <c r="C578" s="139"/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  <c r="S578" s="139"/>
      <c r="T578" s="139"/>
      <c r="U578" s="139"/>
      <c r="V578" s="139"/>
      <c r="W578" s="139"/>
      <c r="X578" s="139"/>
      <c r="Y578" s="139"/>
      <c r="Z578" s="139"/>
      <c r="AA578" s="139"/>
      <c r="AB578" s="139"/>
      <c r="AC578" s="139"/>
      <c r="AD578" s="139"/>
      <c r="AE578" s="139"/>
      <c r="AF578" s="139"/>
      <c r="AG578" s="139"/>
      <c r="AH578" s="139"/>
      <c r="AI578" s="139"/>
      <c r="AJ578" s="139"/>
      <c r="AK578" s="139"/>
      <c r="AL578" s="139"/>
      <c r="AM578" s="139"/>
      <c r="AN578" s="139"/>
      <c r="AO578" s="139"/>
      <c r="AP578" s="139"/>
      <c r="AQ578" s="139"/>
    </row>
    <row r="579" spans="1:43" ht="12.75" customHeight="1">
      <c r="A579" s="139"/>
      <c r="B579" s="139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  <c r="AB579" s="139"/>
      <c r="AC579" s="139"/>
      <c r="AD579" s="139"/>
      <c r="AE579" s="139"/>
      <c r="AF579" s="139"/>
      <c r="AG579" s="139"/>
      <c r="AH579" s="139"/>
      <c r="AI579" s="139"/>
      <c r="AJ579" s="139"/>
      <c r="AK579" s="139"/>
      <c r="AL579" s="139"/>
      <c r="AM579" s="139"/>
      <c r="AN579" s="139"/>
      <c r="AO579" s="139"/>
      <c r="AP579" s="139"/>
      <c r="AQ579" s="139"/>
    </row>
    <row r="580" spans="1:43" ht="12.75" customHeight="1">
      <c r="A580" s="139"/>
      <c r="B580" s="139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  <c r="AB580" s="139"/>
      <c r="AC580" s="139"/>
      <c r="AD580" s="139"/>
      <c r="AE580" s="139"/>
      <c r="AF580" s="139"/>
      <c r="AG580" s="139"/>
      <c r="AH580" s="139"/>
      <c r="AI580" s="139"/>
      <c r="AJ580" s="139"/>
      <c r="AK580" s="139"/>
      <c r="AL580" s="139"/>
      <c r="AM580" s="139"/>
      <c r="AN580" s="139"/>
      <c r="AO580" s="139"/>
      <c r="AP580" s="139"/>
      <c r="AQ580" s="139"/>
    </row>
    <row r="581" spans="1:43" ht="12.75" customHeight="1">
      <c r="A581" s="139"/>
      <c r="B581" s="139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  <c r="AB581" s="139"/>
      <c r="AC581" s="139"/>
      <c r="AD581" s="139"/>
      <c r="AE581" s="139"/>
      <c r="AF581" s="139"/>
      <c r="AG581" s="139"/>
      <c r="AH581" s="139"/>
      <c r="AI581" s="139"/>
      <c r="AJ581" s="139"/>
      <c r="AK581" s="139"/>
      <c r="AL581" s="139"/>
      <c r="AM581" s="139"/>
      <c r="AN581" s="139"/>
      <c r="AO581" s="139"/>
      <c r="AP581" s="139"/>
      <c r="AQ581" s="139"/>
    </row>
    <row r="582" spans="1:43" ht="12.75" customHeight="1">
      <c r="A582" s="139"/>
      <c r="B582" s="139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  <c r="AB582" s="139"/>
      <c r="AC582" s="139"/>
      <c r="AD582" s="139"/>
      <c r="AE582" s="139"/>
      <c r="AF582" s="139"/>
      <c r="AG582" s="139"/>
      <c r="AH582" s="139"/>
      <c r="AI582" s="139"/>
      <c r="AJ582" s="139"/>
      <c r="AK582" s="139"/>
      <c r="AL582" s="139"/>
      <c r="AM582" s="139"/>
      <c r="AN582" s="139"/>
      <c r="AO582" s="139"/>
      <c r="AP582" s="139"/>
      <c r="AQ582" s="139"/>
    </row>
    <row r="583" spans="1:43" ht="12.75" customHeight="1">
      <c r="A583" s="139"/>
      <c r="B583" s="139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  <c r="AB583" s="139"/>
      <c r="AC583" s="139"/>
      <c r="AD583" s="139"/>
      <c r="AE583" s="139"/>
      <c r="AF583" s="139"/>
      <c r="AG583" s="139"/>
      <c r="AH583" s="139"/>
      <c r="AI583" s="139"/>
      <c r="AJ583" s="139"/>
      <c r="AK583" s="139"/>
      <c r="AL583" s="139"/>
      <c r="AM583" s="139"/>
      <c r="AN583" s="139"/>
      <c r="AO583" s="139"/>
      <c r="AP583" s="139"/>
      <c r="AQ583" s="139"/>
    </row>
    <row r="584" spans="1:43" ht="12.75" customHeight="1">
      <c r="A584" s="139"/>
      <c r="B584" s="139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  <c r="AB584" s="139"/>
      <c r="AC584" s="139"/>
      <c r="AD584" s="139"/>
      <c r="AE584" s="139"/>
      <c r="AF584" s="139"/>
      <c r="AG584" s="139"/>
      <c r="AH584" s="139"/>
      <c r="AI584" s="139"/>
      <c r="AJ584" s="139"/>
      <c r="AK584" s="139"/>
      <c r="AL584" s="139"/>
      <c r="AM584" s="139"/>
      <c r="AN584" s="139"/>
      <c r="AO584" s="139"/>
      <c r="AP584" s="139"/>
      <c r="AQ584" s="139"/>
    </row>
    <row r="585" spans="1:43" ht="12.75" customHeight="1">
      <c r="A585" s="139"/>
      <c r="B585" s="139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  <c r="AB585" s="139"/>
      <c r="AC585" s="139"/>
      <c r="AD585" s="139"/>
      <c r="AE585" s="139"/>
      <c r="AF585" s="139"/>
      <c r="AG585" s="139"/>
      <c r="AH585" s="139"/>
      <c r="AI585" s="139"/>
      <c r="AJ585" s="139"/>
      <c r="AK585" s="139"/>
      <c r="AL585" s="139"/>
      <c r="AM585" s="139"/>
      <c r="AN585" s="139"/>
      <c r="AO585" s="139"/>
      <c r="AP585" s="139"/>
      <c r="AQ585" s="139"/>
    </row>
    <row r="586" spans="1:43" ht="12.75" customHeight="1">
      <c r="A586" s="139"/>
      <c r="B586" s="139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  <c r="AB586" s="139"/>
      <c r="AC586" s="139"/>
      <c r="AD586" s="139"/>
      <c r="AE586" s="139"/>
      <c r="AF586" s="139"/>
      <c r="AG586" s="139"/>
      <c r="AH586" s="139"/>
      <c r="AI586" s="139"/>
      <c r="AJ586" s="139"/>
      <c r="AK586" s="139"/>
      <c r="AL586" s="139"/>
      <c r="AM586" s="139"/>
      <c r="AN586" s="139"/>
      <c r="AO586" s="139"/>
      <c r="AP586" s="139"/>
      <c r="AQ586" s="139"/>
    </row>
    <row r="587" spans="1:43" ht="12.75" customHeight="1">
      <c r="A587" s="139"/>
      <c r="B587" s="139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  <c r="AB587" s="139"/>
      <c r="AC587" s="139"/>
      <c r="AD587" s="139"/>
      <c r="AE587" s="139"/>
      <c r="AF587" s="139"/>
      <c r="AG587" s="139"/>
      <c r="AH587" s="139"/>
      <c r="AI587" s="139"/>
      <c r="AJ587" s="139"/>
      <c r="AK587" s="139"/>
      <c r="AL587" s="139"/>
      <c r="AM587" s="139"/>
      <c r="AN587" s="139"/>
      <c r="AO587" s="139"/>
      <c r="AP587" s="139"/>
      <c r="AQ587" s="139"/>
    </row>
    <row r="588" spans="1:43" ht="12.75" customHeight="1">
      <c r="A588" s="139"/>
      <c r="B588" s="139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  <c r="AB588" s="139"/>
      <c r="AC588" s="139"/>
      <c r="AD588" s="139"/>
      <c r="AE588" s="139"/>
      <c r="AF588" s="139"/>
      <c r="AG588" s="139"/>
      <c r="AH588" s="139"/>
      <c r="AI588" s="139"/>
      <c r="AJ588" s="139"/>
      <c r="AK588" s="139"/>
      <c r="AL588" s="139"/>
      <c r="AM588" s="139"/>
      <c r="AN588" s="139"/>
      <c r="AO588" s="139"/>
      <c r="AP588" s="139"/>
      <c r="AQ588" s="139"/>
    </row>
    <row r="589" spans="1:43" ht="12.75" customHeight="1">
      <c r="A589" s="139"/>
      <c r="B589" s="139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  <c r="AB589" s="139"/>
      <c r="AC589" s="139"/>
      <c r="AD589" s="139"/>
      <c r="AE589" s="139"/>
      <c r="AF589" s="139"/>
      <c r="AG589" s="139"/>
      <c r="AH589" s="139"/>
      <c r="AI589" s="139"/>
      <c r="AJ589" s="139"/>
      <c r="AK589" s="139"/>
      <c r="AL589" s="139"/>
      <c r="AM589" s="139"/>
      <c r="AN589" s="139"/>
      <c r="AO589" s="139"/>
      <c r="AP589" s="139"/>
      <c r="AQ589" s="139"/>
    </row>
    <row r="590" spans="1:43" ht="12.75" customHeight="1">
      <c r="A590" s="139"/>
      <c r="B590" s="139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  <c r="AB590" s="139"/>
      <c r="AC590" s="139"/>
      <c r="AD590" s="139"/>
      <c r="AE590" s="139"/>
      <c r="AF590" s="139"/>
      <c r="AG590" s="139"/>
      <c r="AH590" s="139"/>
      <c r="AI590" s="139"/>
      <c r="AJ590" s="139"/>
      <c r="AK590" s="139"/>
      <c r="AL590" s="139"/>
      <c r="AM590" s="139"/>
      <c r="AN590" s="139"/>
      <c r="AO590" s="139"/>
      <c r="AP590" s="139"/>
      <c r="AQ590" s="139"/>
    </row>
    <row r="591" spans="1:43" ht="12.75" customHeight="1">
      <c r="A591" s="139"/>
      <c r="B591" s="139"/>
      <c r="C591" s="139"/>
      <c r="D591" s="139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  <c r="S591" s="139"/>
      <c r="T591" s="139"/>
      <c r="U591" s="139"/>
      <c r="V591" s="139"/>
      <c r="W591" s="139"/>
      <c r="X591" s="139"/>
      <c r="Y591" s="139"/>
      <c r="Z591" s="139"/>
      <c r="AA591" s="139"/>
      <c r="AB591" s="139"/>
      <c r="AC591" s="139"/>
      <c r="AD591" s="139"/>
      <c r="AE591" s="139"/>
      <c r="AF591" s="139"/>
      <c r="AG591" s="139"/>
      <c r="AH591" s="139"/>
      <c r="AI591" s="139"/>
      <c r="AJ591" s="139"/>
      <c r="AK591" s="139"/>
      <c r="AL591" s="139"/>
      <c r="AM591" s="139"/>
      <c r="AN591" s="139"/>
      <c r="AO591" s="139"/>
      <c r="AP591" s="139"/>
      <c r="AQ591" s="139"/>
    </row>
    <row r="592" spans="1:43" ht="12.75" customHeight="1">
      <c r="A592" s="139"/>
      <c r="B592" s="139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  <c r="AB592" s="139"/>
      <c r="AC592" s="139"/>
      <c r="AD592" s="139"/>
      <c r="AE592" s="139"/>
      <c r="AF592" s="139"/>
      <c r="AG592" s="139"/>
      <c r="AH592" s="139"/>
      <c r="AI592" s="139"/>
      <c r="AJ592" s="139"/>
      <c r="AK592" s="139"/>
      <c r="AL592" s="139"/>
      <c r="AM592" s="139"/>
      <c r="AN592" s="139"/>
      <c r="AO592" s="139"/>
      <c r="AP592" s="139"/>
      <c r="AQ592" s="139"/>
    </row>
    <row r="593" spans="1:43" ht="12.75" customHeight="1">
      <c r="A593" s="139"/>
      <c r="B593" s="139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  <c r="AB593" s="139"/>
      <c r="AC593" s="139"/>
      <c r="AD593" s="139"/>
      <c r="AE593" s="139"/>
      <c r="AF593" s="139"/>
      <c r="AG593" s="139"/>
      <c r="AH593" s="139"/>
      <c r="AI593" s="139"/>
      <c r="AJ593" s="139"/>
      <c r="AK593" s="139"/>
      <c r="AL593" s="139"/>
      <c r="AM593" s="139"/>
      <c r="AN593" s="139"/>
      <c r="AO593" s="139"/>
      <c r="AP593" s="139"/>
      <c r="AQ593" s="139"/>
    </row>
    <row r="594" spans="1:43" ht="12.75" customHeight="1">
      <c r="A594" s="139"/>
      <c r="B594" s="139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  <c r="AB594" s="139"/>
      <c r="AC594" s="139"/>
      <c r="AD594" s="139"/>
      <c r="AE594" s="139"/>
      <c r="AF594" s="139"/>
      <c r="AG594" s="139"/>
      <c r="AH594" s="139"/>
      <c r="AI594" s="139"/>
      <c r="AJ594" s="139"/>
      <c r="AK594" s="139"/>
      <c r="AL594" s="139"/>
      <c r="AM594" s="139"/>
      <c r="AN594" s="139"/>
      <c r="AO594" s="139"/>
      <c r="AP594" s="139"/>
      <c r="AQ594" s="139"/>
    </row>
    <row r="595" spans="1:43" ht="12.75" customHeight="1">
      <c r="A595" s="139"/>
      <c r="B595" s="139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  <c r="AB595" s="139"/>
      <c r="AC595" s="139"/>
      <c r="AD595" s="139"/>
      <c r="AE595" s="139"/>
      <c r="AF595" s="139"/>
      <c r="AG595" s="139"/>
      <c r="AH595" s="139"/>
      <c r="AI595" s="139"/>
      <c r="AJ595" s="139"/>
      <c r="AK595" s="139"/>
      <c r="AL595" s="139"/>
      <c r="AM595" s="139"/>
      <c r="AN595" s="139"/>
      <c r="AO595" s="139"/>
      <c r="AP595" s="139"/>
      <c r="AQ595" s="139"/>
    </row>
    <row r="596" spans="1:43" ht="12.75" customHeight="1">
      <c r="A596" s="139"/>
      <c r="B596" s="139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  <c r="AB596" s="139"/>
      <c r="AC596" s="139"/>
      <c r="AD596" s="139"/>
      <c r="AE596" s="139"/>
      <c r="AF596" s="139"/>
      <c r="AG596" s="139"/>
      <c r="AH596" s="139"/>
      <c r="AI596" s="139"/>
      <c r="AJ596" s="139"/>
      <c r="AK596" s="139"/>
      <c r="AL596" s="139"/>
      <c r="AM596" s="139"/>
      <c r="AN596" s="139"/>
      <c r="AO596" s="139"/>
      <c r="AP596" s="139"/>
      <c r="AQ596" s="139"/>
    </row>
    <row r="597" spans="1:43" ht="12.75" customHeight="1">
      <c r="A597" s="139"/>
      <c r="B597" s="139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  <c r="AB597" s="139"/>
      <c r="AC597" s="139"/>
      <c r="AD597" s="139"/>
      <c r="AE597" s="139"/>
      <c r="AF597" s="139"/>
      <c r="AG597" s="139"/>
      <c r="AH597" s="139"/>
      <c r="AI597" s="139"/>
      <c r="AJ597" s="139"/>
      <c r="AK597" s="139"/>
      <c r="AL597" s="139"/>
      <c r="AM597" s="139"/>
      <c r="AN597" s="139"/>
      <c r="AO597" s="139"/>
      <c r="AP597" s="139"/>
      <c r="AQ597" s="139"/>
    </row>
    <row r="598" spans="1:43" ht="12.75" customHeight="1">
      <c r="A598" s="139"/>
      <c r="B598" s="139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  <c r="AB598" s="139"/>
      <c r="AC598" s="139"/>
      <c r="AD598" s="139"/>
      <c r="AE598" s="139"/>
      <c r="AF598" s="139"/>
      <c r="AG598" s="139"/>
      <c r="AH598" s="139"/>
      <c r="AI598" s="139"/>
      <c r="AJ598" s="139"/>
      <c r="AK598" s="139"/>
      <c r="AL598" s="139"/>
      <c r="AM598" s="139"/>
      <c r="AN598" s="139"/>
      <c r="AO598" s="139"/>
      <c r="AP598" s="139"/>
      <c r="AQ598" s="139"/>
    </row>
    <row r="599" spans="1:43" ht="12.75" customHeight="1">
      <c r="A599" s="139"/>
      <c r="B599" s="139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  <c r="AB599" s="139"/>
      <c r="AC599" s="139"/>
      <c r="AD599" s="139"/>
      <c r="AE599" s="139"/>
      <c r="AF599" s="139"/>
      <c r="AG599" s="139"/>
      <c r="AH599" s="139"/>
      <c r="AI599" s="139"/>
      <c r="AJ599" s="139"/>
      <c r="AK599" s="139"/>
      <c r="AL599" s="139"/>
      <c r="AM599" s="139"/>
      <c r="AN599" s="139"/>
      <c r="AO599" s="139"/>
      <c r="AP599" s="139"/>
      <c r="AQ599" s="139"/>
    </row>
    <row r="600" spans="1:43" ht="12.75" customHeight="1">
      <c r="A600" s="139"/>
      <c r="B600" s="139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</row>
    <row r="601" spans="1:43" ht="12.75" customHeight="1">
      <c r="A601" s="139"/>
      <c r="B601" s="139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</row>
    <row r="602" spans="1:43" ht="12.75" customHeight="1">
      <c r="A602" s="139"/>
      <c r="B602" s="139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  <c r="AB602" s="139"/>
      <c r="AC602" s="139"/>
      <c r="AD602" s="139"/>
      <c r="AE602" s="139"/>
      <c r="AF602" s="139"/>
      <c r="AG602" s="139"/>
      <c r="AH602" s="139"/>
      <c r="AI602" s="139"/>
      <c r="AJ602" s="139"/>
      <c r="AK602" s="139"/>
      <c r="AL602" s="139"/>
      <c r="AM602" s="139"/>
      <c r="AN602" s="139"/>
      <c r="AO602" s="139"/>
      <c r="AP602" s="139"/>
      <c r="AQ602" s="139"/>
    </row>
    <row r="603" spans="1:43" ht="12.75" customHeight="1">
      <c r="A603" s="139"/>
      <c r="B603" s="139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  <c r="AB603" s="139"/>
      <c r="AC603" s="139"/>
      <c r="AD603" s="139"/>
      <c r="AE603" s="139"/>
      <c r="AF603" s="139"/>
      <c r="AG603" s="139"/>
      <c r="AH603" s="139"/>
      <c r="AI603" s="139"/>
      <c r="AJ603" s="139"/>
      <c r="AK603" s="139"/>
      <c r="AL603" s="139"/>
      <c r="AM603" s="139"/>
      <c r="AN603" s="139"/>
      <c r="AO603" s="139"/>
      <c r="AP603" s="139"/>
      <c r="AQ603" s="139"/>
    </row>
    <row r="604" spans="1:43" ht="12.75" customHeight="1">
      <c r="A604" s="139"/>
      <c r="B604" s="139"/>
      <c r="C604" s="139"/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39"/>
      <c r="O604" s="139"/>
      <c r="P604" s="139"/>
      <c r="Q604" s="139"/>
      <c r="R604" s="139"/>
      <c r="S604" s="139"/>
      <c r="T604" s="139"/>
      <c r="U604" s="139"/>
      <c r="V604" s="139"/>
      <c r="W604" s="139"/>
      <c r="X604" s="139"/>
      <c r="Y604" s="139"/>
      <c r="Z604" s="139"/>
      <c r="AA604" s="139"/>
      <c r="AB604" s="139"/>
      <c r="AC604" s="139"/>
      <c r="AD604" s="139"/>
      <c r="AE604" s="139"/>
      <c r="AF604" s="139"/>
      <c r="AG604" s="139"/>
      <c r="AH604" s="139"/>
      <c r="AI604" s="139"/>
      <c r="AJ604" s="139"/>
      <c r="AK604" s="139"/>
      <c r="AL604" s="139"/>
      <c r="AM604" s="139"/>
      <c r="AN604" s="139"/>
      <c r="AO604" s="139"/>
      <c r="AP604" s="139"/>
      <c r="AQ604" s="139"/>
    </row>
    <row r="605" spans="1:43" ht="12.75" customHeight="1">
      <c r="A605" s="139"/>
      <c r="B605" s="139"/>
      <c r="C605" s="139"/>
      <c r="D605" s="139"/>
      <c r="E605" s="139"/>
      <c r="F605" s="139"/>
      <c r="G605" s="139"/>
      <c r="H605" s="139"/>
      <c r="I605" s="139"/>
      <c r="J605" s="139"/>
      <c r="K605" s="139"/>
      <c r="L605" s="139"/>
      <c r="M605" s="139"/>
      <c r="N605" s="139"/>
      <c r="O605" s="139"/>
      <c r="P605" s="139"/>
      <c r="Q605" s="139"/>
      <c r="R605" s="139"/>
      <c r="S605" s="139"/>
      <c r="T605" s="139"/>
      <c r="U605" s="139"/>
      <c r="V605" s="139"/>
      <c r="W605" s="139"/>
      <c r="X605" s="139"/>
      <c r="Y605" s="139"/>
      <c r="Z605" s="139"/>
      <c r="AA605" s="139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</row>
    <row r="606" spans="1:43" ht="12.75" customHeight="1">
      <c r="A606" s="139"/>
      <c r="B606" s="139"/>
      <c r="C606" s="139"/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39"/>
      <c r="O606" s="139"/>
      <c r="P606" s="139"/>
      <c r="Q606" s="139"/>
      <c r="R606" s="139"/>
      <c r="S606" s="139"/>
      <c r="T606" s="139"/>
      <c r="U606" s="139"/>
      <c r="V606" s="139"/>
      <c r="W606" s="139"/>
      <c r="X606" s="139"/>
      <c r="Y606" s="139"/>
      <c r="Z606" s="139"/>
      <c r="AA606" s="139"/>
      <c r="AB606" s="139"/>
      <c r="AC606" s="139"/>
      <c r="AD606" s="139"/>
      <c r="AE606" s="139"/>
      <c r="AF606" s="139"/>
      <c r="AG606" s="139"/>
      <c r="AH606" s="139"/>
      <c r="AI606" s="139"/>
      <c r="AJ606" s="139"/>
      <c r="AK606" s="139"/>
      <c r="AL606" s="139"/>
      <c r="AM606" s="139"/>
      <c r="AN606" s="139"/>
      <c r="AO606" s="139"/>
      <c r="AP606" s="139"/>
      <c r="AQ606" s="139"/>
    </row>
    <row r="607" spans="1:43" ht="12.75" customHeight="1">
      <c r="A607" s="139"/>
      <c r="B607" s="139"/>
      <c r="C607" s="139"/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39"/>
      <c r="O607" s="139"/>
      <c r="P607" s="139"/>
      <c r="Q607" s="139"/>
      <c r="R607" s="139"/>
      <c r="S607" s="139"/>
      <c r="T607" s="139"/>
      <c r="U607" s="139"/>
      <c r="V607" s="139"/>
      <c r="W607" s="139"/>
      <c r="X607" s="139"/>
      <c r="Y607" s="139"/>
      <c r="Z607" s="139"/>
      <c r="AA607" s="139"/>
      <c r="AB607" s="139"/>
      <c r="AC607" s="139"/>
      <c r="AD607" s="139"/>
      <c r="AE607" s="139"/>
      <c r="AF607" s="139"/>
      <c r="AG607" s="139"/>
      <c r="AH607" s="139"/>
      <c r="AI607" s="139"/>
      <c r="AJ607" s="139"/>
      <c r="AK607" s="139"/>
      <c r="AL607" s="139"/>
      <c r="AM607" s="139"/>
      <c r="AN607" s="139"/>
      <c r="AO607" s="139"/>
      <c r="AP607" s="139"/>
      <c r="AQ607" s="139"/>
    </row>
    <row r="608" spans="1:43" ht="12.75" customHeight="1">
      <c r="A608" s="139"/>
      <c r="B608" s="139"/>
      <c r="C608" s="139"/>
      <c r="D608" s="139"/>
      <c r="E608" s="139"/>
      <c r="F608" s="139"/>
      <c r="G608" s="139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/>
      <c r="Y608" s="139"/>
      <c r="Z608" s="139"/>
      <c r="AA608" s="139"/>
      <c r="AB608" s="139"/>
      <c r="AC608" s="139"/>
      <c r="AD608" s="139"/>
      <c r="AE608" s="139"/>
      <c r="AF608" s="139"/>
      <c r="AG608" s="139"/>
      <c r="AH608" s="139"/>
      <c r="AI608" s="139"/>
      <c r="AJ608" s="139"/>
      <c r="AK608" s="139"/>
      <c r="AL608" s="139"/>
      <c r="AM608" s="139"/>
      <c r="AN608" s="139"/>
      <c r="AO608" s="139"/>
      <c r="AP608" s="139"/>
      <c r="AQ608" s="139"/>
    </row>
    <row r="609" spans="1:43" ht="12.75" customHeight="1">
      <c r="A609" s="139"/>
      <c r="B609" s="139"/>
      <c r="C609" s="139"/>
      <c r="D609" s="139"/>
      <c r="E609" s="139"/>
      <c r="F609" s="139"/>
      <c r="G609" s="139"/>
      <c r="H609" s="139"/>
      <c r="I609" s="139"/>
      <c r="J609" s="139"/>
      <c r="K609" s="139"/>
      <c r="L609" s="139"/>
      <c r="M609" s="139"/>
      <c r="N609" s="139"/>
      <c r="O609" s="139"/>
      <c r="P609" s="139"/>
      <c r="Q609" s="139"/>
      <c r="R609" s="139"/>
      <c r="S609" s="139"/>
      <c r="T609" s="139"/>
      <c r="U609" s="139"/>
      <c r="V609" s="139"/>
      <c r="W609" s="139"/>
      <c r="X609" s="139"/>
      <c r="Y609" s="139"/>
      <c r="Z609" s="139"/>
      <c r="AA609" s="139"/>
      <c r="AB609" s="139"/>
      <c r="AC609" s="139"/>
      <c r="AD609" s="139"/>
      <c r="AE609" s="139"/>
      <c r="AF609" s="139"/>
      <c r="AG609" s="139"/>
      <c r="AH609" s="139"/>
      <c r="AI609" s="139"/>
      <c r="AJ609" s="139"/>
      <c r="AK609" s="139"/>
      <c r="AL609" s="139"/>
      <c r="AM609" s="139"/>
      <c r="AN609" s="139"/>
      <c r="AO609" s="139"/>
      <c r="AP609" s="139"/>
      <c r="AQ609" s="139"/>
    </row>
    <row r="610" spans="1:43" ht="12.75" customHeight="1">
      <c r="A610" s="139"/>
      <c r="B610" s="139"/>
      <c r="C610" s="139"/>
      <c r="D610" s="139"/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39"/>
      <c r="P610" s="139"/>
      <c r="Q610" s="139"/>
      <c r="R610" s="139"/>
      <c r="S610" s="139"/>
      <c r="T610" s="139"/>
      <c r="U610" s="139"/>
      <c r="V610" s="139"/>
      <c r="W610" s="139"/>
      <c r="X610" s="139"/>
      <c r="Y610" s="139"/>
      <c r="Z610" s="139"/>
      <c r="AA610" s="139"/>
      <c r="AB610" s="139"/>
      <c r="AC610" s="139"/>
      <c r="AD610" s="139"/>
      <c r="AE610" s="139"/>
      <c r="AF610" s="139"/>
      <c r="AG610" s="139"/>
      <c r="AH610" s="139"/>
      <c r="AI610" s="139"/>
      <c r="AJ610" s="139"/>
      <c r="AK610" s="139"/>
      <c r="AL610" s="139"/>
      <c r="AM610" s="139"/>
      <c r="AN610" s="139"/>
      <c r="AO610" s="139"/>
      <c r="AP610" s="139"/>
      <c r="AQ610" s="139"/>
    </row>
    <row r="611" spans="1:43" ht="12.75" customHeight="1">
      <c r="A611" s="139"/>
      <c r="B611" s="139"/>
      <c r="C611" s="139"/>
      <c r="D611" s="139"/>
      <c r="E611" s="139"/>
      <c r="F611" s="139"/>
      <c r="G611" s="139"/>
      <c r="H611" s="139"/>
      <c r="I611" s="139"/>
      <c r="J611" s="139"/>
      <c r="K611" s="139"/>
      <c r="L611" s="139"/>
      <c r="M611" s="139"/>
      <c r="N611" s="139"/>
      <c r="O611" s="139"/>
      <c r="P611" s="139"/>
      <c r="Q611" s="139"/>
      <c r="R611" s="139"/>
      <c r="S611" s="139"/>
      <c r="T611" s="139"/>
      <c r="U611" s="139"/>
      <c r="V611" s="139"/>
      <c r="W611" s="139"/>
      <c r="X611" s="139"/>
      <c r="Y611" s="139"/>
      <c r="Z611" s="139"/>
      <c r="AA611" s="139"/>
      <c r="AB611" s="139"/>
      <c r="AC611" s="139"/>
      <c r="AD611" s="139"/>
      <c r="AE611" s="139"/>
      <c r="AF611" s="139"/>
      <c r="AG611" s="139"/>
      <c r="AH611" s="139"/>
      <c r="AI611" s="139"/>
      <c r="AJ611" s="139"/>
      <c r="AK611" s="139"/>
      <c r="AL611" s="139"/>
      <c r="AM611" s="139"/>
      <c r="AN611" s="139"/>
      <c r="AO611" s="139"/>
      <c r="AP611" s="139"/>
      <c r="AQ611" s="139"/>
    </row>
    <row r="612" spans="1:43" ht="12.75" customHeight="1">
      <c r="A612" s="139"/>
      <c r="B612" s="139"/>
      <c r="C612" s="139"/>
      <c r="D612" s="139"/>
      <c r="E612" s="139"/>
      <c r="F612" s="139"/>
      <c r="G612" s="139"/>
      <c r="H612" s="139"/>
      <c r="I612" s="139"/>
      <c r="J612" s="139"/>
      <c r="K612" s="139"/>
      <c r="L612" s="139"/>
      <c r="M612" s="139"/>
      <c r="N612" s="139"/>
      <c r="O612" s="139"/>
      <c r="P612" s="139"/>
      <c r="Q612" s="139"/>
      <c r="R612" s="139"/>
      <c r="S612" s="139"/>
      <c r="T612" s="139"/>
      <c r="U612" s="139"/>
      <c r="V612" s="139"/>
      <c r="W612" s="139"/>
      <c r="X612" s="139"/>
      <c r="Y612" s="139"/>
      <c r="Z612" s="139"/>
      <c r="AA612" s="139"/>
      <c r="AB612" s="139"/>
      <c r="AC612" s="139"/>
      <c r="AD612" s="139"/>
      <c r="AE612" s="139"/>
      <c r="AF612" s="139"/>
      <c r="AG612" s="139"/>
      <c r="AH612" s="139"/>
      <c r="AI612" s="139"/>
      <c r="AJ612" s="139"/>
      <c r="AK612" s="139"/>
      <c r="AL612" s="139"/>
      <c r="AM612" s="139"/>
      <c r="AN612" s="139"/>
      <c r="AO612" s="139"/>
      <c r="AP612" s="139"/>
      <c r="AQ612" s="139"/>
    </row>
    <row r="613" spans="1:43" ht="12.75" customHeight="1">
      <c r="A613" s="139"/>
      <c r="B613" s="139"/>
      <c r="C613" s="139"/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39"/>
      <c r="O613" s="139"/>
      <c r="P613" s="139"/>
      <c r="Q613" s="139"/>
      <c r="R613" s="139"/>
      <c r="S613" s="139"/>
      <c r="T613" s="139"/>
      <c r="U613" s="139"/>
      <c r="V613" s="139"/>
      <c r="W613" s="139"/>
      <c r="X613" s="139"/>
      <c r="Y613" s="139"/>
      <c r="Z613" s="139"/>
      <c r="AA613" s="139"/>
      <c r="AB613" s="139"/>
      <c r="AC613" s="139"/>
      <c r="AD613" s="139"/>
      <c r="AE613" s="139"/>
      <c r="AF613" s="139"/>
      <c r="AG613" s="139"/>
      <c r="AH613" s="139"/>
      <c r="AI613" s="139"/>
      <c r="AJ613" s="139"/>
      <c r="AK613" s="139"/>
      <c r="AL613" s="139"/>
      <c r="AM613" s="139"/>
      <c r="AN613" s="139"/>
      <c r="AO613" s="139"/>
      <c r="AP613" s="139"/>
      <c r="AQ613" s="139"/>
    </row>
    <row r="614" spans="1:43" ht="12.75" customHeight="1">
      <c r="A614" s="139"/>
      <c r="B614" s="139"/>
      <c r="C614" s="139"/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39"/>
      <c r="O614" s="139"/>
      <c r="P614" s="139"/>
      <c r="Q614" s="139"/>
      <c r="R614" s="139"/>
      <c r="S614" s="139"/>
      <c r="T614" s="139"/>
      <c r="U614" s="139"/>
      <c r="V614" s="139"/>
      <c r="W614" s="139"/>
      <c r="X614" s="139"/>
      <c r="Y614" s="139"/>
      <c r="Z614" s="139"/>
      <c r="AA614" s="139"/>
      <c r="AB614" s="139"/>
      <c r="AC614" s="139"/>
      <c r="AD614" s="139"/>
      <c r="AE614" s="139"/>
      <c r="AF614" s="139"/>
      <c r="AG614" s="139"/>
      <c r="AH614" s="139"/>
      <c r="AI614" s="139"/>
      <c r="AJ614" s="139"/>
      <c r="AK614" s="139"/>
      <c r="AL614" s="139"/>
      <c r="AM614" s="139"/>
      <c r="AN614" s="139"/>
      <c r="AO614" s="139"/>
      <c r="AP614" s="139"/>
      <c r="AQ614" s="139"/>
    </row>
    <row r="615" spans="1:43" ht="12.75" customHeight="1">
      <c r="A615" s="139"/>
      <c r="B615" s="139"/>
      <c r="C615" s="139"/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39"/>
      <c r="O615" s="139"/>
      <c r="P615" s="139"/>
      <c r="Q615" s="139"/>
      <c r="R615" s="139"/>
      <c r="S615" s="139"/>
      <c r="T615" s="139"/>
      <c r="U615" s="139"/>
      <c r="V615" s="139"/>
      <c r="W615" s="139"/>
      <c r="X615" s="139"/>
      <c r="Y615" s="139"/>
      <c r="Z615" s="139"/>
      <c r="AA615" s="139"/>
      <c r="AB615" s="139"/>
      <c r="AC615" s="139"/>
      <c r="AD615" s="139"/>
      <c r="AE615" s="139"/>
      <c r="AF615" s="139"/>
      <c r="AG615" s="139"/>
      <c r="AH615" s="139"/>
      <c r="AI615" s="139"/>
      <c r="AJ615" s="139"/>
      <c r="AK615" s="139"/>
      <c r="AL615" s="139"/>
      <c r="AM615" s="139"/>
      <c r="AN615" s="139"/>
      <c r="AO615" s="139"/>
      <c r="AP615" s="139"/>
      <c r="AQ615" s="139"/>
    </row>
    <row r="616" spans="1:43" ht="12.75" customHeight="1">
      <c r="A616" s="139"/>
      <c r="B616" s="139"/>
      <c r="C616" s="139"/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39"/>
      <c r="Q616" s="139"/>
      <c r="R616" s="139"/>
      <c r="S616" s="139"/>
      <c r="T616" s="139"/>
      <c r="U616" s="139"/>
      <c r="V616" s="139"/>
      <c r="W616" s="139"/>
      <c r="X616" s="139"/>
      <c r="Y616" s="139"/>
      <c r="Z616" s="139"/>
      <c r="AA616" s="139"/>
      <c r="AB616" s="139"/>
      <c r="AC616" s="139"/>
      <c r="AD616" s="139"/>
      <c r="AE616" s="139"/>
      <c r="AF616" s="139"/>
      <c r="AG616" s="139"/>
      <c r="AH616" s="139"/>
      <c r="AI616" s="139"/>
      <c r="AJ616" s="139"/>
      <c r="AK616" s="139"/>
      <c r="AL616" s="139"/>
      <c r="AM616" s="139"/>
      <c r="AN616" s="139"/>
      <c r="AO616" s="139"/>
      <c r="AP616" s="139"/>
      <c r="AQ616" s="139"/>
    </row>
    <row r="617" spans="1:43" ht="12.75" customHeight="1">
      <c r="A617" s="139"/>
      <c r="B617" s="139"/>
      <c r="C617" s="139"/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39"/>
      <c r="Q617" s="139"/>
      <c r="R617" s="139"/>
      <c r="S617" s="139"/>
      <c r="T617" s="139"/>
      <c r="U617" s="139"/>
      <c r="V617" s="139"/>
      <c r="W617" s="139"/>
      <c r="X617" s="139"/>
      <c r="Y617" s="139"/>
      <c r="Z617" s="139"/>
      <c r="AA617" s="139"/>
      <c r="AB617" s="139"/>
      <c r="AC617" s="139"/>
      <c r="AD617" s="139"/>
      <c r="AE617" s="139"/>
      <c r="AF617" s="139"/>
      <c r="AG617" s="139"/>
      <c r="AH617" s="139"/>
      <c r="AI617" s="139"/>
      <c r="AJ617" s="139"/>
      <c r="AK617" s="139"/>
      <c r="AL617" s="139"/>
      <c r="AM617" s="139"/>
      <c r="AN617" s="139"/>
      <c r="AO617" s="139"/>
      <c r="AP617" s="139"/>
      <c r="AQ617" s="139"/>
    </row>
    <row r="618" spans="1:43" ht="12.75" customHeight="1">
      <c r="A618" s="139"/>
      <c r="B618" s="139"/>
      <c r="C618" s="139"/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39"/>
      <c r="O618" s="139"/>
      <c r="P618" s="139"/>
      <c r="Q618" s="139"/>
      <c r="R618" s="139"/>
      <c r="S618" s="139"/>
      <c r="T618" s="139"/>
      <c r="U618" s="139"/>
      <c r="V618" s="139"/>
      <c r="W618" s="139"/>
      <c r="X618" s="139"/>
      <c r="Y618" s="139"/>
      <c r="Z618" s="139"/>
      <c r="AA618" s="139"/>
      <c r="AB618" s="139"/>
      <c r="AC618" s="139"/>
      <c r="AD618" s="139"/>
      <c r="AE618" s="139"/>
      <c r="AF618" s="139"/>
      <c r="AG618" s="139"/>
      <c r="AH618" s="139"/>
      <c r="AI618" s="139"/>
      <c r="AJ618" s="139"/>
      <c r="AK618" s="139"/>
      <c r="AL618" s="139"/>
      <c r="AM618" s="139"/>
      <c r="AN618" s="139"/>
      <c r="AO618" s="139"/>
      <c r="AP618" s="139"/>
      <c r="AQ618" s="139"/>
    </row>
    <row r="619" spans="1:43" ht="12.75" customHeight="1">
      <c r="A619" s="139"/>
      <c r="B619" s="139"/>
      <c r="C619" s="139"/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/>
      <c r="Y619" s="139"/>
      <c r="Z619" s="139"/>
      <c r="AA619" s="139"/>
      <c r="AB619" s="139"/>
      <c r="AC619" s="139"/>
      <c r="AD619" s="139"/>
      <c r="AE619" s="139"/>
      <c r="AF619" s="139"/>
      <c r="AG619" s="139"/>
      <c r="AH619" s="139"/>
      <c r="AI619" s="139"/>
      <c r="AJ619" s="139"/>
      <c r="AK619" s="139"/>
      <c r="AL619" s="139"/>
      <c r="AM619" s="139"/>
      <c r="AN619" s="139"/>
      <c r="AO619" s="139"/>
      <c r="AP619" s="139"/>
      <c r="AQ619" s="139"/>
    </row>
    <row r="620" spans="1:43" ht="12.75" customHeight="1">
      <c r="A620" s="139"/>
      <c r="B620" s="139"/>
      <c r="C620" s="139"/>
      <c r="D620" s="139"/>
      <c r="E620" s="139"/>
      <c r="F620" s="139"/>
      <c r="G620" s="139"/>
      <c r="H620" s="139"/>
      <c r="I620" s="139"/>
      <c r="J620" s="139"/>
      <c r="K620" s="139"/>
      <c r="L620" s="139"/>
      <c r="M620" s="139"/>
      <c r="N620" s="139"/>
      <c r="O620" s="139"/>
      <c r="P620" s="139"/>
      <c r="Q620" s="139"/>
      <c r="R620" s="139"/>
      <c r="S620" s="139"/>
      <c r="T620" s="139"/>
      <c r="U620" s="139"/>
      <c r="V620" s="139"/>
      <c r="W620" s="139"/>
      <c r="X620" s="139"/>
      <c r="Y620" s="139"/>
      <c r="Z620" s="139"/>
      <c r="AA620" s="139"/>
      <c r="AB620" s="139"/>
      <c r="AC620" s="139"/>
      <c r="AD620" s="139"/>
      <c r="AE620" s="139"/>
      <c r="AF620" s="139"/>
      <c r="AG620" s="139"/>
      <c r="AH620" s="139"/>
      <c r="AI620" s="139"/>
      <c r="AJ620" s="139"/>
      <c r="AK620" s="139"/>
      <c r="AL620" s="139"/>
      <c r="AM620" s="139"/>
      <c r="AN620" s="139"/>
      <c r="AO620" s="139"/>
      <c r="AP620" s="139"/>
      <c r="AQ620" s="139"/>
    </row>
    <row r="621" spans="1:43" ht="12.75" customHeight="1">
      <c r="A621" s="139"/>
      <c r="B621" s="139"/>
      <c r="C621" s="139"/>
      <c r="D621" s="139"/>
      <c r="E621" s="139"/>
      <c r="F621" s="139"/>
      <c r="G621" s="139"/>
      <c r="H621" s="139"/>
      <c r="I621" s="139"/>
      <c r="J621" s="139"/>
      <c r="K621" s="139"/>
      <c r="L621" s="139"/>
      <c r="M621" s="139"/>
      <c r="N621" s="139"/>
      <c r="O621" s="139"/>
      <c r="P621" s="139"/>
      <c r="Q621" s="139"/>
      <c r="R621" s="139"/>
      <c r="S621" s="139"/>
      <c r="T621" s="139"/>
      <c r="U621" s="139"/>
      <c r="V621" s="139"/>
      <c r="W621" s="139"/>
      <c r="X621" s="139"/>
      <c r="Y621" s="139"/>
      <c r="Z621" s="139"/>
      <c r="AA621" s="139"/>
      <c r="AB621" s="139"/>
      <c r="AC621" s="139"/>
      <c r="AD621" s="139"/>
      <c r="AE621" s="139"/>
      <c r="AF621" s="139"/>
      <c r="AG621" s="139"/>
      <c r="AH621" s="139"/>
      <c r="AI621" s="139"/>
      <c r="AJ621" s="139"/>
      <c r="AK621" s="139"/>
      <c r="AL621" s="139"/>
      <c r="AM621" s="139"/>
      <c r="AN621" s="139"/>
      <c r="AO621" s="139"/>
      <c r="AP621" s="139"/>
      <c r="AQ621" s="139"/>
    </row>
    <row r="622" spans="1:43" ht="12.75" customHeight="1">
      <c r="A622" s="139"/>
      <c r="B622" s="139"/>
      <c r="C622" s="139"/>
      <c r="D622" s="139"/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39"/>
      <c r="P622" s="139"/>
      <c r="Q622" s="139"/>
      <c r="R622" s="139"/>
      <c r="S622" s="139"/>
      <c r="T622" s="139"/>
      <c r="U622" s="139"/>
      <c r="V622" s="139"/>
      <c r="W622" s="139"/>
      <c r="X622" s="139"/>
      <c r="Y622" s="139"/>
      <c r="Z622" s="139"/>
      <c r="AA622" s="139"/>
      <c r="AB622" s="139"/>
      <c r="AC622" s="139"/>
      <c r="AD622" s="139"/>
      <c r="AE622" s="139"/>
      <c r="AF622" s="139"/>
      <c r="AG622" s="139"/>
      <c r="AH622" s="139"/>
      <c r="AI622" s="139"/>
      <c r="AJ622" s="139"/>
      <c r="AK622" s="139"/>
      <c r="AL622" s="139"/>
      <c r="AM622" s="139"/>
      <c r="AN622" s="139"/>
      <c r="AO622" s="139"/>
      <c r="AP622" s="139"/>
      <c r="AQ622" s="139"/>
    </row>
    <row r="623" spans="1:43" ht="12.75" customHeight="1">
      <c r="A623" s="139"/>
      <c r="B623" s="139"/>
      <c r="C623" s="139"/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39"/>
      <c r="O623" s="139"/>
      <c r="P623" s="139"/>
      <c r="Q623" s="139"/>
      <c r="R623" s="139"/>
      <c r="S623" s="139"/>
      <c r="T623" s="139"/>
      <c r="U623" s="139"/>
      <c r="V623" s="139"/>
      <c r="W623" s="139"/>
      <c r="X623" s="139"/>
      <c r="Y623" s="139"/>
      <c r="Z623" s="139"/>
      <c r="AA623" s="139"/>
      <c r="AB623" s="139"/>
      <c r="AC623" s="139"/>
      <c r="AD623" s="139"/>
      <c r="AE623" s="139"/>
      <c r="AF623" s="139"/>
      <c r="AG623" s="139"/>
      <c r="AH623" s="139"/>
      <c r="AI623" s="139"/>
      <c r="AJ623" s="139"/>
      <c r="AK623" s="139"/>
      <c r="AL623" s="139"/>
      <c r="AM623" s="139"/>
      <c r="AN623" s="139"/>
      <c r="AO623" s="139"/>
      <c r="AP623" s="139"/>
      <c r="AQ623" s="139"/>
    </row>
    <row r="624" spans="1:43" ht="12.75" customHeight="1">
      <c r="A624" s="139"/>
      <c r="B624" s="139"/>
      <c r="C624" s="139"/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/>
      <c r="Y624" s="139"/>
      <c r="Z624" s="139"/>
      <c r="AA624" s="139"/>
      <c r="AB624" s="139"/>
      <c r="AC624" s="139"/>
      <c r="AD624" s="139"/>
      <c r="AE624" s="139"/>
      <c r="AF624" s="139"/>
      <c r="AG624" s="139"/>
      <c r="AH624" s="139"/>
      <c r="AI624" s="139"/>
      <c r="AJ624" s="139"/>
      <c r="AK624" s="139"/>
      <c r="AL624" s="139"/>
      <c r="AM624" s="139"/>
      <c r="AN624" s="139"/>
      <c r="AO624" s="139"/>
      <c r="AP624" s="139"/>
      <c r="AQ624" s="139"/>
    </row>
    <row r="625" spans="1:43" ht="12.75" customHeight="1">
      <c r="A625" s="139"/>
      <c r="B625" s="139"/>
      <c r="C625" s="139"/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39"/>
      <c r="O625" s="139"/>
      <c r="P625" s="139"/>
      <c r="Q625" s="139"/>
      <c r="R625" s="139"/>
      <c r="S625" s="139"/>
      <c r="T625" s="139"/>
      <c r="U625" s="139"/>
      <c r="V625" s="139"/>
      <c r="W625" s="139"/>
      <c r="X625" s="139"/>
      <c r="Y625" s="139"/>
      <c r="Z625" s="139"/>
      <c r="AA625" s="139"/>
      <c r="AB625" s="139"/>
      <c r="AC625" s="139"/>
      <c r="AD625" s="139"/>
      <c r="AE625" s="139"/>
      <c r="AF625" s="139"/>
      <c r="AG625" s="139"/>
      <c r="AH625" s="139"/>
      <c r="AI625" s="139"/>
      <c r="AJ625" s="139"/>
      <c r="AK625" s="139"/>
      <c r="AL625" s="139"/>
      <c r="AM625" s="139"/>
      <c r="AN625" s="139"/>
      <c r="AO625" s="139"/>
      <c r="AP625" s="139"/>
      <c r="AQ625" s="139"/>
    </row>
    <row r="626" spans="1:43" ht="12.75" customHeight="1">
      <c r="A626" s="139"/>
      <c r="B626" s="139"/>
      <c r="C626" s="139"/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39"/>
      <c r="O626" s="139"/>
      <c r="P626" s="139"/>
      <c r="Q626" s="139"/>
      <c r="R626" s="139"/>
      <c r="S626" s="139"/>
      <c r="T626" s="139"/>
      <c r="U626" s="139"/>
      <c r="V626" s="139"/>
      <c r="W626" s="139"/>
      <c r="X626" s="139"/>
      <c r="Y626" s="139"/>
      <c r="Z626" s="139"/>
      <c r="AA626" s="139"/>
      <c r="AB626" s="139"/>
      <c r="AC626" s="139"/>
      <c r="AD626" s="139"/>
      <c r="AE626" s="139"/>
      <c r="AF626" s="139"/>
      <c r="AG626" s="139"/>
      <c r="AH626" s="139"/>
      <c r="AI626" s="139"/>
      <c r="AJ626" s="139"/>
      <c r="AK626" s="139"/>
      <c r="AL626" s="139"/>
      <c r="AM626" s="139"/>
      <c r="AN626" s="139"/>
      <c r="AO626" s="139"/>
      <c r="AP626" s="139"/>
      <c r="AQ626" s="139"/>
    </row>
    <row r="627" spans="1:43" ht="12.75" customHeight="1">
      <c r="A627" s="139"/>
      <c r="B627" s="139"/>
      <c r="C627" s="139"/>
      <c r="D627" s="139"/>
      <c r="E627" s="139"/>
      <c r="F627" s="139"/>
      <c r="G627" s="139"/>
      <c r="H627" s="139"/>
      <c r="I627" s="139"/>
      <c r="J627" s="139"/>
      <c r="K627" s="139"/>
      <c r="L627" s="139"/>
      <c r="M627" s="139"/>
      <c r="N627" s="139"/>
      <c r="O627" s="139"/>
      <c r="P627" s="139"/>
      <c r="Q627" s="139"/>
      <c r="R627" s="139"/>
      <c r="S627" s="139"/>
      <c r="T627" s="139"/>
      <c r="U627" s="139"/>
      <c r="V627" s="139"/>
      <c r="W627" s="139"/>
      <c r="X627" s="139"/>
      <c r="Y627" s="139"/>
      <c r="Z627" s="139"/>
      <c r="AA627" s="139"/>
      <c r="AB627" s="139"/>
      <c r="AC627" s="139"/>
      <c r="AD627" s="139"/>
      <c r="AE627" s="139"/>
      <c r="AF627" s="139"/>
      <c r="AG627" s="139"/>
      <c r="AH627" s="139"/>
      <c r="AI627" s="139"/>
      <c r="AJ627" s="139"/>
      <c r="AK627" s="139"/>
      <c r="AL627" s="139"/>
      <c r="AM627" s="139"/>
      <c r="AN627" s="139"/>
      <c r="AO627" s="139"/>
      <c r="AP627" s="139"/>
      <c r="AQ627" s="139"/>
    </row>
    <row r="628" spans="1:43" ht="12.75" customHeight="1">
      <c r="A628" s="139"/>
      <c r="B628" s="139"/>
      <c r="C628" s="139"/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39"/>
      <c r="O628" s="139"/>
      <c r="P628" s="139"/>
      <c r="Q628" s="139"/>
      <c r="R628" s="139"/>
      <c r="S628" s="139"/>
      <c r="T628" s="139"/>
      <c r="U628" s="139"/>
      <c r="V628" s="139"/>
      <c r="W628" s="139"/>
      <c r="X628" s="139"/>
      <c r="Y628" s="139"/>
      <c r="Z628" s="139"/>
      <c r="AA628" s="139"/>
      <c r="AB628" s="139"/>
      <c r="AC628" s="139"/>
      <c r="AD628" s="139"/>
      <c r="AE628" s="139"/>
      <c r="AF628" s="139"/>
      <c r="AG628" s="139"/>
      <c r="AH628" s="139"/>
      <c r="AI628" s="139"/>
      <c r="AJ628" s="139"/>
      <c r="AK628" s="139"/>
      <c r="AL628" s="139"/>
      <c r="AM628" s="139"/>
      <c r="AN628" s="139"/>
      <c r="AO628" s="139"/>
      <c r="AP628" s="139"/>
      <c r="AQ628" s="139"/>
    </row>
    <row r="629" spans="1:43" ht="12.75" customHeight="1">
      <c r="A629" s="139"/>
      <c r="B629" s="139"/>
      <c r="C629" s="139"/>
      <c r="D629" s="139"/>
      <c r="E629" s="139"/>
      <c r="F629" s="139"/>
      <c r="G629" s="139"/>
      <c r="H629" s="139"/>
      <c r="I629" s="139"/>
      <c r="J629" s="139"/>
      <c r="K629" s="139"/>
      <c r="L629" s="139"/>
      <c r="M629" s="139"/>
      <c r="N629" s="139"/>
      <c r="O629" s="139"/>
      <c r="P629" s="139"/>
      <c r="Q629" s="139"/>
      <c r="R629" s="139"/>
      <c r="S629" s="139"/>
      <c r="T629" s="139"/>
      <c r="U629" s="139"/>
      <c r="V629" s="139"/>
      <c r="W629" s="139"/>
      <c r="X629" s="139"/>
      <c r="Y629" s="139"/>
      <c r="Z629" s="139"/>
      <c r="AA629" s="139"/>
      <c r="AB629" s="139"/>
      <c r="AC629" s="139"/>
      <c r="AD629" s="139"/>
      <c r="AE629" s="139"/>
      <c r="AF629" s="139"/>
      <c r="AG629" s="139"/>
      <c r="AH629" s="139"/>
      <c r="AI629" s="139"/>
      <c r="AJ629" s="139"/>
      <c r="AK629" s="139"/>
      <c r="AL629" s="139"/>
      <c r="AM629" s="139"/>
      <c r="AN629" s="139"/>
      <c r="AO629" s="139"/>
      <c r="AP629" s="139"/>
      <c r="AQ629" s="139"/>
    </row>
    <row r="630" spans="1:43" ht="12.75" customHeight="1">
      <c r="A630" s="139"/>
      <c r="B630" s="139"/>
      <c r="C630" s="139"/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39"/>
      <c r="O630" s="139"/>
      <c r="P630" s="139"/>
      <c r="Q630" s="139"/>
      <c r="R630" s="139"/>
      <c r="S630" s="139"/>
      <c r="T630" s="139"/>
      <c r="U630" s="139"/>
      <c r="V630" s="139"/>
      <c r="W630" s="139"/>
      <c r="X630" s="139"/>
      <c r="Y630" s="139"/>
      <c r="Z630" s="139"/>
      <c r="AA630" s="139"/>
      <c r="AB630" s="139"/>
      <c r="AC630" s="139"/>
      <c r="AD630" s="139"/>
      <c r="AE630" s="139"/>
      <c r="AF630" s="139"/>
      <c r="AG630" s="139"/>
      <c r="AH630" s="139"/>
      <c r="AI630" s="139"/>
      <c r="AJ630" s="139"/>
      <c r="AK630" s="139"/>
      <c r="AL630" s="139"/>
      <c r="AM630" s="139"/>
      <c r="AN630" s="139"/>
      <c r="AO630" s="139"/>
      <c r="AP630" s="139"/>
      <c r="AQ630" s="139"/>
    </row>
    <row r="631" spans="1:43" ht="12.75" customHeight="1">
      <c r="A631" s="139"/>
      <c r="B631" s="139"/>
      <c r="C631" s="139"/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39"/>
      <c r="O631" s="139"/>
      <c r="P631" s="139"/>
      <c r="Q631" s="139"/>
      <c r="R631" s="139"/>
      <c r="S631" s="139"/>
      <c r="T631" s="139"/>
      <c r="U631" s="139"/>
      <c r="V631" s="139"/>
      <c r="W631" s="139"/>
      <c r="X631" s="139"/>
      <c r="Y631" s="139"/>
      <c r="Z631" s="139"/>
      <c r="AA631" s="139"/>
      <c r="AB631" s="139"/>
      <c r="AC631" s="139"/>
      <c r="AD631" s="139"/>
      <c r="AE631" s="139"/>
      <c r="AF631" s="139"/>
      <c r="AG631" s="139"/>
      <c r="AH631" s="139"/>
      <c r="AI631" s="139"/>
      <c r="AJ631" s="139"/>
      <c r="AK631" s="139"/>
      <c r="AL631" s="139"/>
      <c r="AM631" s="139"/>
      <c r="AN631" s="139"/>
      <c r="AO631" s="139"/>
      <c r="AP631" s="139"/>
      <c r="AQ631" s="139"/>
    </row>
    <row r="632" spans="1:43" ht="12.75" customHeight="1">
      <c r="A632" s="139"/>
      <c r="B632" s="139"/>
      <c r="C632" s="139"/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39"/>
      <c r="O632" s="139"/>
      <c r="P632" s="139"/>
      <c r="Q632" s="139"/>
      <c r="R632" s="139"/>
      <c r="S632" s="139"/>
      <c r="T632" s="139"/>
      <c r="U632" s="139"/>
      <c r="V632" s="139"/>
      <c r="W632" s="139"/>
      <c r="X632" s="139"/>
      <c r="Y632" s="139"/>
      <c r="Z632" s="139"/>
      <c r="AA632" s="139"/>
      <c r="AB632" s="139"/>
      <c r="AC632" s="139"/>
      <c r="AD632" s="139"/>
      <c r="AE632" s="139"/>
      <c r="AF632" s="139"/>
      <c r="AG632" s="139"/>
      <c r="AH632" s="139"/>
      <c r="AI632" s="139"/>
      <c r="AJ632" s="139"/>
      <c r="AK632" s="139"/>
      <c r="AL632" s="139"/>
      <c r="AM632" s="139"/>
      <c r="AN632" s="139"/>
      <c r="AO632" s="139"/>
      <c r="AP632" s="139"/>
      <c r="AQ632" s="139"/>
    </row>
    <row r="633" spans="1:43" ht="12.75" customHeight="1">
      <c r="A633" s="139"/>
      <c r="B633" s="139"/>
      <c r="C633" s="139"/>
      <c r="D633" s="139"/>
      <c r="E633" s="139"/>
      <c r="F633" s="139"/>
      <c r="G633" s="139"/>
      <c r="H633" s="139"/>
      <c r="I633" s="139"/>
      <c r="J633" s="139"/>
      <c r="K633" s="139"/>
      <c r="L633" s="139"/>
      <c r="M633" s="139"/>
      <c r="N633" s="139"/>
      <c r="O633" s="139"/>
      <c r="P633" s="139"/>
      <c r="Q633" s="139"/>
      <c r="R633" s="139"/>
      <c r="S633" s="139"/>
      <c r="T633" s="139"/>
      <c r="U633" s="139"/>
      <c r="V633" s="139"/>
      <c r="W633" s="139"/>
      <c r="X633" s="139"/>
      <c r="Y633" s="139"/>
      <c r="Z633" s="139"/>
      <c r="AA633" s="139"/>
      <c r="AB633" s="139"/>
      <c r="AC633" s="139"/>
      <c r="AD633" s="139"/>
      <c r="AE633" s="139"/>
      <c r="AF633" s="139"/>
      <c r="AG633" s="139"/>
      <c r="AH633" s="139"/>
      <c r="AI633" s="139"/>
      <c r="AJ633" s="139"/>
      <c r="AK633" s="139"/>
      <c r="AL633" s="139"/>
      <c r="AM633" s="139"/>
      <c r="AN633" s="139"/>
      <c r="AO633" s="139"/>
      <c r="AP633" s="139"/>
      <c r="AQ633" s="139"/>
    </row>
    <row r="634" spans="1:43" ht="12.75" customHeight="1">
      <c r="A634" s="139"/>
      <c r="B634" s="139"/>
      <c r="C634" s="139"/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39"/>
      <c r="O634" s="139"/>
      <c r="P634" s="139"/>
      <c r="Q634" s="139"/>
      <c r="R634" s="139"/>
      <c r="S634" s="139"/>
      <c r="T634" s="139"/>
      <c r="U634" s="139"/>
      <c r="V634" s="139"/>
      <c r="W634" s="139"/>
      <c r="X634" s="139"/>
      <c r="Y634" s="139"/>
      <c r="Z634" s="139"/>
      <c r="AA634" s="139"/>
      <c r="AB634" s="139"/>
      <c r="AC634" s="139"/>
      <c r="AD634" s="139"/>
      <c r="AE634" s="139"/>
      <c r="AF634" s="139"/>
      <c r="AG634" s="139"/>
      <c r="AH634" s="139"/>
      <c r="AI634" s="139"/>
      <c r="AJ634" s="139"/>
      <c r="AK634" s="139"/>
      <c r="AL634" s="139"/>
      <c r="AM634" s="139"/>
      <c r="AN634" s="139"/>
      <c r="AO634" s="139"/>
      <c r="AP634" s="139"/>
      <c r="AQ634" s="139"/>
    </row>
    <row r="635" spans="1:43" ht="12.75" customHeight="1">
      <c r="A635" s="139"/>
      <c r="B635" s="139"/>
      <c r="C635" s="139"/>
      <c r="D635" s="139"/>
      <c r="E635" s="139"/>
      <c r="F635" s="139"/>
      <c r="G635" s="139"/>
      <c r="H635" s="139"/>
      <c r="I635" s="139"/>
      <c r="J635" s="139"/>
      <c r="K635" s="139"/>
      <c r="L635" s="139"/>
      <c r="M635" s="139"/>
      <c r="N635" s="139"/>
      <c r="O635" s="139"/>
      <c r="P635" s="139"/>
      <c r="Q635" s="139"/>
      <c r="R635" s="139"/>
      <c r="S635" s="139"/>
      <c r="T635" s="139"/>
      <c r="U635" s="139"/>
      <c r="V635" s="139"/>
      <c r="W635" s="139"/>
      <c r="X635" s="139"/>
      <c r="Y635" s="139"/>
      <c r="Z635" s="139"/>
      <c r="AA635" s="139"/>
      <c r="AB635" s="139"/>
      <c r="AC635" s="139"/>
      <c r="AD635" s="139"/>
      <c r="AE635" s="139"/>
      <c r="AF635" s="139"/>
      <c r="AG635" s="139"/>
      <c r="AH635" s="139"/>
      <c r="AI635" s="139"/>
      <c r="AJ635" s="139"/>
      <c r="AK635" s="139"/>
      <c r="AL635" s="139"/>
      <c r="AM635" s="139"/>
      <c r="AN635" s="139"/>
      <c r="AO635" s="139"/>
      <c r="AP635" s="139"/>
      <c r="AQ635" s="139"/>
    </row>
    <row r="636" spans="1:43" ht="12.75" customHeight="1">
      <c r="A636" s="139"/>
      <c r="B636" s="139"/>
      <c r="C636" s="139"/>
      <c r="D636" s="139"/>
      <c r="E636" s="139"/>
      <c r="F636" s="139"/>
      <c r="G636" s="139"/>
      <c r="H636" s="139"/>
      <c r="I636" s="139"/>
      <c r="J636" s="139"/>
      <c r="K636" s="139"/>
      <c r="L636" s="139"/>
      <c r="M636" s="139"/>
      <c r="N636" s="139"/>
      <c r="O636" s="139"/>
      <c r="P636" s="139"/>
      <c r="Q636" s="139"/>
      <c r="R636" s="139"/>
      <c r="S636" s="139"/>
      <c r="T636" s="139"/>
      <c r="U636" s="139"/>
      <c r="V636" s="139"/>
      <c r="W636" s="139"/>
      <c r="X636" s="139"/>
      <c r="Y636" s="139"/>
      <c r="Z636" s="139"/>
      <c r="AA636" s="139"/>
      <c r="AB636" s="139"/>
      <c r="AC636" s="139"/>
      <c r="AD636" s="139"/>
      <c r="AE636" s="139"/>
      <c r="AF636" s="139"/>
      <c r="AG636" s="139"/>
      <c r="AH636" s="139"/>
      <c r="AI636" s="139"/>
      <c r="AJ636" s="139"/>
      <c r="AK636" s="139"/>
      <c r="AL636" s="139"/>
      <c r="AM636" s="139"/>
      <c r="AN636" s="139"/>
      <c r="AO636" s="139"/>
      <c r="AP636" s="139"/>
      <c r="AQ636" s="139"/>
    </row>
    <row r="637" spans="1:43" ht="12.75" customHeight="1">
      <c r="A637" s="139"/>
      <c r="B637" s="139"/>
      <c r="C637" s="139"/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39"/>
      <c r="O637" s="139"/>
      <c r="P637" s="139"/>
      <c r="Q637" s="139"/>
      <c r="R637" s="139"/>
      <c r="S637" s="139"/>
      <c r="T637" s="139"/>
      <c r="U637" s="139"/>
      <c r="V637" s="139"/>
      <c r="W637" s="139"/>
      <c r="X637" s="139"/>
      <c r="Y637" s="139"/>
      <c r="Z637" s="139"/>
      <c r="AA637" s="139"/>
      <c r="AB637" s="139"/>
      <c r="AC637" s="139"/>
      <c r="AD637" s="139"/>
      <c r="AE637" s="139"/>
      <c r="AF637" s="139"/>
      <c r="AG637" s="139"/>
      <c r="AH637" s="139"/>
      <c r="AI637" s="139"/>
      <c r="AJ637" s="139"/>
      <c r="AK637" s="139"/>
      <c r="AL637" s="139"/>
      <c r="AM637" s="139"/>
      <c r="AN637" s="139"/>
      <c r="AO637" s="139"/>
      <c r="AP637" s="139"/>
      <c r="AQ637" s="139"/>
    </row>
    <row r="638" spans="1:43" ht="12.75" customHeight="1">
      <c r="A638" s="139"/>
      <c r="B638" s="139"/>
      <c r="C638" s="139"/>
      <c r="D638" s="139"/>
      <c r="E638" s="139"/>
      <c r="F638" s="139"/>
      <c r="G638" s="139"/>
      <c r="H638" s="139"/>
      <c r="I638" s="139"/>
      <c r="J638" s="139"/>
      <c r="K638" s="139"/>
      <c r="L638" s="139"/>
      <c r="M638" s="139"/>
      <c r="N638" s="139"/>
      <c r="O638" s="139"/>
      <c r="P638" s="139"/>
      <c r="Q638" s="139"/>
      <c r="R638" s="139"/>
      <c r="S638" s="139"/>
      <c r="T638" s="139"/>
      <c r="U638" s="139"/>
      <c r="V638" s="139"/>
      <c r="W638" s="139"/>
      <c r="X638" s="139"/>
      <c r="Y638" s="139"/>
      <c r="Z638" s="139"/>
      <c r="AA638" s="139"/>
      <c r="AB638" s="139"/>
      <c r="AC638" s="139"/>
      <c r="AD638" s="139"/>
      <c r="AE638" s="139"/>
      <c r="AF638" s="139"/>
      <c r="AG638" s="139"/>
      <c r="AH638" s="139"/>
      <c r="AI638" s="139"/>
      <c r="AJ638" s="139"/>
      <c r="AK638" s="139"/>
      <c r="AL638" s="139"/>
      <c r="AM638" s="139"/>
      <c r="AN638" s="139"/>
      <c r="AO638" s="139"/>
      <c r="AP638" s="139"/>
      <c r="AQ638" s="139"/>
    </row>
    <row r="639" spans="1:43" ht="12.75" customHeight="1">
      <c r="A639" s="139"/>
      <c r="B639" s="139"/>
      <c r="C639" s="139"/>
      <c r="D639" s="139"/>
      <c r="E639" s="139"/>
      <c r="F639" s="139"/>
      <c r="G639" s="139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/>
      <c r="Y639" s="139"/>
      <c r="Z639" s="139"/>
      <c r="AA639" s="139"/>
      <c r="AB639" s="139"/>
      <c r="AC639" s="139"/>
      <c r="AD639" s="139"/>
      <c r="AE639" s="139"/>
      <c r="AF639" s="139"/>
      <c r="AG639" s="139"/>
      <c r="AH639" s="139"/>
      <c r="AI639" s="139"/>
      <c r="AJ639" s="139"/>
      <c r="AK639" s="139"/>
      <c r="AL639" s="139"/>
      <c r="AM639" s="139"/>
      <c r="AN639" s="139"/>
      <c r="AO639" s="139"/>
      <c r="AP639" s="139"/>
      <c r="AQ639" s="139"/>
    </row>
    <row r="640" spans="1:43" ht="12.75" customHeight="1">
      <c r="A640" s="139"/>
      <c r="B640" s="139"/>
      <c r="C640" s="139"/>
      <c r="D640" s="139"/>
      <c r="E640" s="139"/>
      <c r="F640" s="139"/>
      <c r="G640" s="139"/>
      <c r="H640" s="139"/>
      <c r="I640" s="139"/>
      <c r="J640" s="139"/>
      <c r="K640" s="139"/>
      <c r="L640" s="139"/>
      <c r="M640" s="139"/>
      <c r="N640" s="139"/>
      <c r="O640" s="139"/>
      <c r="P640" s="139"/>
      <c r="Q640" s="139"/>
      <c r="R640" s="139"/>
      <c r="S640" s="139"/>
      <c r="T640" s="139"/>
      <c r="U640" s="139"/>
      <c r="V640" s="139"/>
      <c r="W640" s="139"/>
      <c r="X640" s="139"/>
      <c r="Y640" s="139"/>
      <c r="Z640" s="139"/>
      <c r="AA640" s="139"/>
      <c r="AB640" s="139"/>
      <c r="AC640" s="139"/>
      <c r="AD640" s="139"/>
      <c r="AE640" s="139"/>
      <c r="AF640" s="139"/>
      <c r="AG640" s="139"/>
      <c r="AH640" s="139"/>
      <c r="AI640" s="139"/>
      <c r="AJ640" s="139"/>
      <c r="AK640" s="139"/>
      <c r="AL640" s="139"/>
      <c r="AM640" s="139"/>
      <c r="AN640" s="139"/>
      <c r="AO640" s="139"/>
      <c r="AP640" s="139"/>
      <c r="AQ640" s="139"/>
    </row>
    <row r="641" spans="1:43" ht="12.75" customHeight="1">
      <c r="A641" s="139"/>
      <c r="B641" s="139"/>
      <c r="C641" s="139"/>
      <c r="D641" s="139"/>
      <c r="E641" s="139"/>
      <c r="F641" s="139"/>
      <c r="G641" s="139"/>
      <c r="H641" s="139"/>
      <c r="I641" s="139"/>
      <c r="J641" s="139"/>
      <c r="K641" s="139"/>
      <c r="L641" s="139"/>
      <c r="M641" s="139"/>
      <c r="N641" s="139"/>
      <c r="O641" s="139"/>
      <c r="P641" s="139"/>
      <c r="Q641" s="139"/>
      <c r="R641" s="139"/>
      <c r="S641" s="139"/>
      <c r="T641" s="139"/>
      <c r="U641" s="139"/>
      <c r="V641" s="139"/>
      <c r="W641" s="139"/>
      <c r="X641" s="139"/>
      <c r="Y641" s="139"/>
      <c r="Z641" s="139"/>
      <c r="AA641" s="139"/>
      <c r="AB641" s="139"/>
      <c r="AC641" s="139"/>
      <c r="AD641" s="139"/>
      <c r="AE641" s="139"/>
      <c r="AF641" s="139"/>
      <c r="AG641" s="139"/>
      <c r="AH641" s="139"/>
      <c r="AI641" s="139"/>
      <c r="AJ641" s="139"/>
      <c r="AK641" s="139"/>
      <c r="AL641" s="139"/>
      <c r="AM641" s="139"/>
      <c r="AN641" s="139"/>
      <c r="AO641" s="139"/>
      <c r="AP641" s="139"/>
      <c r="AQ641" s="139"/>
    </row>
    <row r="642" spans="1:43" ht="12.75" customHeight="1">
      <c r="A642" s="139"/>
      <c r="B642" s="139"/>
      <c r="C642" s="139"/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39"/>
      <c r="P642" s="139"/>
      <c r="Q642" s="139"/>
      <c r="R642" s="139"/>
      <c r="S642" s="139"/>
      <c r="T642" s="139"/>
      <c r="U642" s="139"/>
      <c r="V642" s="139"/>
      <c r="W642" s="139"/>
      <c r="X642" s="139"/>
      <c r="Y642" s="139"/>
      <c r="Z642" s="139"/>
      <c r="AA642" s="139"/>
      <c r="AB642" s="139"/>
      <c r="AC642" s="139"/>
      <c r="AD642" s="139"/>
      <c r="AE642" s="139"/>
      <c r="AF642" s="139"/>
      <c r="AG642" s="139"/>
      <c r="AH642" s="139"/>
      <c r="AI642" s="139"/>
      <c r="AJ642" s="139"/>
      <c r="AK642" s="139"/>
      <c r="AL642" s="139"/>
      <c r="AM642" s="139"/>
      <c r="AN642" s="139"/>
      <c r="AO642" s="139"/>
      <c r="AP642" s="139"/>
      <c r="AQ642" s="139"/>
    </row>
    <row r="643" spans="1:43" ht="12.75" customHeight="1">
      <c r="A643" s="139"/>
      <c r="B643" s="139"/>
      <c r="C643" s="139"/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39"/>
      <c r="O643" s="139"/>
      <c r="P643" s="139"/>
      <c r="Q643" s="139"/>
      <c r="R643" s="139"/>
      <c r="S643" s="139"/>
      <c r="T643" s="139"/>
      <c r="U643" s="139"/>
      <c r="V643" s="139"/>
      <c r="W643" s="139"/>
      <c r="X643" s="139"/>
      <c r="Y643" s="139"/>
      <c r="Z643" s="139"/>
      <c r="AA643" s="139"/>
      <c r="AB643" s="139"/>
      <c r="AC643" s="139"/>
      <c r="AD643" s="139"/>
      <c r="AE643" s="139"/>
      <c r="AF643" s="139"/>
      <c r="AG643" s="139"/>
      <c r="AH643" s="139"/>
      <c r="AI643" s="139"/>
      <c r="AJ643" s="139"/>
      <c r="AK643" s="139"/>
      <c r="AL643" s="139"/>
      <c r="AM643" s="139"/>
      <c r="AN643" s="139"/>
      <c r="AO643" s="139"/>
      <c r="AP643" s="139"/>
      <c r="AQ643" s="139"/>
    </row>
    <row r="644" spans="1:43" ht="12.75" customHeight="1">
      <c r="A644" s="139"/>
      <c r="B644" s="139"/>
      <c r="C644" s="139"/>
      <c r="D644" s="139"/>
      <c r="E644" s="139"/>
      <c r="F644" s="139"/>
      <c r="G644" s="139"/>
      <c r="H644" s="139"/>
      <c r="I644" s="139"/>
      <c r="J644" s="139"/>
      <c r="K644" s="139"/>
      <c r="L644" s="139"/>
      <c r="M644" s="139"/>
      <c r="N644" s="139"/>
      <c r="O644" s="139"/>
      <c r="P644" s="139"/>
      <c r="Q644" s="139"/>
      <c r="R644" s="139"/>
      <c r="S644" s="139"/>
      <c r="T644" s="139"/>
      <c r="U644" s="139"/>
      <c r="V644" s="139"/>
      <c r="W644" s="139"/>
      <c r="X644" s="139"/>
      <c r="Y644" s="139"/>
      <c r="Z644" s="139"/>
      <c r="AA644" s="139"/>
      <c r="AB644" s="139"/>
      <c r="AC644" s="139"/>
      <c r="AD644" s="139"/>
      <c r="AE644" s="139"/>
      <c r="AF644" s="139"/>
      <c r="AG644" s="139"/>
      <c r="AH644" s="139"/>
      <c r="AI644" s="139"/>
      <c r="AJ644" s="139"/>
      <c r="AK644" s="139"/>
      <c r="AL644" s="139"/>
      <c r="AM644" s="139"/>
      <c r="AN644" s="139"/>
      <c r="AO644" s="139"/>
      <c r="AP644" s="139"/>
      <c r="AQ644" s="139"/>
    </row>
    <row r="645" spans="1:43" ht="12.75" customHeight="1">
      <c r="A645" s="139"/>
      <c r="B645" s="139"/>
      <c r="C645" s="139"/>
      <c r="D645" s="139"/>
      <c r="E645" s="139"/>
      <c r="F645" s="139"/>
      <c r="G645" s="139"/>
      <c r="H645" s="139"/>
      <c r="I645" s="139"/>
      <c r="J645" s="139"/>
      <c r="K645" s="139"/>
      <c r="L645" s="139"/>
      <c r="M645" s="139"/>
      <c r="N645" s="139"/>
      <c r="O645" s="139"/>
      <c r="P645" s="139"/>
      <c r="Q645" s="139"/>
      <c r="R645" s="139"/>
      <c r="S645" s="139"/>
      <c r="T645" s="139"/>
      <c r="U645" s="139"/>
      <c r="V645" s="139"/>
      <c r="W645" s="139"/>
      <c r="X645" s="139"/>
      <c r="Y645" s="139"/>
      <c r="Z645" s="139"/>
      <c r="AA645" s="139"/>
      <c r="AB645" s="139"/>
      <c r="AC645" s="139"/>
      <c r="AD645" s="139"/>
      <c r="AE645" s="139"/>
      <c r="AF645" s="139"/>
      <c r="AG645" s="139"/>
      <c r="AH645" s="139"/>
      <c r="AI645" s="139"/>
      <c r="AJ645" s="139"/>
      <c r="AK645" s="139"/>
      <c r="AL645" s="139"/>
      <c r="AM645" s="139"/>
      <c r="AN645" s="139"/>
      <c r="AO645" s="139"/>
      <c r="AP645" s="139"/>
      <c r="AQ645" s="139"/>
    </row>
    <row r="646" spans="1:43" ht="12.75" customHeight="1">
      <c r="A646" s="139"/>
      <c r="B646" s="139"/>
      <c r="C646" s="139"/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39"/>
      <c r="O646" s="139"/>
      <c r="P646" s="139"/>
      <c r="Q646" s="139"/>
      <c r="R646" s="139"/>
      <c r="S646" s="139"/>
      <c r="T646" s="139"/>
      <c r="U646" s="139"/>
      <c r="V646" s="139"/>
      <c r="W646" s="139"/>
      <c r="X646" s="139"/>
      <c r="Y646" s="139"/>
      <c r="Z646" s="139"/>
      <c r="AA646" s="139"/>
      <c r="AB646" s="139"/>
      <c r="AC646" s="139"/>
      <c r="AD646" s="139"/>
      <c r="AE646" s="139"/>
      <c r="AF646" s="139"/>
      <c r="AG646" s="139"/>
      <c r="AH646" s="139"/>
      <c r="AI646" s="139"/>
      <c r="AJ646" s="139"/>
      <c r="AK646" s="139"/>
      <c r="AL646" s="139"/>
      <c r="AM646" s="139"/>
      <c r="AN646" s="139"/>
      <c r="AO646" s="139"/>
      <c r="AP646" s="139"/>
      <c r="AQ646" s="139"/>
    </row>
    <row r="647" spans="1:43" ht="12.75" customHeight="1">
      <c r="A647" s="139"/>
      <c r="B647" s="139"/>
      <c r="C647" s="139"/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39"/>
      <c r="O647" s="139"/>
      <c r="P647" s="139"/>
      <c r="Q647" s="139"/>
      <c r="R647" s="139"/>
      <c r="S647" s="139"/>
      <c r="T647" s="139"/>
      <c r="U647" s="139"/>
      <c r="V647" s="139"/>
      <c r="W647" s="139"/>
      <c r="X647" s="139"/>
      <c r="Y647" s="139"/>
      <c r="Z647" s="139"/>
      <c r="AA647" s="139"/>
      <c r="AB647" s="139"/>
      <c r="AC647" s="139"/>
      <c r="AD647" s="139"/>
      <c r="AE647" s="139"/>
      <c r="AF647" s="139"/>
      <c r="AG647" s="139"/>
      <c r="AH647" s="139"/>
      <c r="AI647" s="139"/>
      <c r="AJ647" s="139"/>
      <c r="AK647" s="139"/>
      <c r="AL647" s="139"/>
      <c r="AM647" s="139"/>
      <c r="AN647" s="139"/>
      <c r="AO647" s="139"/>
      <c r="AP647" s="139"/>
      <c r="AQ647" s="139"/>
    </row>
    <row r="648" spans="1:43" ht="12.75" customHeight="1">
      <c r="A648" s="139"/>
      <c r="B648" s="139"/>
      <c r="C648" s="139"/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39"/>
      <c r="O648" s="139"/>
      <c r="P648" s="139"/>
      <c r="Q648" s="139"/>
      <c r="R648" s="139"/>
      <c r="S648" s="139"/>
      <c r="T648" s="139"/>
      <c r="U648" s="139"/>
      <c r="V648" s="139"/>
      <c r="W648" s="139"/>
      <c r="X648" s="139"/>
      <c r="Y648" s="139"/>
      <c r="Z648" s="139"/>
      <c r="AA648" s="139"/>
      <c r="AB648" s="139"/>
      <c r="AC648" s="139"/>
      <c r="AD648" s="139"/>
      <c r="AE648" s="139"/>
      <c r="AF648" s="139"/>
      <c r="AG648" s="139"/>
      <c r="AH648" s="139"/>
      <c r="AI648" s="139"/>
      <c r="AJ648" s="139"/>
      <c r="AK648" s="139"/>
      <c r="AL648" s="139"/>
      <c r="AM648" s="139"/>
      <c r="AN648" s="139"/>
      <c r="AO648" s="139"/>
      <c r="AP648" s="139"/>
      <c r="AQ648" s="139"/>
    </row>
    <row r="649" spans="1:43" ht="12.75" customHeight="1">
      <c r="A649" s="139"/>
      <c r="B649" s="139"/>
      <c r="C649" s="139"/>
      <c r="D649" s="139"/>
      <c r="E649" s="139"/>
      <c r="F649" s="139"/>
      <c r="G649" s="139"/>
      <c r="H649" s="139"/>
      <c r="I649" s="139"/>
      <c r="J649" s="139"/>
      <c r="K649" s="139"/>
      <c r="L649" s="139"/>
      <c r="M649" s="139"/>
      <c r="N649" s="139"/>
      <c r="O649" s="139"/>
      <c r="P649" s="139"/>
      <c r="Q649" s="139"/>
      <c r="R649" s="139"/>
      <c r="S649" s="139"/>
      <c r="T649" s="139"/>
      <c r="U649" s="139"/>
      <c r="V649" s="139"/>
      <c r="W649" s="139"/>
      <c r="X649" s="139"/>
      <c r="Y649" s="139"/>
      <c r="Z649" s="139"/>
      <c r="AA649" s="139"/>
      <c r="AB649" s="139"/>
      <c r="AC649" s="139"/>
      <c r="AD649" s="139"/>
      <c r="AE649" s="139"/>
      <c r="AF649" s="139"/>
      <c r="AG649" s="139"/>
      <c r="AH649" s="139"/>
      <c r="AI649" s="139"/>
      <c r="AJ649" s="139"/>
      <c r="AK649" s="139"/>
      <c r="AL649" s="139"/>
      <c r="AM649" s="139"/>
      <c r="AN649" s="139"/>
      <c r="AO649" s="139"/>
      <c r="AP649" s="139"/>
      <c r="AQ649" s="139"/>
    </row>
    <row r="650" spans="1:43" ht="12.75" customHeight="1">
      <c r="A650" s="139"/>
      <c r="B650" s="139"/>
      <c r="C650" s="139"/>
      <c r="D650" s="139"/>
      <c r="E650" s="139"/>
      <c r="F650" s="139"/>
      <c r="G650" s="139"/>
      <c r="H650" s="139"/>
      <c r="I650" s="139"/>
      <c r="J650" s="139"/>
      <c r="K650" s="139"/>
      <c r="L650" s="139"/>
      <c r="M650" s="139"/>
      <c r="N650" s="139"/>
      <c r="O650" s="139"/>
      <c r="P650" s="139"/>
      <c r="Q650" s="139"/>
      <c r="R650" s="139"/>
      <c r="S650" s="139"/>
      <c r="T650" s="139"/>
      <c r="U650" s="139"/>
      <c r="V650" s="139"/>
      <c r="W650" s="139"/>
      <c r="X650" s="139"/>
      <c r="Y650" s="139"/>
      <c r="Z650" s="139"/>
      <c r="AA650" s="139"/>
      <c r="AB650" s="139"/>
      <c r="AC650" s="139"/>
      <c r="AD650" s="139"/>
      <c r="AE650" s="139"/>
      <c r="AF650" s="139"/>
      <c r="AG650" s="139"/>
      <c r="AH650" s="139"/>
      <c r="AI650" s="139"/>
      <c r="AJ650" s="139"/>
      <c r="AK650" s="139"/>
      <c r="AL650" s="139"/>
      <c r="AM650" s="139"/>
      <c r="AN650" s="139"/>
      <c r="AO650" s="139"/>
      <c r="AP650" s="139"/>
      <c r="AQ650" s="139"/>
    </row>
    <row r="651" spans="1:43" ht="12.75" customHeight="1">
      <c r="A651" s="139"/>
      <c r="B651" s="139"/>
      <c r="C651" s="139"/>
      <c r="D651" s="139"/>
      <c r="E651" s="139"/>
      <c r="F651" s="139"/>
      <c r="G651" s="139"/>
      <c r="H651" s="139"/>
      <c r="I651" s="139"/>
      <c r="J651" s="139"/>
      <c r="K651" s="139"/>
      <c r="L651" s="139"/>
      <c r="M651" s="139"/>
      <c r="N651" s="139"/>
      <c r="O651" s="139"/>
      <c r="P651" s="139"/>
      <c r="Q651" s="139"/>
      <c r="R651" s="139"/>
      <c r="S651" s="139"/>
      <c r="T651" s="139"/>
      <c r="U651" s="139"/>
      <c r="V651" s="139"/>
      <c r="W651" s="139"/>
      <c r="X651" s="139"/>
      <c r="Y651" s="139"/>
      <c r="Z651" s="139"/>
      <c r="AA651" s="139"/>
      <c r="AB651" s="139"/>
      <c r="AC651" s="139"/>
      <c r="AD651" s="139"/>
      <c r="AE651" s="139"/>
      <c r="AF651" s="139"/>
      <c r="AG651" s="139"/>
      <c r="AH651" s="139"/>
      <c r="AI651" s="139"/>
      <c r="AJ651" s="139"/>
      <c r="AK651" s="139"/>
      <c r="AL651" s="139"/>
      <c r="AM651" s="139"/>
      <c r="AN651" s="139"/>
      <c r="AO651" s="139"/>
      <c r="AP651" s="139"/>
      <c r="AQ651" s="139"/>
    </row>
    <row r="652" spans="1:43" ht="12.75" customHeight="1">
      <c r="A652" s="139"/>
      <c r="B652" s="139"/>
      <c r="C652" s="139"/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39"/>
      <c r="O652" s="139"/>
      <c r="P652" s="139"/>
      <c r="Q652" s="139"/>
      <c r="R652" s="139"/>
      <c r="S652" s="139"/>
      <c r="T652" s="139"/>
      <c r="U652" s="139"/>
      <c r="V652" s="139"/>
      <c r="W652" s="139"/>
      <c r="X652" s="139"/>
      <c r="Y652" s="139"/>
      <c r="Z652" s="139"/>
      <c r="AA652" s="139"/>
      <c r="AB652" s="139"/>
      <c r="AC652" s="139"/>
      <c r="AD652" s="139"/>
      <c r="AE652" s="139"/>
      <c r="AF652" s="139"/>
      <c r="AG652" s="139"/>
      <c r="AH652" s="139"/>
      <c r="AI652" s="139"/>
      <c r="AJ652" s="139"/>
      <c r="AK652" s="139"/>
      <c r="AL652" s="139"/>
      <c r="AM652" s="139"/>
      <c r="AN652" s="139"/>
      <c r="AO652" s="139"/>
      <c r="AP652" s="139"/>
      <c r="AQ652" s="139"/>
    </row>
    <row r="653" spans="1:43" ht="12.75" customHeight="1">
      <c r="A653" s="139"/>
      <c r="B653" s="139"/>
      <c r="C653" s="139"/>
      <c r="D653" s="139"/>
      <c r="E653" s="139"/>
      <c r="F653" s="139"/>
      <c r="G653" s="139"/>
      <c r="H653" s="139"/>
      <c r="I653" s="139"/>
      <c r="J653" s="139"/>
      <c r="K653" s="139"/>
      <c r="L653" s="139"/>
      <c r="M653" s="139"/>
      <c r="N653" s="139"/>
      <c r="O653" s="139"/>
      <c r="P653" s="139"/>
      <c r="Q653" s="139"/>
      <c r="R653" s="139"/>
      <c r="S653" s="139"/>
      <c r="T653" s="139"/>
      <c r="U653" s="139"/>
      <c r="V653" s="139"/>
      <c r="W653" s="139"/>
      <c r="X653" s="139"/>
      <c r="Y653" s="139"/>
      <c r="Z653" s="139"/>
      <c r="AA653" s="139"/>
      <c r="AB653" s="139"/>
      <c r="AC653" s="139"/>
      <c r="AD653" s="139"/>
      <c r="AE653" s="139"/>
      <c r="AF653" s="139"/>
      <c r="AG653" s="139"/>
      <c r="AH653" s="139"/>
      <c r="AI653" s="139"/>
      <c r="AJ653" s="139"/>
      <c r="AK653" s="139"/>
      <c r="AL653" s="139"/>
      <c r="AM653" s="139"/>
      <c r="AN653" s="139"/>
      <c r="AO653" s="139"/>
      <c r="AP653" s="139"/>
      <c r="AQ653" s="139"/>
    </row>
    <row r="654" spans="1:43" ht="12.75" customHeight="1">
      <c r="A654" s="139"/>
      <c r="B654" s="139"/>
      <c r="C654" s="139"/>
      <c r="D654" s="139"/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39"/>
      <c r="P654" s="139"/>
      <c r="Q654" s="139"/>
      <c r="R654" s="139"/>
      <c r="S654" s="139"/>
      <c r="T654" s="139"/>
      <c r="U654" s="139"/>
      <c r="V654" s="139"/>
      <c r="W654" s="139"/>
      <c r="X654" s="139"/>
      <c r="Y654" s="139"/>
      <c r="Z654" s="139"/>
      <c r="AA654" s="139"/>
      <c r="AB654" s="139"/>
      <c r="AC654" s="139"/>
      <c r="AD654" s="139"/>
      <c r="AE654" s="139"/>
      <c r="AF654" s="139"/>
      <c r="AG654" s="139"/>
      <c r="AH654" s="139"/>
      <c r="AI654" s="139"/>
      <c r="AJ654" s="139"/>
      <c r="AK654" s="139"/>
      <c r="AL654" s="139"/>
      <c r="AM654" s="139"/>
      <c r="AN654" s="139"/>
      <c r="AO654" s="139"/>
      <c r="AP654" s="139"/>
      <c r="AQ654" s="139"/>
    </row>
    <row r="655" spans="1:43" ht="12.75" customHeight="1">
      <c r="A655" s="139"/>
      <c r="B655" s="139"/>
      <c r="C655" s="139"/>
      <c r="D655" s="139"/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39"/>
      <c r="P655" s="139"/>
      <c r="Q655" s="139"/>
      <c r="R655" s="139"/>
      <c r="S655" s="139"/>
      <c r="T655" s="139"/>
      <c r="U655" s="139"/>
      <c r="V655" s="139"/>
      <c r="W655" s="139"/>
      <c r="X655" s="139"/>
      <c r="Y655" s="139"/>
      <c r="Z655" s="139"/>
      <c r="AA655" s="139"/>
      <c r="AB655" s="139"/>
      <c r="AC655" s="139"/>
      <c r="AD655" s="139"/>
      <c r="AE655" s="139"/>
      <c r="AF655" s="139"/>
      <c r="AG655" s="139"/>
      <c r="AH655" s="139"/>
      <c r="AI655" s="139"/>
      <c r="AJ655" s="139"/>
      <c r="AK655" s="139"/>
      <c r="AL655" s="139"/>
      <c r="AM655" s="139"/>
      <c r="AN655" s="139"/>
      <c r="AO655" s="139"/>
      <c r="AP655" s="139"/>
      <c r="AQ655" s="139"/>
    </row>
    <row r="656" spans="1:43" ht="12.75" customHeight="1">
      <c r="A656" s="139"/>
      <c r="B656" s="139"/>
      <c r="C656" s="139"/>
      <c r="D656" s="139"/>
      <c r="E656" s="139"/>
      <c r="F656" s="139"/>
      <c r="G656" s="139"/>
      <c r="H656" s="139"/>
      <c r="I656" s="139"/>
      <c r="J656" s="139"/>
      <c r="K656" s="139"/>
      <c r="L656" s="139"/>
      <c r="M656" s="139"/>
      <c r="N656" s="139"/>
      <c r="O656" s="139"/>
      <c r="P656" s="139"/>
      <c r="Q656" s="139"/>
      <c r="R656" s="139"/>
      <c r="S656" s="139"/>
      <c r="T656" s="139"/>
      <c r="U656" s="139"/>
      <c r="V656" s="139"/>
      <c r="W656" s="139"/>
      <c r="X656" s="139"/>
      <c r="Y656" s="139"/>
      <c r="Z656" s="139"/>
      <c r="AA656" s="139"/>
      <c r="AB656" s="139"/>
      <c r="AC656" s="139"/>
      <c r="AD656" s="139"/>
      <c r="AE656" s="139"/>
      <c r="AF656" s="139"/>
      <c r="AG656" s="139"/>
      <c r="AH656" s="139"/>
      <c r="AI656" s="139"/>
      <c r="AJ656" s="139"/>
      <c r="AK656" s="139"/>
      <c r="AL656" s="139"/>
      <c r="AM656" s="139"/>
      <c r="AN656" s="139"/>
      <c r="AO656" s="139"/>
      <c r="AP656" s="139"/>
      <c r="AQ656" s="139"/>
    </row>
    <row r="657" spans="1:43" ht="12.75" customHeight="1">
      <c r="A657" s="139"/>
      <c r="B657" s="139"/>
      <c r="C657" s="139"/>
      <c r="D657" s="139"/>
      <c r="E657" s="139"/>
      <c r="F657" s="139"/>
      <c r="G657" s="139"/>
      <c r="H657" s="139"/>
      <c r="I657" s="139"/>
      <c r="J657" s="139"/>
      <c r="K657" s="139"/>
      <c r="L657" s="139"/>
      <c r="M657" s="139"/>
      <c r="N657" s="139"/>
      <c r="O657" s="139"/>
      <c r="P657" s="139"/>
      <c r="Q657" s="139"/>
      <c r="R657" s="139"/>
      <c r="S657" s="139"/>
      <c r="T657" s="139"/>
      <c r="U657" s="139"/>
      <c r="V657" s="139"/>
      <c r="W657" s="139"/>
      <c r="X657" s="139"/>
      <c r="Y657" s="139"/>
      <c r="Z657" s="139"/>
      <c r="AA657" s="139"/>
      <c r="AB657" s="139"/>
      <c r="AC657" s="139"/>
      <c r="AD657" s="139"/>
      <c r="AE657" s="139"/>
      <c r="AF657" s="139"/>
      <c r="AG657" s="139"/>
      <c r="AH657" s="139"/>
      <c r="AI657" s="139"/>
      <c r="AJ657" s="139"/>
      <c r="AK657" s="139"/>
      <c r="AL657" s="139"/>
      <c r="AM657" s="139"/>
      <c r="AN657" s="139"/>
      <c r="AO657" s="139"/>
      <c r="AP657" s="139"/>
      <c r="AQ657" s="139"/>
    </row>
    <row r="658" spans="1:43" ht="12.75" customHeight="1">
      <c r="A658" s="139"/>
      <c r="B658" s="139"/>
      <c r="C658" s="139"/>
      <c r="D658" s="139"/>
      <c r="E658" s="139"/>
      <c r="F658" s="139"/>
      <c r="G658" s="139"/>
      <c r="H658" s="139"/>
      <c r="I658" s="139"/>
      <c r="J658" s="139"/>
      <c r="K658" s="139"/>
      <c r="L658" s="139"/>
      <c r="M658" s="139"/>
      <c r="N658" s="139"/>
      <c r="O658" s="139"/>
      <c r="P658" s="139"/>
      <c r="Q658" s="139"/>
      <c r="R658" s="139"/>
      <c r="S658" s="139"/>
      <c r="T658" s="139"/>
      <c r="U658" s="139"/>
      <c r="V658" s="139"/>
      <c r="W658" s="139"/>
      <c r="X658" s="139"/>
      <c r="Y658" s="139"/>
      <c r="Z658" s="139"/>
      <c r="AA658" s="139"/>
      <c r="AB658" s="139"/>
      <c r="AC658" s="139"/>
      <c r="AD658" s="139"/>
      <c r="AE658" s="139"/>
      <c r="AF658" s="139"/>
      <c r="AG658" s="139"/>
      <c r="AH658" s="139"/>
      <c r="AI658" s="139"/>
      <c r="AJ658" s="139"/>
      <c r="AK658" s="139"/>
      <c r="AL658" s="139"/>
      <c r="AM658" s="139"/>
      <c r="AN658" s="139"/>
      <c r="AO658" s="139"/>
      <c r="AP658" s="139"/>
      <c r="AQ658" s="139"/>
    </row>
    <row r="659" spans="1:43" ht="12.75" customHeight="1">
      <c r="A659" s="139"/>
      <c r="B659" s="139"/>
      <c r="C659" s="139"/>
      <c r="D659" s="139"/>
      <c r="E659" s="139"/>
      <c r="F659" s="139"/>
      <c r="G659" s="139"/>
      <c r="H659" s="139"/>
      <c r="I659" s="139"/>
      <c r="J659" s="139"/>
      <c r="K659" s="139"/>
      <c r="L659" s="139"/>
      <c r="M659" s="139"/>
      <c r="N659" s="139"/>
      <c r="O659" s="139"/>
      <c r="P659" s="139"/>
      <c r="Q659" s="139"/>
      <c r="R659" s="139"/>
      <c r="S659" s="139"/>
      <c r="T659" s="139"/>
      <c r="U659" s="139"/>
      <c r="V659" s="139"/>
      <c r="W659" s="139"/>
      <c r="X659" s="139"/>
      <c r="Y659" s="139"/>
      <c r="Z659" s="139"/>
      <c r="AA659" s="139"/>
      <c r="AB659" s="139"/>
      <c r="AC659" s="139"/>
      <c r="AD659" s="139"/>
      <c r="AE659" s="139"/>
      <c r="AF659" s="139"/>
      <c r="AG659" s="139"/>
      <c r="AH659" s="139"/>
      <c r="AI659" s="139"/>
      <c r="AJ659" s="139"/>
      <c r="AK659" s="139"/>
      <c r="AL659" s="139"/>
      <c r="AM659" s="139"/>
      <c r="AN659" s="139"/>
      <c r="AO659" s="139"/>
      <c r="AP659" s="139"/>
      <c r="AQ659" s="139"/>
    </row>
    <row r="660" spans="1:43" ht="12.75" customHeight="1">
      <c r="A660" s="139"/>
      <c r="B660" s="139"/>
      <c r="C660" s="139"/>
      <c r="D660" s="139"/>
      <c r="E660" s="139"/>
      <c r="F660" s="139"/>
      <c r="G660" s="139"/>
      <c r="H660" s="139"/>
      <c r="I660" s="139"/>
      <c r="J660" s="139"/>
      <c r="K660" s="139"/>
      <c r="L660" s="139"/>
      <c r="M660" s="139"/>
      <c r="N660" s="139"/>
      <c r="O660" s="139"/>
      <c r="P660" s="139"/>
      <c r="Q660" s="139"/>
      <c r="R660" s="139"/>
      <c r="S660" s="139"/>
      <c r="T660" s="139"/>
      <c r="U660" s="139"/>
      <c r="V660" s="139"/>
      <c r="W660" s="139"/>
      <c r="X660" s="139"/>
      <c r="Y660" s="139"/>
      <c r="Z660" s="139"/>
      <c r="AA660" s="139"/>
      <c r="AB660" s="139"/>
      <c r="AC660" s="139"/>
      <c r="AD660" s="139"/>
      <c r="AE660" s="139"/>
      <c r="AF660" s="139"/>
      <c r="AG660" s="139"/>
      <c r="AH660" s="139"/>
      <c r="AI660" s="139"/>
      <c r="AJ660" s="139"/>
      <c r="AK660" s="139"/>
      <c r="AL660" s="139"/>
      <c r="AM660" s="139"/>
      <c r="AN660" s="139"/>
      <c r="AO660" s="139"/>
      <c r="AP660" s="139"/>
      <c r="AQ660" s="139"/>
    </row>
    <row r="661" spans="1:43" ht="12.75" customHeight="1">
      <c r="A661" s="139"/>
      <c r="B661" s="139"/>
      <c r="C661" s="139"/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39"/>
      <c r="O661" s="139"/>
      <c r="P661" s="139"/>
      <c r="Q661" s="139"/>
      <c r="R661" s="139"/>
      <c r="S661" s="139"/>
      <c r="T661" s="139"/>
      <c r="U661" s="139"/>
      <c r="V661" s="139"/>
      <c r="W661" s="139"/>
      <c r="X661" s="139"/>
      <c r="Y661" s="139"/>
      <c r="Z661" s="139"/>
      <c r="AA661" s="139"/>
      <c r="AB661" s="139"/>
      <c r="AC661" s="139"/>
      <c r="AD661" s="139"/>
      <c r="AE661" s="139"/>
      <c r="AF661" s="139"/>
      <c r="AG661" s="139"/>
      <c r="AH661" s="139"/>
      <c r="AI661" s="139"/>
      <c r="AJ661" s="139"/>
      <c r="AK661" s="139"/>
      <c r="AL661" s="139"/>
      <c r="AM661" s="139"/>
      <c r="AN661" s="139"/>
      <c r="AO661" s="139"/>
      <c r="AP661" s="139"/>
      <c r="AQ661" s="139"/>
    </row>
    <row r="662" spans="1:43" ht="12.75" customHeight="1">
      <c r="A662" s="139"/>
      <c r="B662" s="139"/>
      <c r="C662" s="139"/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39"/>
      <c r="O662" s="139"/>
      <c r="P662" s="139"/>
      <c r="Q662" s="139"/>
      <c r="R662" s="139"/>
      <c r="S662" s="139"/>
      <c r="T662" s="139"/>
      <c r="U662" s="139"/>
      <c r="V662" s="139"/>
      <c r="W662" s="139"/>
      <c r="X662" s="139"/>
      <c r="Y662" s="139"/>
      <c r="Z662" s="139"/>
      <c r="AA662" s="139"/>
      <c r="AB662" s="139"/>
      <c r="AC662" s="139"/>
      <c r="AD662" s="139"/>
      <c r="AE662" s="139"/>
      <c r="AF662" s="139"/>
      <c r="AG662" s="139"/>
      <c r="AH662" s="139"/>
      <c r="AI662" s="139"/>
      <c r="AJ662" s="139"/>
      <c r="AK662" s="139"/>
      <c r="AL662" s="139"/>
      <c r="AM662" s="139"/>
      <c r="AN662" s="139"/>
      <c r="AO662" s="139"/>
      <c r="AP662" s="139"/>
      <c r="AQ662" s="139"/>
    </row>
    <row r="663" spans="1:43" ht="12.75" customHeight="1">
      <c r="A663" s="139"/>
      <c r="B663" s="139"/>
      <c r="C663" s="139"/>
      <c r="D663" s="139"/>
      <c r="E663" s="139"/>
      <c r="F663" s="139"/>
      <c r="G663" s="139"/>
      <c r="H663" s="139"/>
      <c r="I663" s="139"/>
      <c r="J663" s="139"/>
      <c r="K663" s="139"/>
      <c r="L663" s="139"/>
      <c r="M663" s="139"/>
      <c r="N663" s="139"/>
      <c r="O663" s="139"/>
      <c r="P663" s="139"/>
      <c r="Q663" s="139"/>
      <c r="R663" s="139"/>
      <c r="S663" s="139"/>
      <c r="T663" s="139"/>
      <c r="U663" s="139"/>
      <c r="V663" s="139"/>
      <c r="W663" s="139"/>
      <c r="X663" s="139"/>
      <c r="Y663" s="139"/>
      <c r="Z663" s="139"/>
      <c r="AA663" s="139"/>
      <c r="AB663" s="139"/>
      <c r="AC663" s="139"/>
      <c r="AD663" s="139"/>
      <c r="AE663" s="139"/>
      <c r="AF663" s="139"/>
      <c r="AG663" s="139"/>
      <c r="AH663" s="139"/>
      <c r="AI663" s="139"/>
      <c r="AJ663" s="139"/>
      <c r="AK663" s="139"/>
      <c r="AL663" s="139"/>
      <c r="AM663" s="139"/>
      <c r="AN663" s="139"/>
      <c r="AO663" s="139"/>
      <c r="AP663" s="139"/>
      <c r="AQ663" s="139"/>
    </row>
    <row r="664" spans="1:43" ht="12.75" customHeight="1">
      <c r="A664" s="139"/>
      <c r="B664" s="139"/>
      <c r="C664" s="139"/>
      <c r="D664" s="139"/>
      <c r="E664" s="139"/>
      <c r="F664" s="139"/>
      <c r="G664" s="139"/>
      <c r="H664" s="139"/>
      <c r="I664" s="139"/>
      <c r="J664" s="139"/>
      <c r="K664" s="139"/>
      <c r="L664" s="139"/>
      <c r="M664" s="139"/>
      <c r="N664" s="139"/>
      <c r="O664" s="139"/>
      <c r="P664" s="139"/>
      <c r="Q664" s="139"/>
      <c r="R664" s="139"/>
      <c r="S664" s="139"/>
      <c r="T664" s="139"/>
      <c r="U664" s="139"/>
      <c r="V664" s="139"/>
      <c r="W664" s="139"/>
      <c r="X664" s="139"/>
      <c r="Y664" s="139"/>
      <c r="Z664" s="139"/>
      <c r="AA664" s="139"/>
      <c r="AB664" s="139"/>
      <c r="AC664" s="139"/>
      <c r="AD664" s="139"/>
      <c r="AE664" s="139"/>
      <c r="AF664" s="139"/>
      <c r="AG664" s="139"/>
      <c r="AH664" s="139"/>
      <c r="AI664" s="139"/>
      <c r="AJ664" s="139"/>
      <c r="AK664" s="139"/>
      <c r="AL664" s="139"/>
      <c r="AM664" s="139"/>
      <c r="AN664" s="139"/>
      <c r="AO664" s="139"/>
      <c r="AP664" s="139"/>
      <c r="AQ664" s="139"/>
    </row>
    <row r="665" spans="1:43" ht="12.75" customHeight="1">
      <c r="A665" s="139"/>
      <c r="B665" s="139"/>
      <c r="C665" s="139"/>
      <c r="D665" s="139"/>
      <c r="E665" s="139"/>
      <c r="F665" s="139"/>
      <c r="G665" s="139"/>
      <c r="H665" s="139"/>
      <c r="I665" s="139"/>
      <c r="J665" s="139"/>
      <c r="K665" s="139"/>
      <c r="L665" s="139"/>
      <c r="M665" s="139"/>
      <c r="N665" s="139"/>
      <c r="O665" s="139"/>
      <c r="P665" s="139"/>
      <c r="Q665" s="139"/>
      <c r="R665" s="139"/>
      <c r="S665" s="139"/>
      <c r="T665" s="139"/>
      <c r="U665" s="139"/>
      <c r="V665" s="139"/>
      <c r="W665" s="139"/>
      <c r="X665" s="139"/>
      <c r="Y665" s="139"/>
      <c r="Z665" s="139"/>
      <c r="AA665" s="139"/>
      <c r="AB665" s="139"/>
      <c r="AC665" s="139"/>
      <c r="AD665" s="139"/>
      <c r="AE665" s="139"/>
      <c r="AF665" s="139"/>
      <c r="AG665" s="139"/>
      <c r="AH665" s="139"/>
      <c r="AI665" s="139"/>
      <c r="AJ665" s="139"/>
      <c r="AK665" s="139"/>
      <c r="AL665" s="139"/>
      <c r="AM665" s="139"/>
      <c r="AN665" s="139"/>
      <c r="AO665" s="139"/>
      <c r="AP665" s="139"/>
      <c r="AQ665" s="139"/>
    </row>
    <row r="666" spans="1:43" ht="12.75" customHeight="1">
      <c r="A666" s="139"/>
      <c r="B666" s="139"/>
      <c r="C666" s="139"/>
      <c r="D666" s="139"/>
      <c r="E666" s="139"/>
      <c r="F666" s="139"/>
      <c r="G666" s="139"/>
      <c r="H666" s="139"/>
      <c r="I666" s="139"/>
      <c r="J666" s="139"/>
      <c r="K666" s="139"/>
      <c r="L666" s="139"/>
      <c r="M666" s="139"/>
      <c r="N666" s="139"/>
      <c r="O666" s="139"/>
      <c r="P666" s="139"/>
      <c r="Q666" s="139"/>
      <c r="R666" s="139"/>
      <c r="S666" s="139"/>
      <c r="T666" s="139"/>
      <c r="U666" s="139"/>
      <c r="V666" s="139"/>
      <c r="W666" s="139"/>
      <c r="X666" s="139"/>
      <c r="Y666" s="139"/>
      <c r="Z666" s="139"/>
      <c r="AA666" s="139"/>
      <c r="AB666" s="139"/>
      <c r="AC666" s="139"/>
      <c r="AD666" s="139"/>
      <c r="AE666" s="139"/>
      <c r="AF666" s="139"/>
      <c r="AG666" s="139"/>
      <c r="AH666" s="139"/>
      <c r="AI666" s="139"/>
      <c r="AJ666" s="139"/>
      <c r="AK666" s="139"/>
      <c r="AL666" s="139"/>
      <c r="AM666" s="139"/>
      <c r="AN666" s="139"/>
      <c r="AO666" s="139"/>
      <c r="AP666" s="139"/>
      <c r="AQ666" s="139"/>
    </row>
    <row r="667" spans="1:43" ht="12.75" customHeight="1">
      <c r="A667" s="139"/>
      <c r="B667" s="139"/>
      <c r="C667" s="139"/>
      <c r="D667" s="139"/>
      <c r="E667" s="139"/>
      <c r="F667" s="139"/>
      <c r="G667" s="139"/>
      <c r="H667" s="139"/>
      <c r="I667" s="139"/>
      <c r="J667" s="139"/>
      <c r="K667" s="139"/>
      <c r="L667" s="139"/>
      <c r="M667" s="139"/>
      <c r="N667" s="139"/>
      <c r="O667" s="139"/>
      <c r="P667" s="139"/>
      <c r="Q667" s="139"/>
      <c r="R667" s="139"/>
      <c r="S667" s="139"/>
      <c r="T667" s="139"/>
      <c r="U667" s="139"/>
      <c r="V667" s="139"/>
      <c r="W667" s="139"/>
      <c r="X667" s="139"/>
      <c r="Y667" s="139"/>
      <c r="Z667" s="139"/>
      <c r="AA667" s="139"/>
      <c r="AB667" s="139"/>
      <c r="AC667" s="139"/>
      <c r="AD667" s="139"/>
      <c r="AE667" s="139"/>
      <c r="AF667" s="139"/>
      <c r="AG667" s="139"/>
      <c r="AH667" s="139"/>
      <c r="AI667" s="139"/>
      <c r="AJ667" s="139"/>
      <c r="AK667" s="139"/>
      <c r="AL667" s="139"/>
      <c r="AM667" s="139"/>
      <c r="AN667" s="139"/>
      <c r="AO667" s="139"/>
      <c r="AP667" s="139"/>
      <c r="AQ667" s="139"/>
    </row>
    <row r="668" spans="1:43" ht="12.75" customHeight="1">
      <c r="A668" s="139"/>
      <c r="B668" s="139"/>
      <c r="C668" s="139"/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39"/>
      <c r="O668" s="139"/>
      <c r="P668" s="139"/>
      <c r="Q668" s="139"/>
      <c r="R668" s="139"/>
      <c r="S668" s="139"/>
      <c r="T668" s="139"/>
      <c r="U668" s="139"/>
      <c r="V668" s="139"/>
      <c r="W668" s="139"/>
      <c r="X668" s="139"/>
      <c r="Y668" s="139"/>
      <c r="Z668" s="139"/>
      <c r="AA668" s="139"/>
      <c r="AB668" s="139"/>
      <c r="AC668" s="139"/>
      <c r="AD668" s="139"/>
      <c r="AE668" s="139"/>
      <c r="AF668" s="139"/>
      <c r="AG668" s="139"/>
      <c r="AH668" s="139"/>
      <c r="AI668" s="139"/>
      <c r="AJ668" s="139"/>
      <c r="AK668" s="139"/>
      <c r="AL668" s="139"/>
      <c r="AM668" s="139"/>
      <c r="AN668" s="139"/>
      <c r="AO668" s="139"/>
      <c r="AP668" s="139"/>
      <c r="AQ668" s="139"/>
    </row>
    <row r="669" spans="1:43" ht="12.75" customHeight="1">
      <c r="A669" s="139"/>
      <c r="B669" s="139"/>
      <c r="C669" s="139"/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39"/>
      <c r="O669" s="139"/>
      <c r="P669" s="139"/>
      <c r="Q669" s="139"/>
      <c r="R669" s="139"/>
      <c r="S669" s="139"/>
      <c r="T669" s="139"/>
      <c r="U669" s="139"/>
      <c r="V669" s="139"/>
      <c r="W669" s="139"/>
      <c r="X669" s="139"/>
      <c r="Y669" s="139"/>
      <c r="Z669" s="139"/>
      <c r="AA669" s="139"/>
      <c r="AB669" s="139"/>
      <c r="AC669" s="139"/>
      <c r="AD669" s="139"/>
      <c r="AE669" s="139"/>
      <c r="AF669" s="139"/>
      <c r="AG669" s="139"/>
      <c r="AH669" s="139"/>
      <c r="AI669" s="139"/>
      <c r="AJ669" s="139"/>
      <c r="AK669" s="139"/>
      <c r="AL669" s="139"/>
      <c r="AM669" s="139"/>
      <c r="AN669" s="139"/>
      <c r="AO669" s="139"/>
      <c r="AP669" s="139"/>
      <c r="AQ669" s="139"/>
    </row>
    <row r="670" spans="1:43" ht="12.75" customHeight="1">
      <c r="A670" s="139"/>
      <c r="B670" s="139"/>
      <c r="C670" s="139"/>
      <c r="D670" s="139"/>
      <c r="E670" s="139"/>
      <c r="F670" s="139"/>
      <c r="G670" s="139"/>
      <c r="H670" s="139"/>
      <c r="I670" s="139"/>
      <c r="J670" s="139"/>
      <c r="K670" s="139"/>
      <c r="L670" s="139"/>
      <c r="M670" s="139"/>
      <c r="N670" s="139"/>
      <c r="O670" s="139"/>
      <c r="P670" s="139"/>
      <c r="Q670" s="139"/>
      <c r="R670" s="139"/>
      <c r="S670" s="139"/>
      <c r="T670" s="139"/>
      <c r="U670" s="139"/>
      <c r="V670" s="139"/>
      <c r="W670" s="139"/>
      <c r="X670" s="139"/>
      <c r="Y670" s="139"/>
      <c r="Z670" s="139"/>
      <c r="AA670" s="139"/>
      <c r="AB670" s="139"/>
      <c r="AC670" s="139"/>
      <c r="AD670" s="139"/>
      <c r="AE670" s="139"/>
      <c r="AF670" s="139"/>
      <c r="AG670" s="139"/>
      <c r="AH670" s="139"/>
      <c r="AI670" s="139"/>
      <c r="AJ670" s="139"/>
      <c r="AK670" s="139"/>
      <c r="AL670" s="139"/>
      <c r="AM670" s="139"/>
      <c r="AN670" s="139"/>
      <c r="AO670" s="139"/>
      <c r="AP670" s="139"/>
      <c r="AQ670" s="139"/>
    </row>
    <row r="671" spans="1:43" ht="12.75" customHeight="1">
      <c r="A671" s="139"/>
      <c r="B671" s="139"/>
      <c r="C671" s="139"/>
      <c r="D671" s="139"/>
      <c r="E671" s="139"/>
      <c r="F671" s="139"/>
      <c r="G671" s="139"/>
      <c r="H671" s="139"/>
      <c r="I671" s="139"/>
      <c r="J671" s="139"/>
      <c r="K671" s="139"/>
      <c r="L671" s="139"/>
      <c r="M671" s="139"/>
      <c r="N671" s="139"/>
      <c r="O671" s="139"/>
      <c r="P671" s="139"/>
      <c r="Q671" s="139"/>
      <c r="R671" s="139"/>
      <c r="S671" s="139"/>
      <c r="T671" s="139"/>
      <c r="U671" s="139"/>
      <c r="V671" s="139"/>
      <c r="W671" s="139"/>
      <c r="X671" s="139"/>
      <c r="Y671" s="139"/>
      <c r="Z671" s="139"/>
      <c r="AA671" s="139"/>
      <c r="AB671" s="139"/>
      <c r="AC671" s="139"/>
      <c r="AD671" s="139"/>
      <c r="AE671" s="139"/>
      <c r="AF671" s="139"/>
      <c r="AG671" s="139"/>
      <c r="AH671" s="139"/>
      <c r="AI671" s="139"/>
      <c r="AJ671" s="139"/>
      <c r="AK671" s="139"/>
      <c r="AL671" s="139"/>
      <c r="AM671" s="139"/>
      <c r="AN671" s="139"/>
      <c r="AO671" s="139"/>
      <c r="AP671" s="139"/>
      <c r="AQ671" s="139"/>
    </row>
    <row r="672" spans="1:43" ht="12.75" customHeight="1">
      <c r="A672" s="139"/>
      <c r="B672" s="139"/>
      <c r="C672" s="139"/>
      <c r="D672" s="139"/>
      <c r="E672" s="139"/>
      <c r="F672" s="139"/>
      <c r="G672" s="139"/>
      <c r="H672" s="139"/>
      <c r="I672" s="139"/>
      <c r="J672" s="139"/>
      <c r="K672" s="139"/>
      <c r="L672" s="139"/>
      <c r="M672" s="139"/>
      <c r="N672" s="139"/>
      <c r="O672" s="139"/>
      <c r="P672" s="139"/>
      <c r="Q672" s="139"/>
      <c r="R672" s="139"/>
      <c r="S672" s="139"/>
      <c r="T672" s="139"/>
      <c r="U672" s="139"/>
      <c r="V672" s="139"/>
      <c r="W672" s="139"/>
      <c r="X672" s="139"/>
      <c r="Y672" s="139"/>
      <c r="Z672" s="139"/>
      <c r="AA672" s="139"/>
      <c r="AB672" s="139"/>
      <c r="AC672" s="139"/>
      <c r="AD672" s="139"/>
      <c r="AE672" s="139"/>
      <c r="AF672" s="139"/>
      <c r="AG672" s="139"/>
      <c r="AH672" s="139"/>
      <c r="AI672" s="139"/>
      <c r="AJ672" s="139"/>
      <c r="AK672" s="139"/>
      <c r="AL672" s="139"/>
      <c r="AM672" s="139"/>
      <c r="AN672" s="139"/>
      <c r="AO672" s="139"/>
      <c r="AP672" s="139"/>
      <c r="AQ672" s="139"/>
    </row>
    <row r="673" spans="1:43" ht="12.75" customHeight="1">
      <c r="A673" s="139"/>
      <c r="B673" s="139"/>
      <c r="C673" s="139"/>
      <c r="D673" s="139"/>
      <c r="E673" s="139"/>
      <c r="F673" s="139"/>
      <c r="G673" s="139"/>
      <c r="H673" s="139"/>
      <c r="I673" s="139"/>
      <c r="J673" s="139"/>
      <c r="K673" s="139"/>
      <c r="L673" s="139"/>
      <c r="M673" s="139"/>
      <c r="N673" s="139"/>
      <c r="O673" s="139"/>
      <c r="P673" s="139"/>
      <c r="Q673" s="139"/>
      <c r="R673" s="139"/>
      <c r="S673" s="139"/>
      <c r="T673" s="139"/>
      <c r="U673" s="139"/>
      <c r="V673" s="139"/>
      <c r="W673" s="139"/>
      <c r="X673" s="139"/>
      <c r="Y673" s="139"/>
      <c r="Z673" s="139"/>
      <c r="AA673" s="139"/>
      <c r="AB673" s="139"/>
      <c r="AC673" s="139"/>
      <c r="AD673" s="139"/>
      <c r="AE673" s="139"/>
      <c r="AF673" s="139"/>
      <c r="AG673" s="139"/>
      <c r="AH673" s="139"/>
      <c r="AI673" s="139"/>
      <c r="AJ673" s="139"/>
      <c r="AK673" s="139"/>
      <c r="AL673" s="139"/>
      <c r="AM673" s="139"/>
      <c r="AN673" s="139"/>
      <c r="AO673" s="139"/>
      <c r="AP673" s="139"/>
      <c r="AQ673" s="139"/>
    </row>
    <row r="674" spans="1:43" ht="12.75" customHeight="1">
      <c r="A674" s="139"/>
      <c r="B674" s="139"/>
      <c r="C674" s="139"/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39"/>
      <c r="O674" s="139"/>
      <c r="P674" s="139"/>
      <c r="Q674" s="139"/>
      <c r="R674" s="139"/>
      <c r="S674" s="139"/>
      <c r="T674" s="139"/>
      <c r="U674" s="139"/>
      <c r="V674" s="139"/>
      <c r="W674" s="139"/>
      <c r="X674" s="139"/>
      <c r="Y674" s="139"/>
      <c r="Z674" s="139"/>
      <c r="AA674" s="139"/>
      <c r="AB674" s="139"/>
      <c r="AC674" s="139"/>
      <c r="AD674" s="139"/>
      <c r="AE674" s="139"/>
      <c r="AF674" s="139"/>
      <c r="AG674" s="139"/>
      <c r="AH674" s="139"/>
      <c r="AI674" s="139"/>
      <c r="AJ674" s="139"/>
      <c r="AK674" s="139"/>
      <c r="AL674" s="139"/>
      <c r="AM674" s="139"/>
      <c r="AN674" s="139"/>
      <c r="AO674" s="139"/>
      <c r="AP674" s="139"/>
      <c r="AQ674" s="139"/>
    </row>
    <row r="675" spans="1:43" ht="12.75" customHeight="1">
      <c r="A675" s="139"/>
      <c r="B675" s="139"/>
      <c r="C675" s="139"/>
      <c r="D675" s="139"/>
      <c r="E675" s="139"/>
      <c r="F675" s="139"/>
      <c r="G675" s="139"/>
      <c r="H675" s="139"/>
      <c r="I675" s="139"/>
      <c r="J675" s="139"/>
      <c r="K675" s="139"/>
      <c r="L675" s="139"/>
      <c r="M675" s="139"/>
      <c r="N675" s="139"/>
      <c r="O675" s="139"/>
      <c r="P675" s="139"/>
      <c r="Q675" s="139"/>
      <c r="R675" s="139"/>
      <c r="S675" s="139"/>
      <c r="T675" s="139"/>
      <c r="U675" s="139"/>
      <c r="V675" s="139"/>
      <c r="W675" s="139"/>
      <c r="X675" s="139"/>
      <c r="Y675" s="139"/>
      <c r="Z675" s="139"/>
      <c r="AA675" s="139"/>
      <c r="AB675" s="139"/>
      <c r="AC675" s="139"/>
      <c r="AD675" s="139"/>
      <c r="AE675" s="139"/>
      <c r="AF675" s="139"/>
      <c r="AG675" s="139"/>
      <c r="AH675" s="139"/>
      <c r="AI675" s="139"/>
      <c r="AJ675" s="139"/>
      <c r="AK675" s="139"/>
      <c r="AL675" s="139"/>
      <c r="AM675" s="139"/>
      <c r="AN675" s="139"/>
      <c r="AO675" s="139"/>
      <c r="AP675" s="139"/>
      <c r="AQ675" s="139"/>
    </row>
    <row r="676" spans="1:43" ht="12.75" customHeight="1">
      <c r="A676" s="139"/>
      <c r="B676" s="139"/>
      <c r="C676" s="139"/>
      <c r="D676" s="139"/>
      <c r="E676" s="139"/>
      <c r="F676" s="139"/>
      <c r="G676" s="139"/>
      <c r="H676" s="139"/>
      <c r="I676" s="139"/>
      <c r="J676" s="139"/>
      <c r="K676" s="139"/>
      <c r="L676" s="139"/>
      <c r="M676" s="139"/>
      <c r="N676" s="139"/>
      <c r="O676" s="139"/>
      <c r="P676" s="139"/>
      <c r="Q676" s="139"/>
      <c r="R676" s="139"/>
      <c r="S676" s="139"/>
      <c r="T676" s="139"/>
      <c r="U676" s="139"/>
      <c r="V676" s="139"/>
      <c r="W676" s="139"/>
      <c r="X676" s="139"/>
      <c r="Y676" s="139"/>
      <c r="Z676" s="139"/>
      <c r="AA676" s="139"/>
      <c r="AB676" s="139"/>
      <c r="AC676" s="139"/>
      <c r="AD676" s="139"/>
      <c r="AE676" s="139"/>
      <c r="AF676" s="139"/>
      <c r="AG676" s="139"/>
      <c r="AH676" s="139"/>
      <c r="AI676" s="139"/>
      <c r="AJ676" s="139"/>
      <c r="AK676" s="139"/>
      <c r="AL676" s="139"/>
      <c r="AM676" s="139"/>
      <c r="AN676" s="139"/>
      <c r="AO676" s="139"/>
      <c r="AP676" s="139"/>
      <c r="AQ676" s="139"/>
    </row>
    <row r="677" spans="1:43" ht="12.75" customHeight="1">
      <c r="A677" s="139"/>
      <c r="B677" s="139"/>
      <c r="C677" s="139"/>
      <c r="D677" s="139"/>
      <c r="E677" s="139"/>
      <c r="F677" s="139"/>
      <c r="G677" s="139"/>
      <c r="H677" s="139"/>
      <c r="I677" s="139"/>
      <c r="J677" s="139"/>
      <c r="K677" s="139"/>
      <c r="L677" s="139"/>
      <c r="M677" s="139"/>
      <c r="N677" s="139"/>
      <c r="O677" s="139"/>
      <c r="P677" s="139"/>
      <c r="Q677" s="139"/>
      <c r="R677" s="139"/>
      <c r="S677" s="139"/>
      <c r="T677" s="139"/>
      <c r="U677" s="139"/>
      <c r="V677" s="139"/>
      <c r="W677" s="139"/>
      <c r="X677" s="139"/>
      <c r="Y677" s="139"/>
      <c r="Z677" s="139"/>
      <c r="AA677" s="139"/>
      <c r="AB677" s="139"/>
      <c r="AC677" s="139"/>
      <c r="AD677" s="139"/>
      <c r="AE677" s="139"/>
      <c r="AF677" s="139"/>
      <c r="AG677" s="139"/>
      <c r="AH677" s="139"/>
      <c r="AI677" s="139"/>
      <c r="AJ677" s="139"/>
      <c r="AK677" s="139"/>
      <c r="AL677" s="139"/>
      <c r="AM677" s="139"/>
      <c r="AN677" s="139"/>
      <c r="AO677" s="139"/>
      <c r="AP677" s="139"/>
      <c r="AQ677" s="139"/>
    </row>
    <row r="678" spans="1:43" ht="12.75" customHeight="1">
      <c r="A678" s="139"/>
      <c r="B678" s="139"/>
      <c r="C678" s="139"/>
      <c r="D678" s="139"/>
      <c r="E678" s="139"/>
      <c r="F678" s="139"/>
      <c r="G678" s="139"/>
      <c r="H678" s="139"/>
      <c r="I678" s="139"/>
      <c r="J678" s="139"/>
      <c r="K678" s="139"/>
      <c r="L678" s="139"/>
      <c r="M678" s="139"/>
      <c r="N678" s="139"/>
      <c r="O678" s="139"/>
      <c r="P678" s="139"/>
      <c r="Q678" s="139"/>
      <c r="R678" s="139"/>
      <c r="S678" s="139"/>
      <c r="T678" s="139"/>
      <c r="U678" s="139"/>
      <c r="V678" s="139"/>
      <c r="W678" s="139"/>
      <c r="X678" s="139"/>
      <c r="Y678" s="139"/>
      <c r="Z678" s="139"/>
      <c r="AA678" s="139"/>
      <c r="AB678" s="139"/>
      <c r="AC678" s="139"/>
      <c r="AD678" s="139"/>
      <c r="AE678" s="139"/>
      <c r="AF678" s="139"/>
      <c r="AG678" s="139"/>
      <c r="AH678" s="139"/>
      <c r="AI678" s="139"/>
      <c r="AJ678" s="139"/>
      <c r="AK678" s="139"/>
      <c r="AL678" s="139"/>
      <c r="AM678" s="139"/>
      <c r="AN678" s="139"/>
      <c r="AO678" s="139"/>
      <c r="AP678" s="139"/>
      <c r="AQ678" s="139"/>
    </row>
    <row r="679" spans="1:43" ht="12.75" customHeight="1">
      <c r="A679" s="139"/>
      <c r="B679" s="139"/>
      <c r="C679" s="139"/>
      <c r="D679" s="139"/>
      <c r="E679" s="139"/>
      <c r="F679" s="139"/>
      <c r="G679" s="139"/>
      <c r="H679" s="139"/>
      <c r="I679" s="139"/>
      <c r="J679" s="139"/>
      <c r="K679" s="139"/>
      <c r="L679" s="139"/>
      <c r="M679" s="139"/>
      <c r="N679" s="139"/>
      <c r="O679" s="139"/>
      <c r="P679" s="139"/>
      <c r="Q679" s="139"/>
      <c r="R679" s="139"/>
      <c r="S679" s="139"/>
      <c r="T679" s="139"/>
      <c r="U679" s="139"/>
      <c r="V679" s="139"/>
      <c r="W679" s="139"/>
      <c r="X679" s="139"/>
      <c r="Y679" s="139"/>
      <c r="Z679" s="139"/>
      <c r="AA679" s="139"/>
      <c r="AB679" s="139"/>
      <c r="AC679" s="139"/>
      <c r="AD679" s="139"/>
      <c r="AE679" s="139"/>
      <c r="AF679" s="139"/>
      <c r="AG679" s="139"/>
      <c r="AH679" s="139"/>
      <c r="AI679" s="139"/>
      <c r="AJ679" s="139"/>
      <c r="AK679" s="139"/>
      <c r="AL679" s="139"/>
      <c r="AM679" s="139"/>
      <c r="AN679" s="139"/>
      <c r="AO679" s="139"/>
      <c r="AP679" s="139"/>
      <c r="AQ679" s="139"/>
    </row>
    <row r="680" spans="1:43" ht="12.75" customHeight="1">
      <c r="A680" s="139"/>
      <c r="B680" s="139"/>
      <c r="C680" s="139"/>
      <c r="D680" s="139"/>
      <c r="E680" s="139"/>
      <c r="F680" s="139"/>
      <c r="G680" s="139"/>
      <c r="H680" s="139"/>
      <c r="I680" s="139"/>
      <c r="J680" s="139"/>
      <c r="K680" s="139"/>
      <c r="L680" s="139"/>
      <c r="M680" s="139"/>
      <c r="N680" s="139"/>
      <c r="O680" s="139"/>
      <c r="P680" s="139"/>
      <c r="Q680" s="139"/>
      <c r="R680" s="139"/>
      <c r="S680" s="139"/>
      <c r="T680" s="139"/>
      <c r="U680" s="139"/>
      <c r="V680" s="139"/>
      <c r="W680" s="139"/>
      <c r="X680" s="139"/>
      <c r="Y680" s="139"/>
      <c r="Z680" s="139"/>
      <c r="AA680" s="139"/>
      <c r="AB680" s="139"/>
      <c r="AC680" s="139"/>
      <c r="AD680" s="139"/>
      <c r="AE680" s="139"/>
      <c r="AF680" s="139"/>
      <c r="AG680" s="139"/>
      <c r="AH680" s="139"/>
      <c r="AI680" s="139"/>
      <c r="AJ680" s="139"/>
      <c r="AK680" s="139"/>
      <c r="AL680" s="139"/>
      <c r="AM680" s="139"/>
      <c r="AN680" s="139"/>
      <c r="AO680" s="139"/>
      <c r="AP680" s="139"/>
      <c r="AQ680" s="139"/>
    </row>
    <row r="681" spans="1:43" ht="12.75" customHeight="1">
      <c r="A681" s="139"/>
      <c r="B681" s="139"/>
      <c r="C681" s="139"/>
      <c r="D681" s="139"/>
      <c r="E681" s="139"/>
      <c r="F681" s="139"/>
      <c r="G681" s="139"/>
      <c r="H681" s="139"/>
      <c r="I681" s="139"/>
      <c r="J681" s="139"/>
      <c r="K681" s="139"/>
      <c r="L681" s="139"/>
      <c r="M681" s="139"/>
      <c r="N681" s="139"/>
      <c r="O681" s="139"/>
      <c r="P681" s="139"/>
      <c r="Q681" s="139"/>
      <c r="R681" s="139"/>
      <c r="S681" s="139"/>
      <c r="T681" s="139"/>
      <c r="U681" s="139"/>
      <c r="V681" s="139"/>
      <c r="W681" s="139"/>
      <c r="X681" s="139"/>
      <c r="Y681" s="139"/>
      <c r="Z681" s="139"/>
      <c r="AA681" s="139"/>
      <c r="AB681" s="139"/>
      <c r="AC681" s="139"/>
      <c r="AD681" s="139"/>
      <c r="AE681" s="139"/>
      <c r="AF681" s="139"/>
      <c r="AG681" s="139"/>
      <c r="AH681" s="139"/>
      <c r="AI681" s="139"/>
      <c r="AJ681" s="139"/>
      <c r="AK681" s="139"/>
      <c r="AL681" s="139"/>
      <c r="AM681" s="139"/>
      <c r="AN681" s="139"/>
      <c r="AO681" s="139"/>
      <c r="AP681" s="139"/>
      <c r="AQ681" s="139"/>
    </row>
    <row r="682" spans="1:43" ht="12.75" customHeight="1">
      <c r="A682" s="139"/>
      <c r="B682" s="139"/>
      <c r="C682" s="139"/>
      <c r="D682" s="139"/>
      <c r="E682" s="139"/>
      <c r="F682" s="139"/>
      <c r="G682" s="139"/>
      <c r="H682" s="139"/>
      <c r="I682" s="139"/>
      <c r="J682" s="139"/>
      <c r="K682" s="139"/>
      <c r="L682" s="139"/>
      <c r="M682" s="139"/>
      <c r="N682" s="139"/>
      <c r="O682" s="139"/>
      <c r="P682" s="139"/>
      <c r="Q682" s="139"/>
      <c r="R682" s="139"/>
      <c r="S682" s="139"/>
      <c r="T682" s="139"/>
      <c r="U682" s="139"/>
      <c r="V682" s="139"/>
      <c r="W682" s="139"/>
      <c r="X682" s="139"/>
      <c r="Y682" s="139"/>
      <c r="Z682" s="139"/>
      <c r="AA682" s="139"/>
      <c r="AB682" s="139"/>
      <c r="AC682" s="139"/>
      <c r="AD682" s="139"/>
      <c r="AE682" s="139"/>
      <c r="AF682" s="139"/>
      <c r="AG682" s="139"/>
      <c r="AH682" s="139"/>
      <c r="AI682" s="139"/>
      <c r="AJ682" s="139"/>
      <c r="AK682" s="139"/>
      <c r="AL682" s="139"/>
      <c r="AM682" s="139"/>
      <c r="AN682" s="139"/>
      <c r="AO682" s="139"/>
      <c r="AP682" s="139"/>
      <c r="AQ682" s="139"/>
    </row>
    <row r="683" spans="1:43" ht="12.75" customHeight="1">
      <c r="A683" s="139"/>
      <c r="B683" s="139"/>
      <c r="C683" s="139"/>
      <c r="D683" s="139"/>
      <c r="E683" s="139"/>
      <c r="F683" s="139"/>
      <c r="G683" s="139"/>
      <c r="H683" s="139"/>
      <c r="I683" s="139"/>
      <c r="J683" s="139"/>
      <c r="K683" s="139"/>
      <c r="L683" s="139"/>
      <c r="M683" s="139"/>
      <c r="N683" s="139"/>
      <c r="O683" s="139"/>
      <c r="P683" s="139"/>
      <c r="Q683" s="139"/>
      <c r="R683" s="139"/>
      <c r="S683" s="139"/>
      <c r="T683" s="139"/>
      <c r="U683" s="139"/>
      <c r="V683" s="139"/>
      <c r="W683" s="139"/>
      <c r="X683" s="139"/>
      <c r="Y683" s="139"/>
      <c r="Z683" s="139"/>
      <c r="AA683" s="139"/>
      <c r="AB683" s="139"/>
      <c r="AC683" s="139"/>
      <c r="AD683" s="139"/>
      <c r="AE683" s="139"/>
      <c r="AF683" s="139"/>
      <c r="AG683" s="139"/>
      <c r="AH683" s="139"/>
      <c r="AI683" s="139"/>
      <c r="AJ683" s="139"/>
      <c r="AK683" s="139"/>
      <c r="AL683" s="139"/>
      <c r="AM683" s="139"/>
      <c r="AN683" s="139"/>
      <c r="AO683" s="139"/>
      <c r="AP683" s="139"/>
      <c r="AQ683" s="139"/>
    </row>
    <row r="684" spans="1:43" ht="12.75" customHeight="1">
      <c r="A684" s="139"/>
      <c r="B684" s="139"/>
      <c r="C684" s="139"/>
      <c r="D684" s="139"/>
      <c r="E684" s="139"/>
      <c r="F684" s="139"/>
      <c r="G684" s="139"/>
      <c r="H684" s="139"/>
      <c r="I684" s="139"/>
      <c r="J684" s="139"/>
      <c r="K684" s="139"/>
      <c r="L684" s="139"/>
      <c r="M684" s="139"/>
      <c r="N684" s="139"/>
      <c r="O684" s="139"/>
      <c r="P684" s="139"/>
      <c r="Q684" s="139"/>
      <c r="R684" s="139"/>
      <c r="S684" s="139"/>
      <c r="T684" s="139"/>
      <c r="U684" s="139"/>
      <c r="V684" s="139"/>
      <c r="W684" s="139"/>
      <c r="X684" s="139"/>
      <c r="Y684" s="139"/>
      <c r="Z684" s="139"/>
      <c r="AA684" s="139"/>
      <c r="AB684" s="139"/>
      <c r="AC684" s="139"/>
      <c r="AD684" s="139"/>
      <c r="AE684" s="139"/>
      <c r="AF684" s="139"/>
      <c r="AG684" s="139"/>
      <c r="AH684" s="139"/>
      <c r="AI684" s="139"/>
      <c r="AJ684" s="139"/>
      <c r="AK684" s="139"/>
      <c r="AL684" s="139"/>
      <c r="AM684" s="139"/>
      <c r="AN684" s="139"/>
      <c r="AO684" s="139"/>
      <c r="AP684" s="139"/>
      <c r="AQ684" s="139"/>
    </row>
    <row r="685" spans="1:43" ht="12.75" customHeight="1">
      <c r="A685" s="139"/>
      <c r="B685" s="139"/>
      <c r="C685" s="139"/>
      <c r="D685" s="139"/>
      <c r="E685" s="139"/>
      <c r="F685" s="139"/>
      <c r="G685" s="139"/>
      <c r="H685" s="139"/>
      <c r="I685" s="139"/>
      <c r="J685" s="139"/>
      <c r="K685" s="139"/>
      <c r="L685" s="139"/>
      <c r="M685" s="139"/>
      <c r="N685" s="139"/>
      <c r="O685" s="139"/>
      <c r="P685" s="139"/>
      <c r="Q685" s="139"/>
      <c r="R685" s="139"/>
      <c r="S685" s="139"/>
      <c r="T685" s="139"/>
      <c r="U685" s="139"/>
      <c r="V685" s="139"/>
      <c r="W685" s="139"/>
      <c r="X685" s="139"/>
      <c r="Y685" s="139"/>
      <c r="Z685" s="139"/>
      <c r="AA685" s="139"/>
      <c r="AB685" s="139"/>
      <c r="AC685" s="139"/>
      <c r="AD685" s="139"/>
      <c r="AE685" s="139"/>
      <c r="AF685" s="139"/>
      <c r="AG685" s="139"/>
      <c r="AH685" s="139"/>
      <c r="AI685" s="139"/>
      <c r="AJ685" s="139"/>
      <c r="AK685" s="139"/>
      <c r="AL685" s="139"/>
      <c r="AM685" s="139"/>
      <c r="AN685" s="139"/>
      <c r="AO685" s="139"/>
      <c r="AP685" s="139"/>
      <c r="AQ685" s="139"/>
    </row>
    <row r="686" spans="1:43" ht="12.75" customHeight="1">
      <c r="A686" s="139"/>
      <c r="B686" s="139"/>
      <c r="C686" s="139"/>
      <c r="D686" s="139"/>
      <c r="E686" s="139"/>
      <c r="F686" s="139"/>
      <c r="G686" s="139"/>
      <c r="H686" s="139"/>
      <c r="I686" s="139"/>
      <c r="J686" s="139"/>
      <c r="K686" s="139"/>
      <c r="L686" s="139"/>
      <c r="M686" s="139"/>
      <c r="N686" s="139"/>
      <c r="O686" s="139"/>
      <c r="P686" s="139"/>
      <c r="Q686" s="139"/>
      <c r="R686" s="139"/>
      <c r="S686" s="139"/>
      <c r="T686" s="139"/>
      <c r="U686" s="139"/>
      <c r="V686" s="139"/>
      <c r="W686" s="139"/>
      <c r="X686" s="139"/>
      <c r="Y686" s="139"/>
      <c r="Z686" s="139"/>
      <c r="AA686" s="139"/>
      <c r="AB686" s="139"/>
      <c r="AC686" s="139"/>
      <c r="AD686" s="139"/>
      <c r="AE686" s="139"/>
      <c r="AF686" s="139"/>
      <c r="AG686" s="139"/>
      <c r="AH686" s="139"/>
      <c r="AI686" s="139"/>
      <c r="AJ686" s="139"/>
      <c r="AK686" s="139"/>
      <c r="AL686" s="139"/>
      <c r="AM686" s="139"/>
      <c r="AN686" s="139"/>
      <c r="AO686" s="139"/>
      <c r="AP686" s="139"/>
      <c r="AQ686" s="139"/>
    </row>
    <row r="687" spans="1:43" ht="12.75" customHeight="1">
      <c r="A687" s="139"/>
      <c r="B687" s="139"/>
      <c r="C687" s="139"/>
      <c r="D687" s="139"/>
      <c r="E687" s="139"/>
      <c r="F687" s="139"/>
      <c r="G687" s="139"/>
      <c r="H687" s="139"/>
      <c r="I687" s="139"/>
      <c r="J687" s="139"/>
      <c r="K687" s="139"/>
      <c r="L687" s="139"/>
      <c r="M687" s="139"/>
      <c r="N687" s="139"/>
      <c r="O687" s="139"/>
      <c r="P687" s="139"/>
      <c r="Q687" s="139"/>
      <c r="R687" s="139"/>
      <c r="S687" s="139"/>
      <c r="T687" s="139"/>
      <c r="U687" s="139"/>
      <c r="V687" s="139"/>
      <c r="W687" s="139"/>
      <c r="X687" s="139"/>
      <c r="Y687" s="139"/>
      <c r="Z687" s="139"/>
      <c r="AA687" s="139"/>
      <c r="AB687" s="139"/>
      <c r="AC687" s="139"/>
      <c r="AD687" s="139"/>
      <c r="AE687" s="139"/>
      <c r="AF687" s="139"/>
      <c r="AG687" s="139"/>
      <c r="AH687" s="139"/>
      <c r="AI687" s="139"/>
      <c r="AJ687" s="139"/>
      <c r="AK687" s="139"/>
      <c r="AL687" s="139"/>
      <c r="AM687" s="139"/>
      <c r="AN687" s="139"/>
      <c r="AO687" s="139"/>
      <c r="AP687" s="139"/>
      <c r="AQ687" s="139"/>
    </row>
    <row r="688" spans="1:43" ht="12.75" customHeight="1">
      <c r="A688" s="139"/>
      <c r="B688" s="139"/>
      <c r="C688" s="139"/>
      <c r="D688" s="139"/>
      <c r="E688" s="139"/>
      <c r="F688" s="139"/>
      <c r="G688" s="139"/>
      <c r="H688" s="139"/>
      <c r="I688" s="139"/>
      <c r="J688" s="139"/>
      <c r="K688" s="139"/>
      <c r="L688" s="139"/>
      <c r="M688" s="139"/>
      <c r="N688" s="139"/>
      <c r="O688" s="139"/>
      <c r="P688" s="139"/>
      <c r="Q688" s="139"/>
      <c r="R688" s="139"/>
      <c r="S688" s="139"/>
      <c r="T688" s="139"/>
      <c r="U688" s="139"/>
      <c r="V688" s="139"/>
      <c r="W688" s="139"/>
      <c r="X688" s="139"/>
      <c r="Y688" s="139"/>
      <c r="Z688" s="139"/>
      <c r="AA688" s="139"/>
      <c r="AB688" s="139"/>
      <c r="AC688" s="139"/>
      <c r="AD688" s="139"/>
      <c r="AE688" s="139"/>
      <c r="AF688" s="139"/>
      <c r="AG688" s="139"/>
      <c r="AH688" s="139"/>
      <c r="AI688" s="139"/>
      <c r="AJ688" s="139"/>
      <c r="AK688" s="139"/>
      <c r="AL688" s="139"/>
      <c r="AM688" s="139"/>
      <c r="AN688" s="139"/>
      <c r="AO688" s="139"/>
      <c r="AP688" s="139"/>
      <c r="AQ688" s="139"/>
    </row>
    <row r="689" spans="1:43" ht="12.75" customHeight="1">
      <c r="A689" s="139"/>
      <c r="B689" s="139"/>
      <c r="C689" s="139"/>
      <c r="D689" s="139"/>
      <c r="E689" s="139"/>
      <c r="F689" s="139"/>
      <c r="G689" s="139"/>
      <c r="H689" s="139"/>
      <c r="I689" s="139"/>
      <c r="J689" s="139"/>
      <c r="K689" s="139"/>
      <c r="L689" s="139"/>
      <c r="M689" s="139"/>
      <c r="N689" s="139"/>
      <c r="O689" s="139"/>
      <c r="P689" s="139"/>
      <c r="Q689" s="139"/>
      <c r="R689" s="139"/>
      <c r="S689" s="139"/>
      <c r="T689" s="139"/>
      <c r="U689" s="139"/>
      <c r="V689" s="139"/>
      <c r="W689" s="139"/>
      <c r="X689" s="139"/>
      <c r="Y689" s="139"/>
      <c r="Z689" s="139"/>
      <c r="AA689" s="139"/>
      <c r="AB689" s="139"/>
      <c r="AC689" s="139"/>
      <c r="AD689" s="139"/>
      <c r="AE689" s="139"/>
      <c r="AF689" s="139"/>
      <c r="AG689" s="139"/>
      <c r="AH689" s="139"/>
      <c r="AI689" s="139"/>
      <c r="AJ689" s="139"/>
      <c r="AK689" s="139"/>
      <c r="AL689" s="139"/>
      <c r="AM689" s="139"/>
      <c r="AN689" s="139"/>
      <c r="AO689" s="139"/>
      <c r="AP689" s="139"/>
      <c r="AQ689" s="139"/>
    </row>
    <row r="690" spans="1:43" ht="12.75" customHeight="1">
      <c r="A690" s="139"/>
      <c r="B690" s="139"/>
      <c r="C690" s="139"/>
      <c r="D690" s="139"/>
      <c r="E690" s="139"/>
      <c r="F690" s="139"/>
      <c r="G690" s="139"/>
      <c r="H690" s="139"/>
      <c r="I690" s="139"/>
      <c r="J690" s="139"/>
      <c r="K690" s="139"/>
      <c r="L690" s="139"/>
      <c r="M690" s="139"/>
      <c r="N690" s="139"/>
      <c r="O690" s="139"/>
      <c r="P690" s="139"/>
      <c r="Q690" s="139"/>
      <c r="R690" s="139"/>
      <c r="S690" s="139"/>
      <c r="T690" s="139"/>
      <c r="U690" s="139"/>
      <c r="V690" s="139"/>
      <c r="W690" s="139"/>
      <c r="X690" s="139"/>
      <c r="Y690" s="139"/>
      <c r="Z690" s="139"/>
      <c r="AA690" s="139"/>
      <c r="AB690" s="139"/>
      <c r="AC690" s="139"/>
      <c r="AD690" s="139"/>
      <c r="AE690" s="139"/>
      <c r="AF690" s="139"/>
      <c r="AG690" s="139"/>
      <c r="AH690" s="139"/>
      <c r="AI690" s="139"/>
      <c r="AJ690" s="139"/>
      <c r="AK690" s="139"/>
      <c r="AL690" s="139"/>
      <c r="AM690" s="139"/>
      <c r="AN690" s="139"/>
      <c r="AO690" s="139"/>
      <c r="AP690" s="139"/>
      <c r="AQ690" s="139"/>
    </row>
    <row r="691" spans="1:43" ht="12.75" customHeight="1">
      <c r="A691" s="139"/>
      <c r="B691" s="139"/>
      <c r="C691" s="139"/>
      <c r="D691" s="139"/>
      <c r="E691" s="139"/>
      <c r="F691" s="139"/>
      <c r="G691" s="139"/>
      <c r="H691" s="139"/>
      <c r="I691" s="139"/>
      <c r="J691" s="139"/>
      <c r="K691" s="139"/>
      <c r="L691" s="139"/>
      <c r="M691" s="139"/>
      <c r="N691" s="139"/>
      <c r="O691" s="139"/>
      <c r="P691" s="139"/>
      <c r="Q691" s="139"/>
      <c r="R691" s="139"/>
      <c r="S691" s="139"/>
      <c r="T691" s="139"/>
      <c r="U691" s="139"/>
      <c r="V691" s="139"/>
      <c r="W691" s="139"/>
      <c r="X691" s="139"/>
      <c r="Y691" s="139"/>
      <c r="Z691" s="139"/>
      <c r="AA691" s="139"/>
      <c r="AB691" s="139"/>
      <c r="AC691" s="139"/>
      <c r="AD691" s="139"/>
      <c r="AE691" s="139"/>
      <c r="AF691" s="139"/>
      <c r="AG691" s="139"/>
      <c r="AH691" s="139"/>
      <c r="AI691" s="139"/>
      <c r="AJ691" s="139"/>
      <c r="AK691" s="139"/>
      <c r="AL691" s="139"/>
      <c r="AM691" s="139"/>
      <c r="AN691" s="139"/>
      <c r="AO691" s="139"/>
      <c r="AP691" s="139"/>
      <c r="AQ691" s="139"/>
    </row>
    <row r="692" spans="1:43" ht="12.75" customHeight="1">
      <c r="A692" s="139"/>
      <c r="B692" s="139"/>
      <c r="C692" s="139"/>
      <c r="D692" s="139"/>
      <c r="E692" s="139"/>
      <c r="F692" s="139"/>
      <c r="G692" s="139"/>
      <c r="H692" s="139"/>
      <c r="I692" s="139"/>
      <c r="J692" s="139"/>
      <c r="K692" s="139"/>
      <c r="L692" s="139"/>
      <c r="M692" s="139"/>
      <c r="N692" s="139"/>
      <c r="O692" s="139"/>
      <c r="P692" s="139"/>
      <c r="Q692" s="139"/>
      <c r="R692" s="139"/>
      <c r="S692" s="139"/>
      <c r="T692" s="139"/>
      <c r="U692" s="139"/>
      <c r="V692" s="139"/>
      <c r="W692" s="139"/>
      <c r="X692" s="139"/>
      <c r="Y692" s="139"/>
      <c r="Z692" s="139"/>
      <c r="AA692" s="139"/>
      <c r="AB692" s="139"/>
      <c r="AC692" s="139"/>
      <c r="AD692" s="139"/>
      <c r="AE692" s="139"/>
      <c r="AF692" s="139"/>
      <c r="AG692" s="139"/>
      <c r="AH692" s="139"/>
      <c r="AI692" s="139"/>
      <c r="AJ692" s="139"/>
      <c r="AK692" s="139"/>
      <c r="AL692" s="139"/>
      <c r="AM692" s="139"/>
      <c r="AN692" s="139"/>
      <c r="AO692" s="139"/>
      <c r="AP692" s="139"/>
      <c r="AQ692" s="139"/>
    </row>
    <row r="693" spans="1:43" ht="12.75" customHeight="1">
      <c r="A693" s="139"/>
      <c r="B693" s="139"/>
      <c r="C693" s="139"/>
      <c r="D693" s="139"/>
      <c r="E693" s="139"/>
      <c r="F693" s="139"/>
      <c r="G693" s="139"/>
      <c r="H693" s="139"/>
      <c r="I693" s="139"/>
      <c r="J693" s="139"/>
      <c r="K693" s="139"/>
      <c r="L693" s="139"/>
      <c r="M693" s="139"/>
      <c r="N693" s="139"/>
      <c r="O693" s="139"/>
      <c r="P693" s="139"/>
      <c r="Q693" s="139"/>
      <c r="R693" s="139"/>
      <c r="S693" s="139"/>
      <c r="T693" s="139"/>
      <c r="U693" s="139"/>
      <c r="V693" s="139"/>
      <c r="W693" s="139"/>
      <c r="X693" s="139"/>
      <c r="Y693" s="139"/>
      <c r="Z693" s="139"/>
      <c r="AA693" s="139"/>
      <c r="AB693" s="139"/>
      <c r="AC693" s="139"/>
      <c r="AD693" s="139"/>
      <c r="AE693" s="139"/>
      <c r="AF693" s="139"/>
      <c r="AG693" s="139"/>
      <c r="AH693" s="139"/>
      <c r="AI693" s="139"/>
      <c r="AJ693" s="139"/>
      <c r="AK693" s="139"/>
      <c r="AL693" s="139"/>
      <c r="AM693" s="139"/>
      <c r="AN693" s="139"/>
      <c r="AO693" s="139"/>
      <c r="AP693" s="139"/>
      <c r="AQ693" s="139"/>
    </row>
    <row r="694" spans="1:43" ht="12.75" customHeight="1">
      <c r="A694" s="139"/>
      <c r="B694" s="139"/>
      <c r="C694" s="139"/>
      <c r="D694" s="139"/>
      <c r="E694" s="139"/>
      <c r="F694" s="139"/>
      <c r="G694" s="139"/>
      <c r="H694" s="139"/>
      <c r="I694" s="139"/>
      <c r="J694" s="139"/>
      <c r="K694" s="139"/>
      <c r="L694" s="139"/>
      <c r="M694" s="139"/>
      <c r="N694" s="139"/>
      <c r="O694" s="139"/>
      <c r="P694" s="139"/>
      <c r="Q694" s="139"/>
      <c r="R694" s="139"/>
      <c r="S694" s="139"/>
      <c r="T694" s="139"/>
      <c r="U694" s="139"/>
      <c r="V694" s="139"/>
      <c r="W694" s="139"/>
      <c r="X694" s="139"/>
      <c r="Y694" s="139"/>
      <c r="Z694" s="139"/>
      <c r="AA694" s="139"/>
      <c r="AB694" s="139"/>
      <c r="AC694" s="139"/>
      <c r="AD694" s="139"/>
      <c r="AE694" s="139"/>
      <c r="AF694" s="139"/>
      <c r="AG694" s="139"/>
      <c r="AH694" s="139"/>
      <c r="AI694" s="139"/>
      <c r="AJ694" s="139"/>
      <c r="AK694" s="139"/>
      <c r="AL694" s="139"/>
      <c r="AM694" s="139"/>
      <c r="AN694" s="139"/>
      <c r="AO694" s="139"/>
      <c r="AP694" s="139"/>
      <c r="AQ694" s="139"/>
    </row>
    <row r="695" spans="1:43" ht="12.75" customHeight="1">
      <c r="A695" s="139"/>
      <c r="B695" s="139"/>
      <c r="C695" s="139"/>
      <c r="D695" s="139"/>
      <c r="E695" s="139"/>
      <c r="F695" s="139"/>
      <c r="G695" s="139"/>
      <c r="H695" s="139"/>
      <c r="I695" s="139"/>
      <c r="J695" s="139"/>
      <c r="K695" s="139"/>
      <c r="L695" s="139"/>
      <c r="M695" s="139"/>
      <c r="N695" s="139"/>
      <c r="O695" s="139"/>
      <c r="P695" s="139"/>
      <c r="Q695" s="139"/>
      <c r="R695" s="139"/>
      <c r="S695" s="139"/>
      <c r="T695" s="139"/>
      <c r="U695" s="139"/>
      <c r="V695" s="139"/>
      <c r="W695" s="139"/>
      <c r="X695" s="139"/>
      <c r="Y695" s="139"/>
      <c r="Z695" s="139"/>
      <c r="AA695" s="139"/>
      <c r="AB695" s="139"/>
      <c r="AC695" s="139"/>
      <c r="AD695" s="139"/>
      <c r="AE695" s="139"/>
      <c r="AF695" s="139"/>
      <c r="AG695" s="139"/>
      <c r="AH695" s="139"/>
      <c r="AI695" s="139"/>
      <c r="AJ695" s="139"/>
      <c r="AK695" s="139"/>
      <c r="AL695" s="139"/>
      <c r="AM695" s="139"/>
      <c r="AN695" s="139"/>
      <c r="AO695" s="139"/>
      <c r="AP695" s="139"/>
      <c r="AQ695" s="139"/>
    </row>
    <row r="696" spans="1:43" ht="12.75" customHeight="1">
      <c r="A696" s="139"/>
      <c r="B696" s="139"/>
      <c r="C696" s="139"/>
      <c r="D696" s="139"/>
      <c r="E696" s="139"/>
      <c r="F696" s="139"/>
      <c r="G696" s="139"/>
      <c r="H696" s="139"/>
      <c r="I696" s="139"/>
      <c r="J696" s="139"/>
      <c r="K696" s="139"/>
      <c r="L696" s="139"/>
      <c r="M696" s="139"/>
      <c r="N696" s="139"/>
      <c r="O696" s="139"/>
      <c r="P696" s="139"/>
      <c r="Q696" s="139"/>
      <c r="R696" s="139"/>
      <c r="S696" s="139"/>
      <c r="T696" s="139"/>
      <c r="U696" s="139"/>
      <c r="V696" s="139"/>
      <c r="W696" s="139"/>
      <c r="X696" s="139"/>
      <c r="Y696" s="139"/>
      <c r="Z696" s="139"/>
      <c r="AA696" s="139"/>
      <c r="AB696" s="139"/>
      <c r="AC696" s="139"/>
      <c r="AD696" s="139"/>
      <c r="AE696" s="139"/>
      <c r="AF696" s="139"/>
      <c r="AG696" s="139"/>
      <c r="AH696" s="139"/>
      <c r="AI696" s="139"/>
      <c r="AJ696" s="139"/>
      <c r="AK696" s="139"/>
      <c r="AL696" s="139"/>
      <c r="AM696" s="139"/>
      <c r="AN696" s="139"/>
      <c r="AO696" s="139"/>
      <c r="AP696" s="139"/>
      <c r="AQ696" s="139"/>
    </row>
    <row r="697" spans="1:43" ht="12.75" customHeight="1">
      <c r="A697" s="139"/>
      <c r="B697" s="139"/>
      <c r="C697" s="139"/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39"/>
      <c r="O697" s="139"/>
      <c r="P697" s="139"/>
      <c r="Q697" s="139"/>
      <c r="R697" s="139"/>
      <c r="S697" s="139"/>
      <c r="T697" s="139"/>
      <c r="U697" s="139"/>
      <c r="V697" s="139"/>
      <c r="W697" s="139"/>
      <c r="X697" s="139"/>
      <c r="Y697" s="139"/>
      <c r="Z697" s="139"/>
      <c r="AA697" s="139"/>
      <c r="AB697" s="139"/>
      <c r="AC697" s="139"/>
      <c r="AD697" s="139"/>
      <c r="AE697" s="139"/>
      <c r="AF697" s="139"/>
      <c r="AG697" s="139"/>
      <c r="AH697" s="139"/>
      <c r="AI697" s="139"/>
      <c r="AJ697" s="139"/>
      <c r="AK697" s="139"/>
      <c r="AL697" s="139"/>
      <c r="AM697" s="139"/>
      <c r="AN697" s="139"/>
      <c r="AO697" s="139"/>
      <c r="AP697" s="139"/>
      <c r="AQ697" s="139"/>
    </row>
    <row r="698" spans="1:43" ht="12.75" customHeight="1">
      <c r="A698" s="139"/>
      <c r="B698" s="139"/>
      <c r="C698" s="139"/>
      <c r="D698" s="139"/>
      <c r="E698" s="139"/>
      <c r="F698" s="139"/>
      <c r="G698" s="139"/>
      <c r="H698" s="139"/>
      <c r="I698" s="139"/>
      <c r="J698" s="139"/>
      <c r="K698" s="139"/>
      <c r="L698" s="139"/>
      <c r="M698" s="139"/>
      <c r="N698" s="139"/>
      <c r="O698" s="139"/>
      <c r="P698" s="139"/>
      <c r="Q698" s="139"/>
      <c r="R698" s="139"/>
      <c r="S698" s="139"/>
      <c r="T698" s="139"/>
      <c r="U698" s="139"/>
      <c r="V698" s="139"/>
      <c r="W698" s="139"/>
      <c r="X698" s="139"/>
      <c r="Y698" s="139"/>
      <c r="Z698" s="139"/>
      <c r="AA698" s="139"/>
      <c r="AB698" s="139"/>
      <c r="AC698" s="139"/>
      <c r="AD698" s="139"/>
      <c r="AE698" s="139"/>
      <c r="AF698" s="139"/>
      <c r="AG698" s="139"/>
      <c r="AH698" s="139"/>
      <c r="AI698" s="139"/>
      <c r="AJ698" s="139"/>
      <c r="AK698" s="139"/>
      <c r="AL698" s="139"/>
      <c r="AM698" s="139"/>
      <c r="AN698" s="139"/>
      <c r="AO698" s="139"/>
      <c r="AP698" s="139"/>
      <c r="AQ698" s="139"/>
    </row>
    <row r="699" spans="1:43" ht="12.75" customHeight="1">
      <c r="A699" s="139"/>
      <c r="B699" s="139"/>
      <c r="C699" s="139"/>
      <c r="D699" s="139"/>
      <c r="E699" s="139"/>
      <c r="F699" s="139"/>
      <c r="G699" s="139"/>
      <c r="H699" s="139"/>
      <c r="I699" s="139"/>
      <c r="J699" s="139"/>
      <c r="K699" s="139"/>
      <c r="L699" s="139"/>
      <c r="M699" s="139"/>
      <c r="N699" s="139"/>
      <c r="O699" s="139"/>
      <c r="P699" s="139"/>
      <c r="Q699" s="139"/>
      <c r="R699" s="139"/>
      <c r="S699" s="139"/>
      <c r="T699" s="139"/>
      <c r="U699" s="139"/>
      <c r="V699" s="139"/>
      <c r="W699" s="139"/>
      <c r="X699" s="139"/>
      <c r="Y699" s="139"/>
      <c r="Z699" s="139"/>
      <c r="AA699" s="139"/>
      <c r="AB699" s="139"/>
      <c r="AC699" s="139"/>
      <c r="AD699" s="139"/>
      <c r="AE699" s="139"/>
      <c r="AF699" s="139"/>
      <c r="AG699" s="139"/>
      <c r="AH699" s="139"/>
      <c r="AI699" s="139"/>
      <c r="AJ699" s="139"/>
      <c r="AK699" s="139"/>
      <c r="AL699" s="139"/>
      <c r="AM699" s="139"/>
      <c r="AN699" s="139"/>
      <c r="AO699" s="139"/>
      <c r="AP699" s="139"/>
      <c r="AQ699" s="139"/>
    </row>
    <row r="700" spans="1:43" ht="12.75" customHeight="1">
      <c r="A700" s="139"/>
      <c r="B700" s="139"/>
      <c r="C700" s="139"/>
      <c r="D700" s="139"/>
      <c r="E700" s="139"/>
      <c r="F700" s="139"/>
      <c r="G700" s="139"/>
      <c r="H700" s="139"/>
      <c r="I700" s="139"/>
      <c r="J700" s="139"/>
      <c r="K700" s="139"/>
      <c r="L700" s="139"/>
      <c r="M700" s="139"/>
      <c r="N700" s="139"/>
      <c r="O700" s="139"/>
      <c r="P700" s="139"/>
      <c r="Q700" s="139"/>
      <c r="R700" s="139"/>
      <c r="S700" s="139"/>
      <c r="T700" s="139"/>
      <c r="U700" s="139"/>
      <c r="V700" s="139"/>
      <c r="W700" s="139"/>
      <c r="X700" s="139"/>
      <c r="Y700" s="139"/>
      <c r="Z700" s="139"/>
      <c r="AA700" s="139"/>
      <c r="AB700" s="139"/>
      <c r="AC700" s="139"/>
      <c r="AD700" s="139"/>
      <c r="AE700" s="139"/>
      <c r="AF700" s="139"/>
      <c r="AG700" s="139"/>
      <c r="AH700" s="139"/>
      <c r="AI700" s="139"/>
      <c r="AJ700" s="139"/>
      <c r="AK700" s="139"/>
      <c r="AL700" s="139"/>
      <c r="AM700" s="139"/>
      <c r="AN700" s="139"/>
      <c r="AO700" s="139"/>
      <c r="AP700" s="139"/>
      <c r="AQ700" s="139"/>
    </row>
    <row r="701" spans="1:43" ht="12.75" customHeight="1">
      <c r="A701" s="139"/>
      <c r="B701" s="139"/>
      <c r="C701" s="139"/>
      <c r="D701" s="139"/>
      <c r="E701" s="139"/>
      <c r="F701" s="139"/>
      <c r="G701" s="139"/>
      <c r="H701" s="139"/>
      <c r="I701" s="139"/>
      <c r="J701" s="139"/>
      <c r="K701" s="139"/>
      <c r="L701" s="139"/>
      <c r="M701" s="139"/>
      <c r="N701" s="139"/>
      <c r="O701" s="139"/>
      <c r="P701" s="139"/>
      <c r="Q701" s="139"/>
      <c r="R701" s="139"/>
      <c r="S701" s="139"/>
      <c r="T701" s="139"/>
      <c r="U701" s="139"/>
      <c r="V701" s="139"/>
      <c r="W701" s="139"/>
      <c r="X701" s="139"/>
      <c r="Y701" s="139"/>
      <c r="Z701" s="139"/>
      <c r="AA701" s="139"/>
      <c r="AB701" s="139"/>
      <c r="AC701" s="139"/>
      <c r="AD701" s="139"/>
      <c r="AE701" s="139"/>
      <c r="AF701" s="139"/>
      <c r="AG701" s="139"/>
      <c r="AH701" s="139"/>
      <c r="AI701" s="139"/>
      <c r="AJ701" s="139"/>
      <c r="AK701" s="139"/>
      <c r="AL701" s="139"/>
      <c r="AM701" s="139"/>
      <c r="AN701" s="139"/>
      <c r="AO701" s="139"/>
      <c r="AP701" s="139"/>
      <c r="AQ701" s="139"/>
    </row>
    <row r="702" spans="1:43" ht="12.75" customHeight="1">
      <c r="A702" s="139"/>
      <c r="B702" s="139"/>
      <c r="C702" s="139"/>
      <c r="D702" s="139"/>
      <c r="E702" s="139"/>
      <c r="F702" s="139"/>
      <c r="G702" s="139"/>
      <c r="H702" s="139"/>
      <c r="I702" s="139"/>
      <c r="J702" s="139"/>
      <c r="K702" s="139"/>
      <c r="L702" s="139"/>
      <c r="M702" s="139"/>
      <c r="N702" s="139"/>
      <c r="O702" s="139"/>
      <c r="P702" s="139"/>
      <c r="Q702" s="139"/>
      <c r="R702" s="139"/>
      <c r="S702" s="139"/>
      <c r="T702" s="139"/>
      <c r="U702" s="139"/>
      <c r="V702" s="139"/>
      <c r="W702" s="139"/>
      <c r="X702" s="139"/>
      <c r="Y702" s="139"/>
      <c r="Z702" s="139"/>
      <c r="AA702" s="139"/>
      <c r="AB702" s="139"/>
      <c r="AC702" s="139"/>
      <c r="AD702" s="139"/>
      <c r="AE702" s="139"/>
      <c r="AF702" s="139"/>
      <c r="AG702" s="139"/>
      <c r="AH702" s="139"/>
      <c r="AI702" s="139"/>
      <c r="AJ702" s="139"/>
      <c r="AK702" s="139"/>
      <c r="AL702" s="139"/>
      <c r="AM702" s="139"/>
      <c r="AN702" s="139"/>
      <c r="AO702" s="139"/>
      <c r="AP702" s="139"/>
      <c r="AQ702" s="139"/>
    </row>
    <row r="703" spans="1:43" ht="12.75" customHeight="1">
      <c r="A703" s="139"/>
      <c r="B703" s="139"/>
      <c r="C703" s="139"/>
      <c r="D703" s="139"/>
      <c r="E703" s="139"/>
      <c r="F703" s="139"/>
      <c r="G703" s="139"/>
      <c r="H703" s="139"/>
      <c r="I703" s="139"/>
      <c r="J703" s="139"/>
      <c r="K703" s="139"/>
      <c r="L703" s="139"/>
      <c r="M703" s="139"/>
      <c r="N703" s="139"/>
      <c r="O703" s="139"/>
      <c r="P703" s="139"/>
      <c r="Q703" s="139"/>
      <c r="R703" s="139"/>
      <c r="S703" s="139"/>
      <c r="T703" s="139"/>
      <c r="U703" s="139"/>
      <c r="V703" s="139"/>
      <c r="W703" s="139"/>
      <c r="X703" s="139"/>
      <c r="Y703" s="139"/>
      <c r="Z703" s="139"/>
      <c r="AA703" s="139"/>
      <c r="AB703" s="139"/>
      <c r="AC703" s="139"/>
      <c r="AD703" s="139"/>
      <c r="AE703" s="139"/>
      <c r="AF703" s="139"/>
      <c r="AG703" s="139"/>
      <c r="AH703" s="139"/>
      <c r="AI703" s="139"/>
      <c r="AJ703" s="139"/>
      <c r="AK703" s="139"/>
      <c r="AL703" s="139"/>
      <c r="AM703" s="139"/>
      <c r="AN703" s="139"/>
      <c r="AO703" s="139"/>
      <c r="AP703" s="139"/>
      <c r="AQ703" s="139"/>
    </row>
    <row r="704" spans="1:43" ht="12.75" customHeight="1">
      <c r="A704" s="139"/>
      <c r="B704" s="139"/>
      <c r="C704" s="139"/>
      <c r="D704" s="139"/>
      <c r="E704" s="139"/>
      <c r="F704" s="139"/>
      <c r="G704" s="139"/>
      <c r="H704" s="139"/>
      <c r="I704" s="139"/>
      <c r="J704" s="139"/>
      <c r="K704" s="139"/>
      <c r="L704" s="139"/>
      <c r="M704" s="139"/>
      <c r="N704" s="139"/>
      <c r="O704" s="139"/>
      <c r="P704" s="139"/>
      <c r="Q704" s="139"/>
      <c r="R704" s="139"/>
      <c r="S704" s="139"/>
      <c r="T704" s="139"/>
      <c r="U704" s="139"/>
      <c r="V704" s="139"/>
      <c r="W704" s="139"/>
      <c r="X704" s="139"/>
      <c r="Y704" s="139"/>
      <c r="Z704" s="139"/>
      <c r="AA704" s="139"/>
      <c r="AB704" s="139"/>
      <c r="AC704" s="139"/>
      <c r="AD704" s="139"/>
      <c r="AE704" s="139"/>
      <c r="AF704" s="139"/>
      <c r="AG704" s="139"/>
      <c r="AH704" s="139"/>
      <c r="AI704" s="139"/>
      <c r="AJ704" s="139"/>
      <c r="AK704" s="139"/>
      <c r="AL704" s="139"/>
      <c r="AM704" s="139"/>
      <c r="AN704" s="139"/>
      <c r="AO704" s="139"/>
      <c r="AP704" s="139"/>
      <c r="AQ704" s="139"/>
    </row>
    <row r="705" spans="1:43" ht="12.75" customHeight="1">
      <c r="A705" s="139"/>
      <c r="B705" s="139"/>
      <c r="C705" s="139"/>
      <c r="D705" s="139"/>
      <c r="E705" s="139"/>
      <c r="F705" s="139"/>
      <c r="G705" s="139"/>
      <c r="H705" s="139"/>
      <c r="I705" s="139"/>
      <c r="J705" s="139"/>
      <c r="K705" s="139"/>
      <c r="L705" s="139"/>
      <c r="M705" s="139"/>
      <c r="N705" s="139"/>
      <c r="O705" s="139"/>
      <c r="P705" s="139"/>
      <c r="Q705" s="139"/>
      <c r="R705" s="139"/>
      <c r="S705" s="139"/>
      <c r="T705" s="139"/>
      <c r="U705" s="139"/>
      <c r="V705" s="139"/>
      <c r="W705" s="139"/>
      <c r="X705" s="139"/>
      <c r="Y705" s="139"/>
      <c r="Z705" s="139"/>
      <c r="AA705" s="139"/>
      <c r="AB705" s="139"/>
      <c r="AC705" s="139"/>
      <c r="AD705" s="139"/>
      <c r="AE705" s="139"/>
      <c r="AF705" s="139"/>
      <c r="AG705" s="139"/>
      <c r="AH705" s="139"/>
      <c r="AI705" s="139"/>
      <c r="AJ705" s="139"/>
      <c r="AK705" s="139"/>
      <c r="AL705" s="139"/>
      <c r="AM705" s="139"/>
      <c r="AN705" s="139"/>
      <c r="AO705" s="139"/>
      <c r="AP705" s="139"/>
      <c r="AQ705" s="139"/>
    </row>
    <row r="706" spans="1:43" ht="12.75" customHeight="1">
      <c r="A706" s="139"/>
      <c r="B706" s="139"/>
      <c r="C706" s="139"/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39"/>
      <c r="O706" s="139"/>
      <c r="P706" s="139"/>
      <c r="Q706" s="139"/>
      <c r="R706" s="139"/>
      <c r="S706" s="139"/>
      <c r="T706" s="139"/>
      <c r="U706" s="139"/>
      <c r="V706" s="139"/>
      <c r="W706" s="139"/>
      <c r="X706" s="139"/>
      <c r="Y706" s="139"/>
      <c r="Z706" s="139"/>
      <c r="AA706" s="139"/>
      <c r="AB706" s="139"/>
      <c r="AC706" s="139"/>
      <c r="AD706" s="139"/>
      <c r="AE706" s="139"/>
      <c r="AF706" s="139"/>
      <c r="AG706" s="139"/>
      <c r="AH706" s="139"/>
      <c r="AI706" s="139"/>
      <c r="AJ706" s="139"/>
      <c r="AK706" s="139"/>
      <c r="AL706" s="139"/>
      <c r="AM706" s="139"/>
      <c r="AN706" s="139"/>
      <c r="AO706" s="139"/>
      <c r="AP706" s="139"/>
      <c r="AQ706" s="139"/>
    </row>
    <row r="707" spans="1:43" ht="12.75" customHeight="1">
      <c r="A707" s="139"/>
      <c r="B707" s="139"/>
      <c r="C707" s="139"/>
      <c r="D707" s="139"/>
      <c r="E707" s="139"/>
      <c r="F707" s="139"/>
      <c r="G707" s="139"/>
      <c r="H707" s="139"/>
      <c r="I707" s="139"/>
      <c r="J707" s="139"/>
      <c r="K707" s="139"/>
      <c r="L707" s="139"/>
      <c r="M707" s="139"/>
      <c r="N707" s="139"/>
      <c r="O707" s="139"/>
      <c r="P707" s="139"/>
      <c r="Q707" s="139"/>
      <c r="R707" s="139"/>
      <c r="S707" s="139"/>
      <c r="T707" s="139"/>
      <c r="U707" s="139"/>
      <c r="V707" s="139"/>
      <c r="W707" s="139"/>
      <c r="X707" s="139"/>
      <c r="Y707" s="139"/>
      <c r="Z707" s="139"/>
      <c r="AA707" s="139"/>
      <c r="AB707" s="139"/>
      <c r="AC707" s="139"/>
      <c r="AD707" s="139"/>
      <c r="AE707" s="139"/>
      <c r="AF707" s="139"/>
      <c r="AG707" s="139"/>
      <c r="AH707" s="139"/>
      <c r="AI707" s="139"/>
      <c r="AJ707" s="139"/>
      <c r="AK707" s="139"/>
      <c r="AL707" s="139"/>
      <c r="AM707" s="139"/>
      <c r="AN707" s="139"/>
      <c r="AO707" s="139"/>
      <c r="AP707" s="139"/>
      <c r="AQ707" s="139"/>
    </row>
    <row r="708" spans="1:43" ht="12.75" customHeight="1">
      <c r="A708" s="139"/>
      <c r="B708" s="139"/>
      <c r="C708" s="139"/>
      <c r="D708" s="139"/>
      <c r="E708" s="139"/>
      <c r="F708" s="139"/>
      <c r="G708" s="139"/>
      <c r="H708" s="139"/>
      <c r="I708" s="139"/>
      <c r="J708" s="139"/>
      <c r="K708" s="139"/>
      <c r="L708" s="139"/>
      <c r="M708" s="139"/>
      <c r="N708" s="139"/>
      <c r="O708" s="139"/>
      <c r="P708" s="139"/>
      <c r="Q708" s="139"/>
      <c r="R708" s="139"/>
      <c r="S708" s="139"/>
      <c r="T708" s="139"/>
      <c r="U708" s="139"/>
      <c r="V708" s="139"/>
      <c r="W708" s="139"/>
      <c r="X708" s="139"/>
      <c r="Y708" s="139"/>
      <c r="Z708" s="139"/>
      <c r="AA708" s="139"/>
      <c r="AB708" s="139"/>
      <c r="AC708" s="139"/>
      <c r="AD708" s="139"/>
      <c r="AE708" s="139"/>
      <c r="AF708" s="139"/>
      <c r="AG708" s="139"/>
      <c r="AH708" s="139"/>
      <c r="AI708" s="139"/>
      <c r="AJ708" s="139"/>
      <c r="AK708" s="139"/>
      <c r="AL708" s="139"/>
      <c r="AM708" s="139"/>
      <c r="AN708" s="139"/>
      <c r="AO708" s="139"/>
      <c r="AP708" s="139"/>
      <c r="AQ708" s="139"/>
    </row>
    <row r="709" spans="1:43" ht="12.75" customHeight="1">
      <c r="A709" s="139"/>
      <c r="B709" s="139"/>
      <c r="C709" s="139"/>
      <c r="D709" s="139"/>
      <c r="E709" s="139"/>
      <c r="F709" s="139"/>
      <c r="G709" s="139"/>
      <c r="H709" s="139"/>
      <c r="I709" s="139"/>
      <c r="J709" s="139"/>
      <c r="K709" s="139"/>
      <c r="L709" s="139"/>
      <c r="M709" s="139"/>
      <c r="N709" s="139"/>
      <c r="O709" s="139"/>
      <c r="P709" s="139"/>
      <c r="Q709" s="139"/>
      <c r="R709" s="139"/>
      <c r="S709" s="139"/>
      <c r="T709" s="139"/>
      <c r="U709" s="139"/>
      <c r="V709" s="139"/>
      <c r="W709" s="139"/>
      <c r="X709" s="139"/>
      <c r="Y709" s="139"/>
      <c r="Z709" s="139"/>
      <c r="AA709" s="139"/>
      <c r="AB709" s="139"/>
      <c r="AC709" s="139"/>
      <c r="AD709" s="139"/>
      <c r="AE709" s="139"/>
      <c r="AF709" s="139"/>
      <c r="AG709" s="139"/>
      <c r="AH709" s="139"/>
      <c r="AI709" s="139"/>
      <c r="AJ709" s="139"/>
      <c r="AK709" s="139"/>
      <c r="AL709" s="139"/>
      <c r="AM709" s="139"/>
      <c r="AN709" s="139"/>
      <c r="AO709" s="139"/>
      <c r="AP709" s="139"/>
      <c r="AQ709" s="139"/>
    </row>
    <row r="710" spans="1:43" ht="12.75" customHeight="1">
      <c r="A710" s="139"/>
      <c r="B710" s="139"/>
      <c r="C710" s="139"/>
      <c r="D710" s="139"/>
      <c r="E710" s="139"/>
      <c r="F710" s="139"/>
      <c r="G710" s="139"/>
      <c r="H710" s="139"/>
      <c r="I710" s="139"/>
      <c r="J710" s="139"/>
      <c r="K710" s="139"/>
      <c r="L710" s="139"/>
      <c r="M710" s="139"/>
      <c r="N710" s="139"/>
      <c r="O710" s="139"/>
      <c r="P710" s="139"/>
      <c r="Q710" s="139"/>
      <c r="R710" s="139"/>
      <c r="S710" s="139"/>
      <c r="T710" s="139"/>
      <c r="U710" s="139"/>
      <c r="V710" s="139"/>
      <c r="W710" s="139"/>
      <c r="X710" s="139"/>
      <c r="Y710" s="139"/>
      <c r="Z710" s="139"/>
      <c r="AA710" s="139"/>
      <c r="AB710" s="139"/>
      <c r="AC710" s="139"/>
      <c r="AD710" s="139"/>
      <c r="AE710" s="139"/>
      <c r="AF710" s="139"/>
      <c r="AG710" s="139"/>
      <c r="AH710" s="139"/>
      <c r="AI710" s="139"/>
      <c r="AJ710" s="139"/>
      <c r="AK710" s="139"/>
      <c r="AL710" s="139"/>
      <c r="AM710" s="139"/>
      <c r="AN710" s="139"/>
      <c r="AO710" s="139"/>
      <c r="AP710" s="139"/>
      <c r="AQ710" s="139"/>
    </row>
    <row r="711" spans="1:43" ht="12.75" customHeight="1">
      <c r="A711" s="139"/>
      <c r="B711" s="139"/>
      <c r="C711" s="139"/>
      <c r="D711" s="139"/>
      <c r="E711" s="139"/>
      <c r="F711" s="139"/>
      <c r="G711" s="139"/>
      <c r="H711" s="139"/>
      <c r="I711" s="139"/>
      <c r="J711" s="139"/>
      <c r="K711" s="139"/>
      <c r="L711" s="139"/>
      <c r="M711" s="139"/>
      <c r="N711" s="139"/>
      <c r="O711" s="139"/>
      <c r="P711" s="139"/>
      <c r="Q711" s="139"/>
      <c r="R711" s="139"/>
      <c r="S711" s="139"/>
      <c r="T711" s="139"/>
      <c r="U711" s="139"/>
      <c r="V711" s="139"/>
      <c r="W711" s="139"/>
      <c r="X711" s="139"/>
      <c r="Y711" s="139"/>
      <c r="Z711" s="139"/>
      <c r="AA711" s="139"/>
      <c r="AB711" s="139"/>
      <c r="AC711" s="139"/>
      <c r="AD711" s="139"/>
      <c r="AE711" s="139"/>
      <c r="AF711" s="139"/>
      <c r="AG711" s="139"/>
      <c r="AH711" s="139"/>
      <c r="AI711" s="139"/>
      <c r="AJ711" s="139"/>
      <c r="AK711" s="139"/>
      <c r="AL711" s="139"/>
      <c r="AM711" s="139"/>
      <c r="AN711" s="139"/>
      <c r="AO711" s="139"/>
      <c r="AP711" s="139"/>
      <c r="AQ711" s="139"/>
    </row>
    <row r="712" spans="1:43" ht="12.75" customHeight="1">
      <c r="A712" s="139"/>
      <c r="B712" s="139"/>
      <c r="C712" s="139"/>
      <c r="D712" s="139"/>
      <c r="E712" s="139"/>
      <c r="F712" s="139"/>
      <c r="G712" s="139"/>
      <c r="H712" s="139"/>
      <c r="I712" s="139"/>
      <c r="J712" s="139"/>
      <c r="K712" s="139"/>
      <c r="L712" s="139"/>
      <c r="M712" s="139"/>
      <c r="N712" s="139"/>
      <c r="O712" s="139"/>
      <c r="P712" s="139"/>
      <c r="Q712" s="139"/>
      <c r="R712" s="139"/>
      <c r="S712" s="139"/>
      <c r="T712" s="139"/>
      <c r="U712" s="139"/>
      <c r="V712" s="139"/>
      <c r="W712" s="139"/>
      <c r="X712" s="139"/>
      <c r="Y712" s="139"/>
      <c r="Z712" s="139"/>
      <c r="AA712" s="139"/>
      <c r="AB712" s="139"/>
      <c r="AC712" s="139"/>
      <c r="AD712" s="139"/>
      <c r="AE712" s="139"/>
      <c r="AF712" s="139"/>
      <c r="AG712" s="139"/>
      <c r="AH712" s="139"/>
      <c r="AI712" s="139"/>
      <c r="AJ712" s="139"/>
      <c r="AK712" s="139"/>
      <c r="AL712" s="139"/>
      <c r="AM712" s="139"/>
      <c r="AN712" s="139"/>
      <c r="AO712" s="139"/>
      <c r="AP712" s="139"/>
      <c r="AQ712" s="139"/>
    </row>
    <row r="713" spans="1:43" ht="12.75" customHeight="1">
      <c r="A713" s="139"/>
      <c r="B713" s="139"/>
      <c r="C713" s="139"/>
      <c r="D713" s="139"/>
      <c r="E713" s="139"/>
      <c r="F713" s="139"/>
      <c r="G713" s="139"/>
      <c r="H713" s="139"/>
      <c r="I713" s="139"/>
      <c r="J713" s="139"/>
      <c r="K713" s="139"/>
      <c r="L713" s="139"/>
      <c r="M713" s="139"/>
      <c r="N713" s="139"/>
      <c r="O713" s="139"/>
      <c r="P713" s="139"/>
      <c r="Q713" s="139"/>
      <c r="R713" s="139"/>
      <c r="S713" s="139"/>
      <c r="T713" s="139"/>
      <c r="U713" s="139"/>
      <c r="V713" s="139"/>
      <c r="W713" s="139"/>
      <c r="X713" s="139"/>
      <c r="Y713" s="139"/>
      <c r="Z713" s="139"/>
      <c r="AA713" s="139"/>
      <c r="AB713" s="139"/>
      <c r="AC713" s="139"/>
      <c r="AD713" s="139"/>
      <c r="AE713" s="139"/>
      <c r="AF713" s="139"/>
      <c r="AG713" s="139"/>
      <c r="AH713" s="139"/>
      <c r="AI713" s="139"/>
      <c r="AJ713" s="139"/>
      <c r="AK713" s="139"/>
      <c r="AL713" s="139"/>
      <c r="AM713" s="139"/>
      <c r="AN713" s="139"/>
      <c r="AO713" s="139"/>
      <c r="AP713" s="139"/>
      <c r="AQ713" s="139"/>
    </row>
    <row r="714" spans="1:43" ht="12.75" customHeight="1">
      <c r="A714" s="139"/>
      <c r="B714" s="139"/>
      <c r="C714" s="139"/>
      <c r="D714" s="139"/>
      <c r="E714" s="139"/>
      <c r="F714" s="139"/>
      <c r="G714" s="139"/>
      <c r="H714" s="139"/>
      <c r="I714" s="139"/>
      <c r="J714" s="139"/>
      <c r="K714" s="139"/>
      <c r="L714" s="139"/>
      <c r="M714" s="139"/>
      <c r="N714" s="139"/>
      <c r="O714" s="139"/>
      <c r="P714" s="139"/>
      <c r="Q714" s="139"/>
      <c r="R714" s="139"/>
      <c r="S714" s="139"/>
      <c r="T714" s="139"/>
      <c r="U714" s="139"/>
      <c r="V714" s="139"/>
      <c r="W714" s="139"/>
      <c r="X714" s="139"/>
      <c r="Y714" s="139"/>
      <c r="Z714" s="139"/>
      <c r="AA714" s="139"/>
      <c r="AB714" s="139"/>
      <c r="AC714" s="139"/>
      <c r="AD714" s="139"/>
      <c r="AE714" s="139"/>
      <c r="AF714" s="139"/>
      <c r="AG714" s="139"/>
      <c r="AH714" s="139"/>
      <c r="AI714" s="139"/>
      <c r="AJ714" s="139"/>
      <c r="AK714" s="139"/>
      <c r="AL714" s="139"/>
      <c r="AM714" s="139"/>
      <c r="AN714" s="139"/>
      <c r="AO714" s="139"/>
      <c r="AP714" s="139"/>
      <c r="AQ714" s="139"/>
    </row>
    <row r="715" spans="1:43" ht="12.75" customHeight="1">
      <c r="A715" s="139"/>
      <c r="B715" s="139"/>
      <c r="C715" s="139"/>
      <c r="D715" s="139"/>
      <c r="E715" s="139"/>
      <c r="F715" s="139"/>
      <c r="G715" s="139"/>
      <c r="H715" s="139"/>
      <c r="I715" s="139"/>
      <c r="J715" s="139"/>
      <c r="K715" s="139"/>
      <c r="L715" s="139"/>
      <c r="M715" s="139"/>
      <c r="N715" s="139"/>
      <c r="O715" s="139"/>
      <c r="P715" s="139"/>
      <c r="Q715" s="139"/>
      <c r="R715" s="139"/>
      <c r="S715" s="139"/>
      <c r="T715" s="139"/>
      <c r="U715" s="139"/>
      <c r="V715" s="139"/>
      <c r="W715" s="139"/>
      <c r="X715" s="139"/>
      <c r="Y715" s="139"/>
      <c r="Z715" s="139"/>
      <c r="AA715" s="139"/>
      <c r="AB715" s="139"/>
      <c r="AC715" s="139"/>
      <c r="AD715" s="139"/>
      <c r="AE715" s="139"/>
      <c r="AF715" s="139"/>
      <c r="AG715" s="139"/>
      <c r="AH715" s="139"/>
      <c r="AI715" s="139"/>
      <c r="AJ715" s="139"/>
      <c r="AK715" s="139"/>
      <c r="AL715" s="139"/>
      <c r="AM715" s="139"/>
      <c r="AN715" s="139"/>
      <c r="AO715" s="139"/>
      <c r="AP715" s="139"/>
      <c r="AQ715" s="139"/>
    </row>
    <row r="716" spans="1:43" ht="12.75" customHeight="1">
      <c r="A716" s="139"/>
      <c r="B716" s="139"/>
      <c r="C716" s="139"/>
      <c r="D716" s="139"/>
      <c r="E716" s="139"/>
      <c r="F716" s="139"/>
      <c r="G716" s="139"/>
      <c r="H716" s="139"/>
      <c r="I716" s="139"/>
      <c r="J716" s="139"/>
      <c r="K716" s="139"/>
      <c r="L716" s="139"/>
      <c r="M716" s="139"/>
      <c r="N716" s="139"/>
      <c r="O716" s="139"/>
      <c r="P716" s="139"/>
      <c r="Q716" s="139"/>
      <c r="R716" s="139"/>
      <c r="S716" s="139"/>
      <c r="T716" s="139"/>
      <c r="U716" s="139"/>
      <c r="V716" s="139"/>
      <c r="W716" s="139"/>
      <c r="X716" s="139"/>
      <c r="Y716" s="139"/>
      <c r="Z716" s="139"/>
      <c r="AA716" s="139"/>
      <c r="AB716" s="139"/>
      <c r="AC716" s="139"/>
      <c r="AD716" s="139"/>
      <c r="AE716" s="139"/>
      <c r="AF716" s="139"/>
      <c r="AG716" s="139"/>
      <c r="AH716" s="139"/>
      <c r="AI716" s="139"/>
      <c r="AJ716" s="139"/>
      <c r="AK716" s="139"/>
      <c r="AL716" s="139"/>
      <c r="AM716" s="139"/>
      <c r="AN716" s="139"/>
      <c r="AO716" s="139"/>
      <c r="AP716" s="139"/>
      <c r="AQ716" s="139"/>
    </row>
    <row r="717" spans="1:43" ht="12.75" customHeight="1">
      <c r="A717" s="139"/>
      <c r="B717" s="139"/>
      <c r="C717" s="139"/>
      <c r="D717" s="139"/>
      <c r="E717" s="139"/>
      <c r="F717" s="139"/>
      <c r="G717" s="139"/>
      <c r="H717" s="139"/>
      <c r="I717" s="139"/>
      <c r="J717" s="139"/>
      <c r="K717" s="139"/>
      <c r="L717" s="139"/>
      <c r="M717" s="139"/>
      <c r="N717" s="139"/>
      <c r="O717" s="139"/>
      <c r="P717" s="139"/>
      <c r="Q717" s="139"/>
      <c r="R717" s="139"/>
      <c r="S717" s="139"/>
      <c r="T717" s="139"/>
      <c r="U717" s="139"/>
      <c r="V717" s="139"/>
      <c r="W717" s="139"/>
      <c r="X717" s="139"/>
      <c r="Y717" s="139"/>
      <c r="Z717" s="139"/>
      <c r="AA717" s="139"/>
      <c r="AB717" s="139"/>
      <c r="AC717" s="139"/>
      <c r="AD717" s="139"/>
      <c r="AE717" s="139"/>
      <c r="AF717" s="139"/>
      <c r="AG717" s="139"/>
      <c r="AH717" s="139"/>
      <c r="AI717" s="139"/>
      <c r="AJ717" s="139"/>
      <c r="AK717" s="139"/>
      <c r="AL717" s="139"/>
      <c r="AM717" s="139"/>
      <c r="AN717" s="139"/>
      <c r="AO717" s="139"/>
      <c r="AP717" s="139"/>
      <c r="AQ717" s="139"/>
    </row>
    <row r="718" spans="1:43" ht="12.75" customHeight="1">
      <c r="A718" s="139"/>
      <c r="B718" s="139"/>
      <c r="C718" s="139"/>
      <c r="D718" s="139"/>
      <c r="E718" s="139"/>
      <c r="F718" s="139"/>
      <c r="G718" s="139"/>
      <c r="H718" s="139"/>
      <c r="I718" s="139"/>
      <c r="J718" s="139"/>
      <c r="K718" s="139"/>
      <c r="L718" s="139"/>
      <c r="M718" s="139"/>
      <c r="N718" s="139"/>
      <c r="O718" s="139"/>
      <c r="P718" s="139"/>
      <c r="Q718" s="139"/>
      <c r="R718" s="139"/>
      <c r="S718" s="139"/>
      <c r="T718" s="139"/>
      <c r="U718" s="139"/>
      <c r="V718" s="139"/>
      <c r="W718" s="139"/>
      <c r="X718" s="139"/>
      <c r="Y718" s="139"/>
      <c r="Z718" s="139"/>
      <c r="AA718" s="139"/>
      <c r="AB718" s="139"/>
      <c r="AC718" s="139"/>
      <c r="AD718" s="139"/>
      <c r="AE718" s="139"/>
      <c r="AF718" s="139"/>
      <c r="AG718" s="139"/>
      <c r="AH718" s="139"/>
      <c r="AI718" s="139"/>
      <c r="AJ718" s="139"/>
      <c r="AK718" s="139"/>
      <c r="AL718" s="139"/>
      <c r="AM718" s="139"/>
      <c r="AN718" s="139"/>
      <c r="AO718" s="139"/>
      <c r="AP718" s="139"/>
      <c r="AQ718" s="139"/>
    </row>
    <row r="719" spans="1:43" ht="12.75" customHeight="1">
      <c r="A719" s="139"/>
      <c r="B719" s="139"/>
      <c r="C719" s="139"/>
      <c r="D719" s="139"/>
      <c r="E719" s="139"/>
      <c r="F719" s="139"/>
      <c r="G719" s="139"/>
      <c r="H719" s="139"/>
      <c r="I719" s="139"/>
      <c r="J719" s="139"/>
      <c r="K719" s="139"/>
      <c r="L719" s="139"/>
      <c r="M719" s="139"/>
      <c r="N719" s="139"/>
      <c r="O719" s="139"/>
      <c r="P719" s="139"/>
      <c r="Q719" s="139"/>
      <c r="R719" s="139"/>
      <c r="S719" s="139"/>
      <c r="T719" s="139"/>
      <c r="U719" s="139"/>
      <c r="V719" s="139"/>
      <c r="W719" s="139"/>
      <c r="X719" s="139"/>
      <c r="Y719" s="139"/>
      <c r="Z719" s="139"/>
      <c r="AA719" s="139"/>
      <c r="AB719" s="139"/>
      <c r="AC719" s="139"/>
      <c r="AD719" s="139"/>
      <c r="AE719" s="139"/>
      <c r="AF719" s="139"/>
      <c r="AG719" s="139"/>
      <c r="AH719" s="139"/>
      <c r="AI719" s="139"/>
      <c r="AJ719" s="139"/>
      <c r="AK719" s="139"/>
      <c r="AL719" s="139"/>
      <c r="AM719" s="139"/>
      <c r="AN719" s="139"/>
      <c r="AO719" s="139"/>
      <c r="AP719" s="139"/>
      <c r="AQ719" s="139"/>
    </row>
    <row r="720" spans="1:43" ht="12.75" customHeight="1">
      <c r="A720" s="139"/>
      <c r="B720" s="139"/>
      <c r="C720" s="139"/>
      <c r="D720" s="139"/>
      <c r="E720" s="139"/>
      <c r="F720" s="139"/>
      <c r="G720" s="139"/>
      <c r="H720" s="139"/>
      <c r="I720" s="139"/>
      <c r="J720" s="139"/>
      <c r="K720" s="139"/>
      <c r="L720" s="139"/>
      <c r="M720" s="139"/>
      <c r="N720" s="139"/>
      <c r="O720" s="139"/>
      <c r="P720" s="139"/>
      <c r="Q720" s="139"/>
      <c r="R720" s="139"/>
      <c r="S720" s="139"/>
      <c r="T720" s="139"/>
      <c r="U720" s="139"/>
      <c r="V720" s="139"/>
      <c r="W720" s="139"/>
      <c r="X720" s="139"/>
      <c r="Y720" s="139"/>
      <c r="Z720" s="139"/>
      <c r="AA720" s="139"/>
      <c r="AB720" s="139"/>
      <c r="AC720" s="139"/>
      <c r="AD720" s="139"/>
      <c r="AE720" s="139"/>
      <c r="AF720" s="139"/>
      <c r="AG720" s="139"/>
      <c r="AH720" s="139"/>
      <c r="AI720" s="139"/>
      <c r="AJ720" s="139"/>
      <c r="AK720" s="139"/>
      <c r="AL720" s="139"/>
      <c r="AM720" s="139"/>
      <c r="AN720" s="139"/>
      <c r="AO720" s="139"/>
      <c r="AP720" s="139"/>
      <c r="AQ720" s="139"/>
    </row>
    <row r="721" spans="1:43" ht="12.75" customHeight="1">
      <c r="A721" s="139"/>
      <c r="B721" s="139"/>
      <c r="C721" s="139"/>
      <c r="D721" s="139"/>
      <c r="E721" s="139"/>
      <c r="F721" s="139"/>
      <c r="G721" s="139"/>
      <c r="H721" s="139"/>
      <c r="I721" s="139"/>
      <c r="J721" s="139"/>
      <c r="K721" s="139"/>
      <c r="L721" s="139"/>
      <c r="M721" s="139"/>
      <c r="N721" s="139"/>
      <c r="O721" s="139"/>
      <c r="P721" s="139"/>
      <c r="Q721" s="139"/>
      <c r="R721" s="139"/>
      <c r="S721" s="139"/>
      <c r="T721" s="139"/>
      <c r="U721" s="139"/>
      <c r="V721" s="139"/>
      <c r="W721" s="139"/>
      <c r="X721" s="139"/>
      <c r="Y721" s="139"/>
      <c r="Z721" s="139"/>
      <c r="AA721" s="139"/>
      <c r="AB721" s="139"/>
      <c r="AC721" s="139"/>
      <c r="AD721" s="139"/>
      <c r="AE721" s="139"/>
      <c r="AF721" s="139"/>
      <c r="AG721" s="139"/>
      <c r="AH721" s="139"/>
      <c r="AI721" s="139"/>
      <c r="AJ721" s="139"/>
      <c r="AK721" s="139"/>
      <c r="AL721" s="139"/>
      <c r="AM721" s="139"/>
      <c r="AN721" s="139"/>
      <c r="AO721" s="139"/>
      <c r="AP721" s="139"/>
      <c r="AQ721" s="139"/>
    </row>
    <row r="722" spans="1:43" ht="12.75" customHeight="1">
      <c r="A722" s="139"/>
      <c r="B722" s="139"/>
      <c r="C722" s="139"/>
      <c r="D722" s="139"/>
      <c r="E722" s="139"/>
      <c r="F722" s="139"/>
      <c r="G722" s="139"/>
      <c r="H722" s="139"/>
      <c r="I722" s="139"/>
      <c r="J722" s="139"/>
      <c r="K722" s="139"/>
      <c r="L722" s="139"/>
      <c r="M722" s="139"/>
      <c r="N722" s="139"/>
      <c r="O722" s="139"/>
      <c r="P722" s="139"/>
      <c r="Q722" s="139"/>
      <c r="R722" s="139"/>
      <c r="S722" s="139"/>
      <c r="T722" s="139"/>
      <c r="U722" s="139"/>
      <c r="V722" s="139"/>
      <c r="W722" s="139"/>
      <c r="X722" s="139"/>
      <c r="Y722" s="139"/>
      <c r="Z722" s="139"/>
      <c r="AA722" s="139"/>
      <c r="AB722" s="139"/>
      <c r="AC722" s="139"/>
      <c r="AD722" s="139"/>
      <c r="AE722" s="139"/>
      <c r="AF722" s="139"/>
      <c r="AG722" s="139"/>
      <c r="AH722" s="139"/>
      <c r="AI722" s="139"/>
      <c r="AJ722" s="139"/>
      <c r="AK722" s="139"/>
      <c r="AL722" s="139"/>
      <c r="AM722" s="139"/>
      <c r="AN722" s="139"/>
      <c r="AO722" s="139"/>
      <c r="AP722" s="139"/>
      <c r="AQ722" s="139"/>
    </row>
    <row r="723" spans="1:43" ht="12.75" customHeight="1">
      <c r="A723" s="139"/>
      <c r="B723" s="139"/>
      <c r="C723" s="139"/>
      <c r="D723" s="139"/>
      <c r="E723" s="139"/>
      <c r="F723" s="139"/>
      <c r="G723" s="139"/>
      <c r="H723" s="139"/>
      <c r="I723" s="139"/>
      <c r="J723" s="139"/>
      <c r="K723" s="139"/>
      <c r="L723" s="139"/>
      <c r="M723" s="139"/>
      <c r="N723" s="139"/>
      <c r="O723" s="139"/>
      <c r="P723" s="139"/>
      <c r="Q723" s="139"/>
      <c r="R723" s="139"/>
      <c r="S723" s="139"/>
      <c r="T723" s="139"/>
      <c r="U723" s="139"/>
      <c r="V723" s="139"/>
      <c r="W723" s="139"/>
      <c r="X723" s="139"/>
      <c r="Y723" s="139"/>
      <c r="Z723" s="139"/>
      <c r="AA723" s="139"/>
      <c r="AB723" s="139"/>
      <c r="AC723" s="139"/>
      <c r="AD723" s="139"/>
      <c r="AE723" s="139"/>
      <c r="AF723" s="139"/>
      <c r="AG723" s="139"/>
      <c r="AH723" s="139"/>
      <c r="AI723" s="139"/>
      <c r="AJ723" s="139"/>
      <c r="AK723" s="139"/>
      <c r="AL723" s="139"/>
      <c r="AM723" s="139"/>
      <c r="AN723" s="139"/>
      <c r="AO723" s="139"/>
      <c r="AP723" s="139"/>
      <c r="AQ723" s="139"/>
    </row>
    <row r="724" spans="1:43" ht="12.75" customHeight="1">
      <c r="A724" s="139"/>
      <c r="B724" s="139"/>
      <c r="C724" s="139"/>
      <c r="D724" s="139"/>
      <c r="E724" s="139"/>
      <c r="F724" s="139"/>
      <c r="G724" s="139"/>
      <c r="H724" s="139"/>
      <c r="I724" s="139"/>
      <c r="J724" s="139"/>
      <c r="K724" s="139"/>
      <c r="L724" s="139"/>
      <c r="M724" s="139"/>
      <c r="N724" s="139"/>
      <c r="O724" s="139"/>
      <c r="P724" s="139"/>
      <c r="Q724" s="139"/>
      <c r="R724" s="139"/>
      <c r="S724" s="139"/>
      <c r="T724" s="139"/>
      <c r="U724" s="139"/>
      <c r="V724" s="139"/>
      <c r="W724" s="139"/>
      <c r="X724" s="139"/>
      <c r="Y724" s="139"/>
      <c r="Z724" s="139"/>
      <c r="AA724" s="139"/>
      <c r="AB724" s="139"/>
      <c r="AC724" s="139"/>
      <c r="AD724" s="139"/>
      <c r="AE724" s="139"/>
      <c r="AF724" s="139"/>
      <c r="AG724" s="139"/>
      <c r="AH724" s="139"/>
      <c r="AI724" s="139"/>
      <c r="AJ724" s="139"/>
      <c r="AK724" s="139"/>
      <c r="AL724" s="139"/>
      <c r="AM724" s="139"/>
      <c r="AN724" s="139"/>
      <c r="AO724" s="139"/>
      <c r="AP724" s="139"/>
      <c r="AQ724" s="139"/>
    </row>
    <row r="725" spans="1:43" ht="12.75" customHeight="1">
      <c r="A725" s="139"/>
      <c r="B725" s="139"/>
      <c r="C725" s="139"/>
      <c r="D725" s="139"/>
      <c r="E725" s="139"/>
      <c r="F725" s="139"/>
      <c r="G725" s="139"/>
      <c r="H725" s="139"/>
      <c r="I725" s="139"/>
      <c r="J725" s="139"/>
      <c r="K725" s="139"/>
      <c r="L725" s="139"/>
      <c r="M725" s="139"/>
      <c r="N725" s="139"/>
      <c r="O725" s="139"/>
      <c r="P725" s="139"/>
      <c r="Q725" s="139"/>
      <c r="R725" s="139"/>
      <c r="S725" s="139"/>
      <c r="T725" s="139"/>
      <c r="U725" s="139"/>
      <c r="V725" s="139"/>
      <c r="W725" s="139"/>
      <c r="X725" s="139"/>
      <c r="Y725" s="139"/>
      <c r="Z725" s="139"/>
      <c r="AA725" s="139"/>
      <c r="AB725" s="139"/>
      <c r="AC725" s="139"/>
      <c r="AD725" s="139"/>
      <c r="AE725" s="139"/>
      <c r="AF725" s="139"/>
      <c r="AG725" s="139"/>
      <c r="AH725" s="139"/>
      <c r="AI725" s="139"/>
      <c r="AJ725" s="139"/>
      <c r="AK725" s="139"/>
      <c r="AL725" s="139"/>
      <c r="AM725" s="139"/>
      <c r="AN725" s="139"/>
      <c r="AO725" s="139"/>
      <c r="AP725" s="139"/>
      <c r="AQ725" s="139"/>
    </row>
    <row r="726" spans="1:43" ht="12.75" customHeight="1">
      <c r="A726" s="139"/>
      <c r="B726" s="139"/>
      <c r="C726" s="139"/>
      <c r="D726" s="139"/>
      <c r="E726" s="139"/>
      <c r="F726" s="139"/>
      <c r="G726" s="139"/>
      <c r="H726" s="139"/>
      <c r="I726" s="139"/>
      <c r="J726" s="139"/>
      <c r="K726" s="139"/>
      <c r="L726" s="139"/>
      <c r="M726" s="139"/>
      <c r="N726" s="139"/>
      <c r="O726" s="139"/>
      <c r="P726" s="139"/>
      <c r="Q726" s="139"/>
      <c r="R726" s="139"/>
      <c r="S726" s="139"/>
      <c r="T726" s="139"/>
      <c r="U726" s="139"/>
      <c r="V726" s="139"/>
      <c r="W726" s="139"/>
      <c r="X726" s="139"/>
      <c r="Y726" s="139"/>
      <c r="Z726" s="139"/>
      <c r="AA726" s="139"/>
      <c r="AB726" s="139"/>
      <c r="AC726" s="139"/>
      <c r="AD726" s="139"/>
      <c r="AE726" s="139"/>
      <c r="AF726" s="139"/>
      <c r="AG726" s="139"/>
      <c r="AH726" s="139"/>
      <c r="AI726" s="139"/>
      <c r="AJ726" s="139"/>
      <c r="AK726" s="139"/>
      <c r="AL726" s="139"/>
      <c r="AM726" s="139"/>
      <c r="AN726" s="139"/>
      <c r="AO726" s="139"/>
      <c r="AP726" s="139"/>
      <c r="AQ726" s="139"/>
    </row>
    <row r="727" spans="1:43" ht="12.75" customHeight="1">
      <c r="A727" s="139"/>
      <c r="B727" s="139"/>
      <c r="C727" s="139"/>
      <c r="D727" s="139"/>
      <c r="E727" s="139"/>
      <c r="F727" s="139"/>
      <c r="G727" s="139"/>
      <c r="H727" s="139"/>
      <c r="I727" s="139"/>
      <c r="J727" s="139"/>
      <c r="K727" s="139"/>
      <c r="L727" s="139"/>
      <c r="M727" s="139"/>
      <c r="N727" s="139"/>
      <c r="O727" s="139"/>
      <c r="P727" s="139"/>
      <c r="Q727" s="139"/>
      <c r="R727" s="139"/>
      <c r="S727" s="139"/>
      <c r="T727" s="139"/>
      <c r="U727" s="139"/>
      <c r="V727" s="139"/>
      <c r="W727" s="139"/>
      <c r="X727" s="139"/>
      <c r="Y727" s="139"/>
      <c r="Z727" s="139"/>
      <c r="AA727" s="139"/>
      <c r="AB727" s="139"/>
      <c r="AC727" s="139"/>
      <c r="AD727" s="139"/>
      <c r="AE727" s="139"/>
      <c r="AF727" s="139"/>
      <c r="AG727" s="139"/>
      <c r="AH727" s="139"/>
      <c r="AI727" s="139"/>
      <c r="AJ727" s="139"/>
      <c r="AK727" s="139"/>
      <c r="AL727" s="139"/>
      <c r="AM727" s="139"/>
      <c r="AN727" s="139"/>
      <c r="AO727" s="139"/>
      <c r="AP727" s="139"/>
      <c r="AQ727" s="139"/>
    </row>
    <row r="728" spans="1:43" ht="12.75" customHeight="1">
      <c r="A728" s="139"/>
      <c r="B728" s="139"/>
      <c r="C728" s="139"/>
      <c r="D728" s="139"/>
      <c r="E728" s="139"/>
      <c r="F728" s="139"/>
      <c r="G728" s="139"/>
      <c r="H728" s="139"/>
      <c r="I728" s="139"/>
      <c r="J728" s="139"/>
      <c r="K728" s="139"/>
      <c r="L728" s="139"/>
      <c r="M728" s="139"/>
      <c r="N728" s="139"/>
      <c r="O728" s="139"/>
      <c r="P728" s="139"/>
      <c r="Q728" s="139"/>
      <c r="R728" s="139"/>
      <c r="S728" s="139"/>
      <c r="T728" s="139"/>
      <c r="U728" s="139"/>
      <c r="V728" s="139"/>
      <c r="W728" s="139"/>
      <c r="X728" s="139"/>
      <c r="Y728" s="139"/>
      <c r="Z728" s="139"/>
      <c r="AA728" s="139"/>
      <c r="AB728" s="139"/>
      <c r="AC728" s="139"/>
      <c r="AD728" s="139"/>
      <c r="AE728" s="139"/>
      <c r="AF728" s="139"/>
      <c r="AG728" s="139"/>
      <c r="AH728" s="139"/>
      <c r="AI728" s="139"/>
      <c r="AJ728" s="139"/>
      <c r="AK728" s="139"/>
      <c r="AL728" s="139"/>
      <c r="AM728" s="139"/>
      <c r="AN728" s="139"/>
      <c r="AO728" s="139"/>
      <c r="AP728" s="139"/>
      <c r="AQ728" s="139"/>
    </row>
    <row r="729" spans="1:43" ht="12.75" customHeight="1">
      <c r="A729" s="139"/>
      <c r="B729" s="139"/>
      <c r="C729" s="139"/>
      <c r="D729" s="139"/>
      <c r="E729" s="139"/>
      <c r="F729" s="139"/>
      <c r="G729" s="139"/>
      <c r="H729" s="139"/>
      <c r="I729" s="139"/>
      <c r="J729" s="139"/>
      <c r="K729" s="139"/>
      <c r="L729" s="139"/>
      <c r="M729" s="139"/>
      <c r="N729" s="139"/>
      <c r="O729" s="139"/>
      <c r="P729" s="139"/>
      <c r="Q729" s="139"/>
      <c r="R729" s="139"/>
      <c r="S729" s="139"/>
      <c r="T729" s="139"/>
      <c r="U729" s="139"/>
      <c r="V729" s="139"/>
      <c r="W729" s="139"/>
      <c r="X729" s="139"/>
      <c r="Y729" s="139"/>
      <c r="Z729" s="139"/>
      <c r="AA729" s="139"/>
      <c r="AB729" s="139"/>
      <c r="AC729" s="139"/>
      <c r="AD729" s="139"/>
      <c r="AE729" s="139"/>
      <c r="AF729" s="139"/>
      <c r="AG729" s="139"/>
      <c r="AH729" s="139"/>
      <c r="AI729" s="139"/>
      <c r="AJ729" s="139"/>
      <c r="AK729" s="139"/>
      <c r="AL729" s="139"/>
      <c r="AM729" s="139"/>
      <c r="AN729" s="139"/>
      <c r="AO729" s="139"/>
      <c r="AP729" s="139"/>
      <c r="AQ729" s="139"/>
    </row>
    <row r="730" spans="1:43" ht="12.75" customHeight="1">
      <c r="A730" s="139"/>
      <c r="B730" s="139"/>
      <c r="C730" s="139"/>
      <c r="D730" s="139"/>
      <c r="E730" s="139"/>
      <c r="F730" s="139"/>
      <c r="G730" s="139"/>
      <c r="H730" s="139"/>
      <c r="I730" s="139"/>
      <c r="J730" s="139"/>
      <c r="K730" s="139"/>
      <c r="L730" s="139"/>
      <c r="M730" s="139"/>
      <c r="N730" s="139"/>
      <c r="O730" s="139"/>
      <c r="P730" s="139"/>
      <c r="Q730" s="139"/>
      <c r="R730" s="139"/>
      <c r="S730" s="139"/>
      <c r="T730" s="139"/>
      <c r="U730" s="139"/>
      <c r="V730" s="139"/>
      <c r="W730" s="139"/>
      <c r="X730" s="139"/>
      <c r="Y730" s="139"/>
      <c r="Z730" s="139"/>
      <c r="AA730" s="139"/>
      <c r="AB730" s="139"/>
      <c r="AC730" s="139"/>
      <c r="AD730" s="139"/>
      <c r="AE730" s="139"/>
      <c r="AF730" s="139"/>
      <c r="AG730" s="139"/>
      <c r="AH730" s="139"/>
      <c r="AI730" s="139"/>
      <c r="AJ730" s="139"/>
      <c r="AK730" s="139"/>
      <c r="AL730" s="139"/>
      <c r="AM730" s="139"/>
      <c r="AN730" s="139"/>
      <c r="AO730" s="139"/>
      <c r="AP730" s="139"/>
      <c r="AQ730" s="139"/>
    </row>
    <row r="731" spans="1:43" ht="12.75" customHeight="1">
      <c r="A731" s="139"/>
      <c r="B731" s="139"/>
      <c r="C731" s="139"/>
      <c r="D731" s="139"/>
      <c r="E731" s="139"/>
      <c r="F731" s="139"/>
      <c r="G731" s="139"/>
      <c r="H731" s="139"/>
      <c r="I731" s="139"/>
      <c r="J731" s="139"/>
      <c r="K731" s="139"/>
      <c r="L731" s="139"/>
      <c r="M731" s="139"/>
      <c r="N731" s="139"/>
      <c r="O731" s="139"/>
      <c r="P731" s="139"/>
      <c r="Q731" s="139"/>
      <c r="R731" s="139"/>
      <c r="S731" s="139"/>
      <c r="T731" s="139"/>
      <c r="U731" s="139"/>
      <c r="V731" s="139"/>
      <c r="W731" s="139"/>
      <c r="X731" s="139"/>
      <c r="Y731" s="139"/>
      <c r="Z731" s="139"/>
      <c r="AA731" s="139"/>
      <c r="AB731" s="139"/>
      <c r="AC731" s="139"/>
      <c r="AD731" s="139"/>
      <c r="AE731" s="139"/>
      <c r="AF731" s="139"/>
      <c r="AG731" s="139"/>
      <c r="AH731" s="139"/>
      <c r="AI731" s="139"/>
      <c r="AJ731" s="139"/>
      <c r="AK731" s="139"/>
      <c r="AL731" s="139"/>
      <c r="AM731" s="139"/>
      <c r="AN731" s="139"/>
      <c r="AO731" s="139"/>
      <c r="AP731" s="139"/>
      <c r="AQ731" s="139"/>
    </row>
    <row r="732" spans="1:43" ht="12.75" customHeight="1">
      <c r="A732" s="139"/>
      <c r="B732" s="139"/>
      <c r="C732" s="139"/>
      <c r="D732" s="139"/>
      <c r="E732" s="139"/>
      <c r="F732" s="139"/>
      <c r="G732" s="139"/>
      <c r="H732" s="139"/>
      <c r="I732" s="139"/>
      <c r="J732" s="139"/>
      <c r="K732" s="139"/>
      <c r="L732" s="139"/>
      <c r="M732" s="139"/>
      <c r="N732" s="139"/>
      <c r="O732" s="139"/>
      <c r="P732" s="139"/>
      <c r="Q732" s="139"/>
      <c r="R732" s="139"/>
      <c r="S732" s="139"/>
      <c r="T732" s="139"/>
      <c r="U732" s="139"/>
      <c r="V732" s="139"/>
      <c r="W732" s="139"/>
      <c r="X732" s="139"/>
      <c r="Y732" s="139"/>
      <c r="Z732" s="139"/>
      <c r="AA732" s="139"/>
      <c r="AB732" s="139"/>
      <c r="AC732" s="139"/>
      <c r="AD732" s="139"/>
      <c r="AE732" s="139"/>
      <c r="AF732" s="139"/>
      <c r="AG732" s="139"/>
      <c r="AH732" s="139"/>
      <c r="AI732" s="139"/>
      <c r="AJ732" s="139"/>
      <c r="AK732" s="139"/>
      <c r="AL732" s="139"/>
      <c r="AM732" s="139"/>
      <c r="AN732" s="139"/>
      <c r="AO732" s="139"/>
      <c r="AP732" s="139"/>
      <c r="AQ732" s="139"/>
    </row>
    <row r="733" spans="1:43" ht="12.75" customHeight="1">
      <c r="A733" s="139"/>
      <c r="B733" s="139"/>
      <c r="C733" s="139"/>
      <c r="D733" s="139"/>
      <c r="E733" s="139"/>
      <c r="F733" s="139"/>
      <c r="G733" s="139"/>
      <c r="H733" s="139"/>
      <c r="I733" s="139"/>
      <c r="J733" s="139"/>
      <c r="K733" s="139"/>
      <c r="L733" s="139"/>
      <c r="M733" s="139"/>
      <c r="N733" s="139"/>
      <c r="O733" s="139"/>
      <c r="P733" s="139"/>
      <c r="Q733" s="139"/>
      <c r="R733" s="139"/>
      <c r="S733" s="139"/>
      <c r="T733" s="139"/>
      <c r="U733" s="139"/>
      <c r="V733" s="139"/>
      <c r="W733" s="139"/>
      <c r="X733" s="139"/>
      <c r="Y733" s="139"/>
      <c r="Z733" s="139"/>
      <c r="AA733" s="139"/>
      <c r="AB733" s="139"/>
      <c r="AC733" s="139"/>
      <c r="AD733" s="139"/>
      <c r="AE733" s="139"/>
      <c r="AF733" s="139"/>
      <c r="AG733" s="139"/>
      <c r="AH733" s="139"/>
      <c r="AI733" s="139"/>
      <c r="AJ733" s="139"/>
      <c r="AK733" s="139"/>
      <c r="AL733" s="139"/>
      <c r="AM733" s="139"/>
      <c r="AN733" s="139"/>
      <c r="AO733" s="139"/>
      <c r="AP733" s="139"/>
      <c r="AQ733" s="139"/>
    </row>
    <row r="734" spans="1:43" ht="12.75" customHeight="1">
      <c r="A734" s="139"/>
      <c r="B734" s="139"/>
      <c r="C734" s="139"/>
      <c r="D734" s="139"/>
      <c r="E734" s="139"/>
      <c r="F734" s="139"/>
      <c r="G734" s="139"/>
      <c r="H734" s="139"/>
      <c r="I734" s="139"/>
      <c r="J734" s="139"/>
      <c r="K734" s="139"/>
      <c r="L734" s="139"/>
      <c r="M734" s="139"/>
      <c r="N734" s="139"/>
      <c r="O734" s="139"/>
      <c r="P734" s="139"/>
      <c r="Q734" s="139"/>
      <c r="R734" s="139"/>
      <c r="S734" s="139"/>
      <c r="T734" s="139"/>
      <c r="U734" s="139"/>
      <c r="V734" s="139"/>
      <c r="W734" s="139"/>
      <c r="X734" s="139"/>
      <c r="Y734" s="139"/>
      <c r="Z734" s="139"/>
      <c r="AA734" s="139"/>
      <c r="AB734" s="139"/>
      <c r="AC734" s="139"/>
      <c r="AD734" s="139"/>
      <c r="AE734" s="139"/>
      <c r="AF734" s="139"/>
      <c r="AG734" s="139"/>
      <c r="AH734" s="139"/>
      <c r="AI734" s="139"/>
      <c r="AJ734" s="139"/>
      <c r="AK734" s="139"/>
      <c r="AL734" s="139"/>
      <c r="AM734" s="139"/>
      <c r="AN734" s="139"/>
      <c r="AO734" s="139"/>
      <c r="AP734" s="139"/>
      <c r="AQ734" s="139"/>
    </row>
    <row r="735" spans="1:43" ht="12.75" customHeight="1">
      <c r="A735" s="139"/>
      <c r="B735" s="139"/>
      <c r="C735" s="139"/>
      <c r="D735" s="139"/>
      <c r="E735" s="139"/>
      <c r="F735" s="139"/>
      <c r="G735" s="139"/>
      <c r="H735" s="139"/>
      <c r="I735" s="139"/>
      <c r="J735" s="139"/>
      <c r="K735" s="139"/>
      <c r="L735" s="139"/>
      <c r="M735" s="139"/>
      <c r="N735" s="139"/>
      <c r="O735" s="139"/>
      <c r="P735" s="139"/>
      <c r="Q735" s="139"/>
      <c r="R735" s="139"/>
      <c r="S735" s="139"/>
      <c r="T735" s="139"/>
      <c r="U735" s="139"/>
      <c r="V735" s="139"/>
      <c r="W735" s="139"/>
      <c r="X735" s="139"/>
      <c r="Y735" s="139"/>
      <c r="Z735" s="139"/>
      <c r="AA735" s="139"/>
      <c r="AB735" s="139"/>
      <c r="AC735" s="139"/>
      <c r="AD735" s="139"/>
      <c r="AE735" s="139"/>
      <c r="AF735" s="139"/>
      <c r="AG735" s="139"/>
      <c r="AH735" s="139"/>
      <c r="AI735" s="139"/>
      <c r="AJ735" s="139"/>
      <c r="AK735" s="139"/>
      <c r="AL735" s="139"/>
      <c r="AM735" s="139"/>
      <c r="AN735" s="139"/>
      <c r="AO735" s="139"/>
      <c r="AP735" s="139"/>
      <c r="AQ735" s="139"/>
    </row>
    <row r="736" spans="1:43" ht="12.75" customHeight="1">
      <c r="A736" s="139"/>
      <c r="B736" s="139"/>
      <c r="C736" s="139"/>
      <c r="D736" s="139"/>
      <c r="E736" s="139"/>
      <c r="F736" s="139"/>
      <c r="G736" s="139"/>
      <c r="H736" s="139"/>
      <c r="I736" s="139"/>
      <c r="J736" s="139"/>
      <c r="K736" s="139"/>
      <c r="L736" s="139"/>
      <c r="M736" s="139"/>
      <c r="N736" s="139"/>
      <c r="O736" s="139"/>
      <c r="P736" s="139"/>
      <c r="Q736" s="139"/>
      <c r="R736" s="139"/>
      <c r="S736" s="139"/>
      <c r="T736" s="139"/>
      <c r="U736" s="139"/>
      <c r="V736" s="139"/>
      <c r="W736" s="139"/>
      <c r="X736" s="139"/>
      <c r="Y736" s="139"/>
      <c r="Z736" s="139"/>
      <c r="AA736" s="139"/>
      <c r="AB736" s="139"/>
      <c r="AC736" s="139"/>
      <c r="AD736" s="139"/>
      <c r="AE736" s="139"/>
      <c r="AF736" s="139"/>
      <c r="AG736" s="139"/>
      <c r="AH736" s="139"/>
      <c r="AI736" s="139"/>
      <c r="AJ736" s="139"/>
      <c r="AK736" s="139"/>
      <c r="AL736" s="139"/>
      <c r="AM736" s="139"/>
      <c r="AN736" s="139"/>
      <c r="AO736" s="139"/>
      <c r="AP736" s="139"/>
      <c r="AQ736" s="139"/>
    </row>
    <row r="737" spans="1:43" ht="12.75" customHeight="1">
      <c r="A737" s="139"/>
      <c r="B737" s="139"/>
      <c r="C737" s="139"/>
      <c r="D737" s="139"/>
      <c r="E737" s="139"/>
      <c r="F737" s="139"/>
      <c r="G737" s="139"/>
      <c r="H737" s="139"/>
      <c r="I737" s="139"/>
      <c r="J737" s="139"/>
      <c r="K737" s="139"/>
      <c r="L737" s="139"/>
      <c r="M737" s="139"/>
      <c r="N737" s="139"/>
      <c r="O737" s="139"/>
      <c r="P737" s="139"/>
      <c r="Q737" s="139"/>
      <c r="R737" s="139"/>
      <c r="S737" s="139"/>
      <c r="T737" s="139"/>
      <c r="U737" s="139"/>
      <c r="V737" s="139"/>
      <c r="W737" s="139"/>
      <c r="X737" s="139"/>
      <c r="Y737" s="139"/>
      <c r="Z737" s="139"/>
      <c r="AA737" s="139"/>
      <c r="AB737" s="139"/>
      <c r="AC737" s="139"/>
      <c r="AD737" s="139"/>
      <c r="AE737" s="139"/>
      <c r="AF737" s="139"/>
      <c r="AG737" s="139"/>
      <c r="AH737" s="139"/>
      <c r="AI737" s="139"/>
      <c r="AJ737" s="139"/>
      <c r="AK737" s="139"/>
      <c r="AL737" s="139"/>
      <c r="AM737" s="139"/>
      <c r="AN737" s="139"/>
      <c r="AO737" s="139"/>
      <c r="AP737" s="139"/>
      <c r="AQ737" s="139"/>
    </row>
    <row r="738" spans="1:43" ht="12.75" customHeight="1">
      <c r="A738" s="139"/>
      <c r="B738" s="139"/>
      <c r="C738" s="139"/>
      <c r="D738" s="139"/>
      <c r="E738" s="139"/>
      <c r="F738" s="139"/>
      <c r="G738" s="139"/>
      <c r="H738" s="139"/>
      <c r="I738" s="139"/>
      <c r="J738" s="139"/>
      <c r="K738" s="139"/>
      <c r="L738" s="139"/>
      <c r="M738" s="139"/>
      <c r="N738" s="139"/>
      <c r="O738" s="139"/>
      <c r="P738" s="139"/>
      <c r="Q738" s="139"/>
      <c r="R738" s="139"/>
      <c r="S738" s="139"/>
      <c r="T738" s="139"/>
      <c r="U738" s="139"/>
      <c r="V738" s="139"/>
      <c r="W738" s="139"/>
      <c r="X738" s="139"/>
      <c r="Y738" s="139"/>
      <c r="Z738" s="139"/>
      <c r="AA738" s="139"/>
      <c r="AB738" s="139"/>
      <c r="AC738" s="139"/>
      <c r="AD738" s="139"/>
      <c r="AE738" s="139"/>
      <c r="AF738" s="139"/>
      <c r="AG738" s="139"/>
      <c r="AH738" s="139"/>
      <c r="AI738" s="139"/>
      <c r="AJ738" s="139"/>
      <c r="AK738" s="139"/>
      <c r="AL738" s="139"/>
      <c r="AM738" s="139"/>
      <c r="AN738" s="139"/>
      <c r="AO738" s="139"/>
      <c r="AP738" s="139"/>
      <c r="AQ738" s="139"/>
    </row>
    <row r="739" spans="1:43" ht="12.75" customHeight="1">
      <c r="A739" s="139"/>
      <c r="B739" s="139"/>
      <c r="C739" s="139"/>
      <c r="D739" s="139"/>
      <c r="E739" s="139"/>
      <c r="F739" s="139"/>
      <c r="G739" s="139"/>
      <c r="H739" s="139"/>
      <c r="I739" s="139"/>
      <c r="J739" s="139"/>
      <c r="K739" s="139"/>
      <c r="L739" s="139"/>
      <c r="M739" s="139"/>
      <c r="N739" s="139"/>
      <c r="O739" s="139"/>
      <c r="P739" s="139"/>
      <c r="Q739" s="139"/>
      <c r="R739" s="139"/>
      <c r="S739" s="139"/>
      <c r="T739" s="139"/>
      <c r="U739" s="139"/>
      <c r="V739" s="139"/>
      <c r="W739" s="139"/>
      <c r="X739" s="139"/>
      <c r="Y739" s="139"/>
      <c r="Z739" s="139"/>
      <c r="AA739" s="139"/>
      <c r="AB739" s="139"/>
      <c r="AC739" s="139"/>
      <c r="AD739" s="139"/>
      <c r="AE739" s="139"/>
      <c r="AF739" s="139"/>
      <c r="AG739" s="139"/>
      <c r="AH739" s="139"/>
      <c r="AI739" s="139"/>
      <c r="AJ739" s="139"/>
      <c r="AK739" s="139"/>
      <c r="AL739" s="139"/>
      <c r="AM739" s="139"/>
      <c r="AN739" s="139"/>
      <c r="AO739" s="139"/>
      <c r="AP739" s="139"/>
      <c r="AQ739" s="139"/>
    </row>
    <row r="740" spans="1:43" ht="12.75" customHeight="1">
      <c r="A740" s="139"/>
      <c r="B740" s="139"/>
      <c r="C740" s="139"/>
      <c r="D740" s="139"/>
      <c r="E740" s="139"/>
      <c r="F740" s="139"/>
      <c r="G740" s="139"/>
      <c r="H740" s="139"/>
      <c r="I740" s="139"/>
      <c r="J740" s="139"/>
      <c r="K740" s="139"/>
      <c r="L740" s="139"/>
      <c r="M740" s="139"/>
      <c r="N740" s="139"/>
      <c r="O740" s="139"/>
      <c r="P740" s="139"/>
      <c r="Q740" s="139"/>
      <c r="R740" s="139"/>
      <c r="S740" s="139"/>
      <c r="T740" s="139"/>
      <c r="U740" s="139"/>
      <c r="V740" s="139"/>
      <c r="W740" s="139"/>
      <c r="X740" s="139"/>
      <c r="Y740" s="139"/>
      <c r="Z740" s="139"/>
      <c r="AA740" s="139"/>
      <c r="AB740" s="139"/>
      <c r="AC740" s="139"/>
      <c r="AD740" s="139"/>
      <c r="AE740" s="139"/>
      <c r="AF740" s="139"/>
      <c r="AG740" s="139"/>
      <c r="AH740" s="139"/>
      <c r="AI740" s="139"/>
      <c r="AJ740" s="139"/>
      <c r="AK740" s="139"/>
      <c r="AL740" s="139"/>
      <c r="AM740" s="139"/>
      <c r="AN740" s="139"/>
      <c r="AO740" s="139"/>
      <c r="AP740" s="139"/>
      <c r="AQ740" s="139"/>
    </row>
    <row r="741" spans="1:43" ht="12.75" customHeight="1">
      <c r="A741" s="139"/>
      <c r="B741" s="139"/>
      <c r="C741" s="139"/>
      <c r="D741" s="139"/>
      <c r="E741" s="139"/>
      <c r="F741" s="139"/>
      <c r="G741" s="139"/>
      <c r="H741" s="139"/>
      <c r="I741" s="139"/>
      <c r="J741" s="139"/>
      <c r="K741" s="139"/>
      <c r="L741" s="139"/>
      <c r="M741" s="139"/>
      <c r="N741" s="139"/>
      <c r="O741" s="139"/>
      <c r="P741" s="139"/>
      <c r="Q741" s="139"/>
      <c r="R741" s="139"/>
      <c r="S741" s="139"/>
      <c r="T741" s="139"/>
      <c r="U741" s="139"/>
      <c r="V741" s="139"/>
      <c r="W741" s="139"/>
      <c r="X741" s="139"/>
      <c r="Y741" s="139"/>
      <c r="Z741" s="139"/>
      <c r="AA741" s="139"/>
      <c r="AB741" s="139"/>
      <c r="AC741" s="139"/>
      <c r="AD741" s="139"/>
      <c r="AE741" s="139"/>
      <c r="AF741" s="139"/>
      <c r="AG741" s="139"/>
      <c r="AH741" s="139"/>
      <c r="AI741" s="139"/>
      <c r="AJ741" s="139"/>
      <c r="AK741" s="139"/>
      <c r="AL741" s="139"/>
      <c r="AM741" s="139"/>
      <c r="AN741" s="139"/>
      <c r="AO741" s="139"/>
      <c r="AP741" s="139"/>
      <c r="AQ741" s="139"/>
    </row>
    <row r="742" spans="1:43" ht="12.75" customHeight="1">
      <c r="A742" s="139"/>
      <c r="B742" s="139"/>
      <c r="C742" s="139"/>
      <c r="D742" s="139"/>
      <c r="E742" s="139"/>
      <c r="F742" s="139"/>
      <c r="G742" s="139"/>
      <c r="H742" s="139"/>
      <c r="I742" s="139"/>
      <c r="J742" s="139"/>
      <c r="K742" s="139"/>
      <c r="L742" s="139"/>
      <c r="M742" s="139"/>
      <c r="N742" s="139"/>
      <c r="O742" s="139"/>
      <c r="P742" s="139"/>
      <c r="Q742" s="139"/>
      <c r="R742" s="139"/>
      <c r="S742" s="139"/>
      <c r="T742" s="139"/>
      <c r="U742" s="139"/>
      <c r="V742" s="139"/>
      <c r="W742" s="139"/>
      <c r="X742" s="139"/>
      <c r="Y742" s="139"/>
      <c r="Z742" s="139"/>
      <c r="AA742" s="139"/>
      <c r="AB742" s="139"/>
      <c r="AC742" s="139"/>
      <c r="AD742" s="139"/>
      <c r="AE742" s="139"/>
      <c r="AF742" s="139"/>
      <c r="AG742" s="139"/>
      <c r="AH742" s="139"/>
      <c r="AI742" s="139"/>
      <c r="AJ742" s="139"/>
      <c r="AK742" s="139"/>
      <c r="AL742" s="139"/>
      <c r="AM742" s="139"/>
      <c r="AN742" s="139"/>
      <c r="AO742" s="139"/>
      <c r="AP742" s="139"/>
      <c r="AQ742" s="139"/>
    </row>
    <row r="743" spans="1:43" ht="12.75" customHeight="1">
      <c r="A743" s="139"/>
      <c r="B743" s="139"/>
      <c r="C743" s="139"/>
      <c r="D743" s="139"/>
      <c r="E743" s="139"/>
      <c r="F743" s="139"/>
      <c r="G743" s="139"/>
      <c r="H743" s="139"/>
      <c r="I743" s="139"/>
      <c r="J743" s="139"/>
      <c r="K743" s="139"/>
      <c r="L743" s="139"/>
      <c r="M743" s="139"/>
      <c r="N743" s="139"/>
      <c r="O743" s="139"/>
      <c r="P743" s="139"/>
      <c r="Q743" s="139"/>
      <c r="R743" s="139"/>
      <c r="S743" s="139"/>
      <c r="T743" s="139"/>
      <c r="U743" s="139"/>
      <c r="V743" s="139"/>
      <c r="W743" s="139"/>
      <c r="X743" s="139"/>
      <c r="Y743" s="139"/>
      <c r="Z743" s="139"/>
      <c r="AA743" s="139"/>
      <c r="AB743" s="139"/>
      <c r="AC743" s="139"/>
      <c r="AD743" s="139"/>
      <c r="AE743" s="139"/>
      <c r="AF743" s="139"/>
      <c r="AG743" s="139"/>
      <c r="AH743" s="139"/>
      <c r="AI743" s="139"/>
      <c r="AJ743" s="139"/>
      <c r="AK743" s="139"/>
      <c r="AL743" s="139"/>
      <c r="AM743" s="139"/>
      <c r="AN743" s="139"/>
      <c r="AO743" s="139"/>
      <c r="AP743" s="139"/>
      <c r="AQ743" s="139"/>
    </row>
    <row r="744" spans="1:43" ht="12.75" customHeight="1">
      <c r="A744" s="139"/>
      <c r="B744" s="139"/>
      <c r="C744" s="139"/>
      <c r="D744" s="139"/>
      <c r="E744" s="139"/>
      <c r="F744" s="139"/>
      <c r="G744" s="139"/>
      <c r="H744" s="139"/>
      <c r="I744" s="139"/>
      <c r="J744" s="139"/>
      <c r="K744" s="139"/>
      <c r="L744" s="139"/>
      <c r="M744" s="139"/>
      <c r="N744" s="139"/>
      <c r="O744" s="139"/>
      <c r="P744" s="139"/>
      <c r="Q744" s="139"/>
      <c r="R744" s="139"/>
      <c r="S744" s="139"/>
      <c r="T744" s="139"/>
      <c r="U744" s="139"/>
      <c r="V744" s="139"/>
      <c r="W744" s="139"/>
      <c r="X744" s="139"/>
      <c r="Y744" s="139"/>
      <c r="Z744" s="139"/>
      <c r="AA744" s="139"/>
      <c r="AB744" s="139"/>
      <c r="AC744" s="139"/>
      <c r="AD744" s="139"/>
      <c r="AE744" s="139"/>
      <c r="AF744" s="139"/>
      <c r="AG744" s="139"/>
      <c r="AH744" s="139"/>
      <c r="AI744" s="139"/>
      <c r="AJ744" s="139"/>
      <c r="AK744" s="139"/>
      <c r="AL744" s="139"/>
      <c r="AM744" s="139"/>
      <c r="AN744" s="139"/>
      <c r="AO744" s="139"/>
      <c r="AP744" s="139"/>
      <c r="AQ744" s="139"/>
    </row>
    <row r="745" spans="1:43" ht="12.75" customHeight="1">
      <c r="A745" s="139"/>
      <c r="B745" s="139"/>
      <c r="C745" s="139"/>
      <c r="D745" s="139"/>
      <c r="E745" s="139"/>
      <c r="F745" s="139"/>
      <c r="G745" s="139"/>
      <c r="H745" s="139"/>
      <c r="I745" s="139"/>
      <c r="J745" s="139"/>
      <c r="K745" s="139"/>
      <c r="L745" s="139"/>
      <c r="M745" s="139"/>
      <c r="N745" s="139"/>
      <c r="O745" s="139"/>
      <c r="P745" s="139"/>
      <c r="Q745" s="139"/>
      <c r="R745" s="139"/>
      <c r="S745" s="139"/>
      <c r="T745" s="139"/>
      <c r="U745" s="139"/>
      <c r="V745" s="139"/>
      <c r="W745" s="139"/>
      <c r="X745" s="139"/>
      <c r="Y745" s="139"/>
      <c r="Z745" s="139"/>
      <c r="AA745" s="139"/>
      <c r="AB745" s="139"/>
      <c r="AC745" s="139"/>
      <c r="AD745" s="139"/>
      <c r="AE745" s="139"/>
      <c r="AF745" s="139"/>
      <c r="AG745" s="139"/>
      <c r="AH745" s="139"/>
      <c r="AI745" s="139"/>
      <c r="AJ745" s="139"/>
      <c r="AK745" s="139"/>
      <c r="AL745" s="139"/>
      <c r="AM745" s="139"/>
      <c r="AN745" s="139"/>
      <c r="AO745" s="139"/>
      <c r="AP745" s="139"/>
      <c r="AQ745" s="139"/>
    </row>
    <row r="746" spans="1:43" ht="12.75" customHeight="1">
      <c r="A746" s="139"/>
      <c r="B746" s="139"/>
      <c r="C746" s="139"/>
      <c r="D746" s="139"/>
      <c r="E746" s="139"/>
      <c r="F746" s="139"/>
      <c r="G746" s="139"/>
      <c r="H746" s="139"/>
      <c r="I746" s="139"/>
      <c r="J746" s="139"/>
      <c r="K746" s="139"/>
      <c r="L746" s="139"/>
      <c r="M746" s="139"/>
      <c r="N746" s="139"/>
      <c r="O746" s="139"/>
      <c r="P746" s="139"/>
      <c r="Q746" s="139"/>
      <c r="R746" s="139"/>
      <c r="S746" s="139"/>
      <c r="T746" s="139"/>
      <c r="U746" s="139"/>
      <c r="V746" s="139"/>
      <c r="W746" s="139"/>
      <c r="X746" s="139"/>
      <c r="Y746" s="139"/>
      <c r="Z746" s="139"/>
      <c r="AA746" s="139"/>
      <c r="AB746" s="139"/>
      <c r="AC746" s="139"/>
      <c r="AD746" s="139"/>
      <c r="AE746" s="139"/>
      <c r="AF746" s="139"/>
      <c r="AG746" s="139"/>
      <c r="AH746" s="139"/>
      <c r="AI746" s="139"/>
      <c r="AJ746" s="139"/>
      <c r="AK746" s="139"/>
      <c r="AL746" s="139"/>
      <c r="AM746" s="139"/>
      <c r="AN746" s="139"/>
      <c r="AO746" s="139"/>
      <c r="AP746" s="139"/>
      <c r="AQ746" s="139"/>
    </row>
    <row r="747" spans="1:43" ht="12.75" customHeight="1">
      <c r="A747" s="139"/>
      <c r="B747" s="139"/>
      <c r="C747" s="139"/>
      <c r="D747" s="139"/>
      <c r="E747" s="139"/>
      <c r="F747" s="139"/>
      <c r="G747" s="139"/>
      <c r="H747" s="139"/>
      <c r="I747" s="139"/>
      <c r="J747" s="139"/>
      <c r="K747" s="139"/>
      <c r="L747" s="139"/>
      <c r="M747" s="139"/>
      <c r="N747" s="139"/>
      <c r="O747" s="139"/>
      <c r="P747" s="139"/>
      <c r="Q747" s="139"/>
      <c r="R747" s="139"/>
      <c r="S747" s="139"/>
      <c r="T747" s="139"/>
      <c r="U747" s="139"/>
      <c r="V747" s="139"/>
      <c r="W747" s="139"/>
      <c r="X747" s="139"/>
      <c r="Y747" s="139"/>
      <c r="Z747" s="139"/>
      <c r="AA747" s="139"/>
      <c r="AB747" s="139"/>
      <c r="AC747" s="139"/>
      <c r="AD747" s="139"/>
      <c r="AE747" s="139"/>
      <c r="AF747" s="139"/>
      <c r="AG747" s="139"/>
      <c r="AH747" s="139"/>
      <c r="AI747" s="139"/>
      <c r="AJ747" s="139"/>
      <c r="AK747" s="139"/>
      <c r="AL747" s="139"/>
      <c r="AM747" s="139"/>
      <c r="AN747" s="139"/>
      <c r="AO747" s="139"/>
      <c r="AP747" s="139"/>
      <c r="AQ747" s="139"/>
    </row>
    <row r="748" spans="1:43" ht="12.75" customHeight="1">
      <c r="A748" s="139"/>
      <c r="B748" s="139"/>
      <c r="C748" s="139"/>
      <c r="D748" s="139"/>
      <c r="E748" s="139"/>
      <c r="F748" s="139"/>
      <c r="G748" s="139"/>
      <c r="H748" s="139"/>
      <c r="I748" s="139"/>
      <c r="J748" s="139"/>
      <c r="K748" s="139"/>
      <c r="L748" s="139"/>
      <c r="M748" s="139"/>
      <c r="N748" s="139"/>
      <c r="O748" s="139"/>
      <c r="P748" s="139"/>
      <c r="Q748" s="139"/>
      <c r="R748" s="139"/>
      <c r="S748" s="139"/>
      <c r="T748" s="139"/>
      <c r="U748" s="139"/>
      <c r="V748" s="139"/>
      <c r="W748" s="139"/>
      <c r="X748" s="139"/>
      <c r="Y748" s="139"/>
      <c r="Z748" s="139"/>
      <c r="AA748" s="139"/>
      <c r="AB748" s="139"/>
      <c r="AC748" s="139"/>
      <c r="AD748" s="139"/>
      <c r="AE748" s="139"/>
      <c r="AF748" s="139"/>
      <c r="AG748" s="139"/>
      <c r="AH748" s="139"/>
      <c r="AI748" s="139"/>
      <c r="AJ748" s="139"/>
      <c r="AK748" s="139"/>
      <c r="AL748" s="139"/>
      <c r="AM748" s="139"/>
      <c r="AN748" s="139"/>
      <c r="AO748" s="139"/>
      <c r="AP748" s="139"/>
      <c r="AQ748" s="139"/>
    </row>
    <row r="749" spans="1:43" ht="12.75" customHeight="1">
      <c r="A749" s="139"/>
      <c r="B749" s="139"/>
      <c r="C749" s="139"/>
      <c r="D749" s="139"/>
      <c r="E749" s="139"/>
      <c r="F749" s="139"/>
      <c r="G749" s="139"/>
      <c r="H749" s="139"/>
      <c r="I749" s="139"/>
      <c r="J749" s="139"/>
      <c r="K749" s="139"/>
      <c r="L749" s="139"/>
      <c r="M749" s="139"/>
      <c r="N749" s="139"/>
      <c r="O749" s="139"/>
      <c r="P749" s="139"/>
      <c r="Q749" s="139"/>
      <c r="R749" s="139"/>
      <c r="S749" s="139"/>
      <c r="T749" s="139"/>
      <c r="U749" s="139"/>
      <c r="V749" s="139"/>
      <c r="W749" s="139"/>
      <c r="X749" s="139"/>
      <c r="Y749" s="139"/>
      <c r="Z749" s="139"/>
      <c r="AA749" s="139"/>
      <c r="AB749" s="139"/>
      <c r="AC749" s="139"/>
      <c r="AD749" s="139"/>
      <c r="AE749" s="139"/>
      <c r="AF749" s="139"/>
      <c r="AG749" s="139"/>
      <c r="AH749" s="139"/>
      <c r="AI749" s="139"/>
      <c r="AJ749" s="139"/>
      <c r="AK749" s="139"/>
      <c r="AL749" s="139"/>
      <c r="AM749" s="139"/>
      <c r="AN749" s="139"/>
      <c r="AO749" s="139"/>
      <c r="AP749" s="139"/>
      <c r="AQ749" s="139"/>
    </row>
    <row r="750" spans="1:43" ht="12.75" customHeight="1">
      <c r="A750" s="139"/>
      <c r="B750" s="139"/>
      <c r="C750" s="139"/>
      <c r="D750" s="139"/>
      <c r="E750" s="139"/>
      <c r="F750" s="139"/>
      <c r="G750" s="139"/>
      <c r="H750" s="139"/>
      <c r="I750" s="139"/>
      <c r="J750" s="139"/>
      <c r="K750" s="139"/>
      <c r="L750" s="139"/>
      <c r="M750" s="139"/>
      <c r="N750" s="139"/>
      <c r="O750" s="139"/>
      <c r="P750" s="139"/>
      <c r="Q750" s="139"/>
      <c r="R750" s="139"/>
      <c r="S750" s="139"/>
      <c r="T750" s="139"/>
      <c r="U750" s="139"/>
      <c r="V750" s="139"/>
      <c r="W750" s="139"/>
      <c r="X750" s="139"/>
      <c r="Y750" s="139"/>
      <c r="Z750" s="139"/>
      <c r="AA750" s="139"/>
      <c r="AB750" s="139"/>
      <c r="AC750" s="139"/>
      <c r="AD750" s="139"/>
      <c r="AE750" s="139"/>
      <c r="AF750" s="139"/>
      <c r="AG750" s="139"/>
      <c r="AH750" s="139"/>
      <c r="AI750" s="139"/>
      <c r="AJ750" s="139"/>
      <c r="AK750" s="139"/>
      <c r="AL750" s="139"/>
      <c r="AM750" s="139"/>
      <c r="AN750" s="139"/>
      <c r="AO750" s="139"/>
      <c r="AP750" s="139"/>
      <c r="AQ750" s="139"/>
    </row>
    <row r="751" spans="1:43" ht="12.75" customHeight="1">
      <c r="A751" s="139"/>
      <c r="B751" s="139"/>
      <c r="C751" s="139"/>
      <c r="D751" s="139"/>
      <c r="E751" s="139"/>
      <c r="F751" s="139"/>
      <c r="G751" s="139"/>
      <c r="H751" s="139"/>
      <c r="I751" s="139"/>
      <c r="J751" s="139"/>
      <c r="K751" s="139"/>
      <c r="L751" s="139"/>
      <c r="M751" s="139"/>
      <c r="N751" s="139"/>
      <c r="O751" s="139"/>
      <c r="P751" s="139"/>
      <c r="Q751" s="139"/>
      <c r="R751" s="139"/>
      <c r="S751" s="139"/>
      <c r="T751" s="139"/>
      <c r="U751" s="139"/>
      <c r="V751" s="139"/>
      <c r="W751" s="139"/>
      <c r="X751" s="139"/>
      <c r="Y751" s="139"/>
      <c r="Z751" s="139"/>
      <c r="AA751" s="139"/>
      <c r="AB751" s="139"/>
      <c r="AC751" s="139"/>
      <c r="AD751" s="139"/>
      <c r="AE751" s="139"/>
      <c r="AF751" s="139"/>
      <c r="AG751" s="139"/>
      <c r="AH751" s="139"/>
      <c r="AI751" s="139"/>
      <c r="AJ751" s="139"/>
      <c r="AK751" s="139"/>
      <c r="AL751" s="139"/>
      <c r="AM751" s="139"/>
      <c r="AN751" s="139"/>
      <c r="AO751" s="139"/>
      <c r="AP751" s="139"/>
      <c r="AQ751" s="139"/>
    </row>
    <row r="752" spans="1:43" ht="12.75" customHeight="1">
      <c r="A752" s="139"/>
      <c r="B752" s="139"/>
      <c r="C752" s="139"/>
      <c r="D752" s="139"/>
      <c r="E752" s="139"/>
      <c r="F752" s="139"/>
      <c r="G752" s="139"/>
      <c r="H752" s="139"/>
      <c r="I752" s="139"/>
      <c r="J752" s="139"/>
      <c r="K752" s="139"/>
      <c r="L752" s="139"/>
      <c r="M752" s="139"/>
      <c r="N752" s="139"/>
      <c r="O752" s="139"/>
      <c r="P752" s="139"/>
      <c r="Q752" s="139"/>
      <c r="R752" s="139"/>
      <c r="S752" s="139"/>
      <c r="T752" s="139"/>
      <c r="U752" s="139"/>
      <c r="V752" s="139"/>
      <c r="W752" s="139"/>
      <c r="X752" s="139"/>
      <c r="Y752" s="139"/>
      <c r="Z752" s="139"/>
      <c r="AA752" s="139"/>
      <c r="AB752" s="139"/>
      <c r="AC752" s="139"/>
      <c r="AD752" s="139"/>
      <c r="AE752" s="139"/>
      <c r="AF752" s="139"/>
      <c r="AG752" s="139"/>
      <c r="AH752" s="139"/>
      <c r="AI752" s="139"/>
      <c r="AJ752" s="139"/>
      <c r="AK752" s="139"/>
      <c r="AL752" s="139"/>
      <c r="AM752" s="139"/>
      <c r="AN752" s="139"/>
      <c r="AO752" s="139"/>
      <c r="AP752" s="139"/>
      <c r="AQ752" s="139"/>
    </row>
    <row r="753" spans="1:43" ht="12.75" customHeight="1">
      <c r="A753" s="139"/>
      <c r="B753" s="139"/>
      <c r="C753" s="139"/>
      <c r="D753" s="139"/>
      <c r="E753" s="139"/>
      <c r="F753" s="139"/>
      <c r="G753" s="139"/>
      <c r="H753" s="139"/>
      <c r="I753" s="139"/>
      <c r="J753" s="139"/>
      <c r="K753" s="139"/>
      <c r="L753" s="139"/>
      <c r="M753" s="139"/>
      <c r="N753" s="139"/>
      <c r="O753" s="139"/>
      <c r="P753" s="139"/>
      <c r="Q753" s="139"/>
      <c r="R753" s="139"/>
      <c r="S753" s="139"/>
      <c r="T753" s="139"/>
      <c r="U753" s="139"/>
      <c r="V753" s="139"/>
      <c r="W753" s="139"/>
      <c r="X753" s="139"/>
      <c r="Y753" s="139"/>
      <c r="Z753" s="139"/>
      <c r="AA753" s="139"/>
      <c r="AB753" s="139"/>
      <c r="AC753" s="139"/>
      <c r="AD753" s="139"/>
      <c r="AE753" s="139"/>
      <c r="AF753" s="139"/>
      <c r="AG753" s="139"/>
      <c r="AH753" s="139"/>
      <c r="AI753" s="139"/>
      <c r="AJ753" s="139"/>
      <c r="AK753" s="139"/>
      <c r="AL753" s="139"/>
      <c r="AM753" s="139"/>
      <c r="AN753" s="139"/>
      <c r="AO753" s="139"/>
      <c r="AP753" s="139"/>
      <c r="AQ753" s="139"/>
    </row>
    <row r="754" spans="1:43" ht="12.75" customHeight="1">
      <c r="A754" s="139"/>
      <c r="B754" s="139"/>
      <c r="C754" s="139"/>
      <c r="D754" s="139"/>
      <c r="E754" s="139"/>
      <c r="F754" s="139"/>
      <c r="G754" s="139"/>
      <c r="H754" s="139"/>
      <c r="I754" s="139"/>
      <c r="J754" s="139"/>
      <c r="K754" s="139"/>
      <c r="L754" s="139"/>
      <c r="M754" s="139"/>
      <c r="N754" s="139"/>
      <c r="O754" s="139"/>
      <c r="P754" s="139"/>
      <c r="Q754" s="139"/>
      <c r="R754" s="139"/>
      <c r="S754" s="139"/>
      <c r="T754" s="139"/>
      <c r="U754" s="139"/>
      <c r="V754" s="139"/>
      <c r="W754" s="139"/>
      <c r="X754" s="139"/>
      <c r="Y754" s="139"/>
      <c r="Z754" s="139"/>
      <c r="AA754" s="139"/>
      <c r="AB754" s="139"/>
      <c r="AC754" s="139"/>
      <c r="AD754" s="139"/>
      <c r="AE754" s="139"/>
      <c r="AF754" s="139"/>
      <c r="AG754" s="139"/>
      <c r="AH754" s="139"/>
      <c r="AI754" s="139"/>
      <c r="AJ754" s="139"/>
      <c r="AK754" s="139"/>
      <c r="AL754" s="139"/>
      <c r="AM754" s="139"/>
      <c r="AN754" s="139"/>
      <c r="AO754" s="139"/>
      <c r="AP754" s="139"/>
      <c r="AQ754" s="139"/>
    </row>
    <row r="755" spans="1:43" ht="12.75" customHeight="1">
      <c r="A755" s="139"/>
      <c r="B755" s="139"/>
      <c r="C755" s="139"/>
      <c r="D755" s="139"/>
      <c r="E755" s="139"/>
      <c r="F755" s="139"/>
      <c r="G755" s="139"/>
      <c r="H755" s="139"/>
      <c r="I755" s="139"/>
      <c r="J755" s="139"/>
      <c r="K755" s="139"/>
      <c r="L755" s="139"/>
      <c r="M755" s="139"/>
      <c r="N755" s="139"/>
      <c r="O755" s="139"/>
      <c r="P755" s="139"/>
      <c r="Q755" s="139"/>
      <c r="R755" s="139"/>
      <c r="S755" s="139"/>
      <c r="T755" s="139"/>
      <c r="U755" s="139"/>
      <c r="V755" s="139"/>
      <c r="W755" s="139"/>
      <c r="X755" s="139"/>
      <c r="Y755" s="139"/>
      <c r="Z755" s="139"/>
      <c r="AA755" s="139"/>
      <c r="AB755" s="139"/>
      <c r="AC755" s="139"/>
      <c r="AD755" s="139"/>
      <c r="AE755" s="139"/>
      <c r="AF755" s="139"/>
      <c r="AG755" s="139"/>
      <c r="AH755" s="139"/>
      <c r="AI755" s="139"/>
      <c r="AJ755" s="139"/>
      <c r="AK755" s="139"/>
      <c r="AL755" s="139"/>
      <c r="AM755" s="139"/>
      <c r="AN755" s="139"/>
      <c r="AO755" s="139"/>
      <c r="AP755" s="139"/>
      <c r="AQ755" s="139"/>
    </row>
    <row r="756" spans="1:43" ht="12.75" customHeight="1">
      <c r="A756" s="139"/>
      <c r="B756" s="139"/>
      <c r="C756" s="139"/>
      <c r="D756" s="139"/>
      <c r="E756" s="139"/>
      <c r="F756" s="139"/>
      <c r="G756" s="139"/>
      <c r="H756" s="139"/>
      <c r="I756" s="139"/>
      <c r="J756" s="139"/>
      <c r="K756" s="139"/>
      <c r="L756" s="139"/>
      <c r="M756" s="139"/>
      <c r="N756" s="139"/>
      <c r="O756" s="139"/>
      <c r="P756" s="139"/>
      <c r="Q756" s="139"/>
      <c r="R756" s="139"/>
      <c r="S756" s="139"/>
      <c r="T756" s="139"/>
      <c r="U756" s="139"/>
      <c r="V756" s="139"/>
      <c r="W756" s="139"/>
      <c r="X756" s="139"/>
      <c r="Y756" s="139"/>
      <c r="Z756" s="139"/>
      <c r="AA756" s="139"/>
      <c r="AB756" s="139"/>
      <c r="AC756" s="139"/>
      <c r="AD756" s="139"/>
      <c r="AE756" s="139"/>
      <c r="AF756" s="139"/>
      <c r="AG756" s="139"/>
      <c r="AH756" s="139"/>
      <c r="AI756" s="139"/>
      <c r="AJ756" s="139"/>
      <c r="AK756" s="139"/>
      <c r="AL756" s="139"/>
      <c r="AM756" s="139"/>
      <c r="AN756" s="139"/>
      <c r="AO756" s="139"/>
      <c r="AP756" s="139"/>
      <c r="AQ756" s="139"/>
    </row>
    <row r="757" spans="1:43" ht="12.75" customHeight="1">
      <c r="A757" s="139"/>
      <c r="B757" s="139"/>
      <c r="C757" s="139"/>
      <c r="D757" s="139"/>
      <c r="E757" s="139"/>
      <c r="F757" s="139"/>
      <c r="G757" s="139"/>
      <c r="H757" s="139"/>
      <c r="I757" s="139"/>
      <c r="J757" s="139"/>
      <c r="K757" s="139"/>
      <c r="L757" s="139"/>
      <c r="M757" s="139"/>
      <c r="N757" s="139"/>
      <c r="O757" s="139"/>
      <c r="P757" s="139"/>
      <c r="Q757" s="139"/>
      <c r="R757" s="139"/>
      <c r="S757" s="139"/>
      <c r="T757" s="139"/>
      <c r="U757" s="139"/>
      <c r="V757" s="139"/>
      <c r="W757" s="139"/>
      <c r="X757" s="139"/>
      <c r="Y757" s="139"/>
      <c r="Z757" s="139"/>
      <c r="AA757" s="139"/>
      <c r="AB757" s="139"/>
      <c r="AC757" s="139"/>
      <c r="AD757" s="139"/>
      <c r="AE757" s="139"/>
      <c r="AF757" s="139"/>
      <c r="AG757" s="139"/>
      <c r="AH757" s="139"/>
      <c r="AI757" s="139"/>
      <c r="AJ757" s="139"/>
      <c r="AK757" s="139"/>
      <c r="AL757" s="139"/>
      <c r="AM757" s="139"/>
      <c r="AN757" s="139"/>
      <c r="AO757" s="139"/>
      <c r="AP757" s="139"/>
      <c r="AQ757" s="139"/>
    </row>
    <row r="758" spans="1:43" ht="12.75" customHeight="1">
      <c r="A758" s="139"/>
      <c r="B758" s="139"/>
      <c r="C758" s="139"/>
      <c r="D758" s="139"/>
      <c r="E758" s="139"/>
      <c r="F758" s="139"/>
      <c r="G758" s="139"/>
      <c r="H758" s="139"/>
      <c r="I758" s="139"/>
      <c r="J758" s="139"/>
      <c r="K758" s="139"/>
      <c r="L758" s="139"/>
      <c r="M758" s="139"/>
      <c r="N758" s="139"/>
      <c r="O758" s="139"/>
      <c r="P758" s="139"/>
      <c r="Q758" s="139"/>
      <c r="R758" s="139"/>
      <c r="S758" s="139"/>
      <c r="T758" s="139"/>
      <c r="U758" s="139"/>
      <c r="V758" s="139"/>
      <c r="W758" s="139"/>
      <c r="X758" s="139"/>
      <c r="Y758" s="139"/>
      <c r="Z758" s="139"/>
      <c r="AA758" s="139"/>
      <c r="AB758" s="139"/>
      <c r="AC758" s="139"/>
      <c r="AD758" s="139"/>
      <c r="AE758" s="139"/>
      <c r="AF758" s="139"/>
      <c r="AG758" s="139"/>
      <c r="AH758" s="139"/>
      <c r="AI758" s="139"/>
      <c r="AJ758" s="139"/>
      <c r="AK758" s="139"/>
      <c r="AL758" s="139"/>
      <c r="AM758" s="139"/>
      <c r="AN758" s="139"/>
      <c r="AO758" s="139"/>
      <c r="AP758" s="139"/>
      <c r="AQ758" s="139"/>
    </row>
    <row r="759" spans="1:43" ht="12.75" customHeight="1">
      <c r="A759" s="139"/>
      <c r="B759" s="139"/>
      <c r="C759" s="139"/>
      <c r="D759" s="139"/>
      <c r="E759" s="139"/>
      <c r="F759" s="139"/>
      <c r="G759" s="139"/>
      <c r="H759" s="139"/>
      <c r="I759" s="139"/>
      <c r="J759" s="139"/>
      <c r="K759" s="139"/>
      <c r="L759" s="139"/>
      <c r="M759" s="139"/>
      <c r="N759" s="139"/>
      <c r="O759" s="139"/>
      <c r="P759" s="139"/>
      <c r="Q759" s="139"/>
      <c r="R759" s="139"/>
      <c r="S759" s="139"/>
      <c r="T759" s="139"/>
      <c r="U759" s="139"/>
      <c r="V759" s="139"/>
      <c r="W759" s="139"/>
      <c r="X759" s="139"/>
      <c r="Y759" s="139"/>
      <c r="Z759" s="139"/>
      <c r="AA759" s="139"/>
      <c r="AB759" s="139"/>
      <c r="AC759" s="139"/>
      <c r="AD759" s="139"/>
      <c r="AE759" s="139"/>
      <c r="AF759" s="139"/>
      <c r="AG759" s="139"/>
      <c r="AH759" s="139"/>
      <c r="AI759" s="139"/>
      <c r="AJ759" s="139"/>
      <c r="AK759" s="139"/>
      <c r="AL759" s="139"/>
      <c r="AM759" s="139"/>
      <c r="AN759" s="139"/>
      <c r="AO759" s="139"/>
      <c r="AP759" s="139"/>
      <c r="AQ759" s="139"/>
    </row>
    <row r="760" spans="1:43" ht="12.75" customHeight="1">
      <c r="A760" s="139"/>
      <c r="B760" s="139"/>
      <c r="C760" s="139"/>
      <c r="D760" s="139"/>
      <c r="E760" s="139"/>
      <c r="F760" s="139"/>
      <c r="G760" s="139"/>
      <c r="H760" s="139"/>
      <c r="I760" s="139"/>
      <c r="J760" s="139"/>
      <c r="K760" s="139"/>
      <c r="L760" s="139"/>
      <c r="M760" s="139"/>
      <c r="N760" s="139"/>
      <c r="O760" s="139"/>
      <c r="P760" s="139"/>
      <c r="Q760" s="139"/>
      <c r="R760" s="139"/>
      <c r="S760" s="139"/>
      <c r="T760" s="139"/>
      <c r="U760" s="139"/>
      <c r="V760" s="139"/>
      <c r="W760" s="139"/>
      <c r="X760" s="139"/>
      <c r="Y760" s="139"/>
      <c r="Z760" s="139"/>
      <c r="AA760" s="139"/>
      <c r="AB760" s="139"/>
      <c r="AC760" s="139"/>
      <c r="AD760" s="139"/>
      <c r="AE760" s="139"/>
      <c r="AF760" s="139"/>
      <c r="AG760" s="139"/>
      <c r="AH760" s="139"/>
      <c r="AI760" s="139"/>
      <c r="AJ760" s="139"/>
      <c r="AK760" s="139"/>
      <c r="AL760" s="139"/>
      <c r="AM760" s="139"/>
      <c r="AN760" s="139"/>
      <c r="AO760" s="139"/>
      <c r="AP760" s="139"/>
      <c r="AQ760" s="139"/>
    </row>
    <row r="761" spans="1:43" ht="12.75" customHeight="1">
      <c r="A761" s="139"/>
      <c r="B761" s="139"/>
      <c r="C761" s="139"/>
      <c r="D761" s="139"/>
      <c r="E761" s="139"/>
      <c r="F761" s="139"/>
      <c r="G761" s="139"/>
      <c r="H761" s="139"/>
      <c r="I761" s="139"/>
      <c r="J761" s="139"/>
      <c r="K761" s="139"/>
      <c r="L761" s="139"/>
      <c r="M761" s="139"/>
      <c r="N761" s="139"/>
      <c r="O761" s="139"/>
      <c r="P761" s="139"/>
      <c r="Q761" s="139"/>
      <c r="R761" s="139"/>
      <c r="S761" s="139"/>
      <c r="T761" s="139"/>
      <c r="U761" s="139"/>
      <c r="V761" s="139"/>
      <c r="W761" s="139"/>
      <c r="X761" s="139"/>
      <c r="Y761" s="139"/>
      <c r="Z761" s="139"/>
      <c r="AA761" s="139"/>
      <c r="AB761" s="139"/>
      <c r="AC761" s="139"/>
      <c r="AD761" s="139"/>
      <c r="AE761" s="139"/>
      <c r="AF761" s="139"/>
      <c r="AG761" s="139"/>
      <c r="AH761" s="139"/>
      <c r="AI761" s="139"/>
      <c r="AJ761" s="139"/>
      <c r="AK761" s="139"/>
      <c r="AL761" s="139"/>
      <c r="AM761" s="139"/>
      <c r="AN761" s="139"/>
      <c r="AO761" s="139"/>
      <c r="AP761" s="139"/>
      <c r="AQ761" s="139"/>
    </row>
    <row r="762" spans="1:43" ht="12.75" customHeight="1">
      <c r="A762" s="139"/>
      <c r="B762" s="139"/>
      <c r="C762" s="139"/>
      <c r="D762" s="139"/>
      <c r="E762" s="139"/>
      <c r="F762" s="139"/>
      <c r="G762" s="139"/>
      <c r="H762" s="139"/>
      <c r="I762" s="139"/>
      <c r="J762" s="139"/>
      <c r="K762" s="139"/>
      <c r="L762" s="139"/>
      <c r="M762" s="139"/>
      <c r="N762" s="139"/>
      <c r="O762" s="139"/>
      <c r="P762" s="139"/>
      <c r="Q762" s="139"/>
      <c r="R762" s="139"/>
      <c r="S762" s="139"/>
      <c r="T762" s="139"/>
      <c r="U762" s="139"/>
      <c r="V762" s="139"/>
      <c r="W762" s="139"/>
      <c r="X762" s="139"/>
      <c r="Y762" s="139"/>
      <c r="Z762" s="139"/>
      <c r="AA762" s="139"/>
      <c r="AB762" s="139"/>
      <c r="AC762" s="139"/>
      <c r="AD762" s="139"/>
      <c r="AE762" s="139"/>
      <c r="AF762" s="139"/>
      <c r="AG762" s="139"/>
      <c r="AH762" s="139"/>
      <c r="AI762" s="139"/>
      <c r="AJ762" s="139"/>
      <c r="AK762" s="139"/>
      <c r="AL762" s="139"/>
      <c r="AM762" s="139"/>
      <c r="AN762" s="139"/>
      <c r="AO762" s="139"/>
      <c r="AP762" s="139"/>
      <c r="AQ762" s="139"/>
    </row>
    <row r="763" spans="1:43" ht="12.75" customHeight="1">
      <c r="A763" s="139"/>
      <c r="B763" s="139"/>
      <c r="C763" s="139"/>
      <c r="D763" s="139"/>
      <c r="E763" s="139"/>
      <c r="F763" s="139"/>
      <c r="G763" s="139"/>
      <c r="H763" s="139"/>
      <c r="I763" s="139"/>
      <c r="J763" s="139"/>
      <c r="K763" s="139"/>
      <c r="L763" s="139"/>
      <c r="M763" s="139"/>
      <c r="N763" s="139"/>
      <c r="O763" s="139"/>
      <c r="P763" s="139"/>
      <c r="Q763" s="139"/>
      <c r="R763" s="139"/>
      <c r="S763" s="139"/>
      <c r="T763" s="139"/>
      <c r="U763" s="139"/>
      <c r="V763" s="139"/>
      <c r="W763" s="139"/>
      <c r="X763" s="139"/>
      <c r="Y763" s="139"/>
      <c r="Z763" s="139"/>
      <c r="AA763" s="139"/>
      <c r="AB763" s="139"/>
      <c r="AC763" s="139"/>
      <c r="AD763" s="139"/>
      <c r="AE763" s="139"/>
      <c r="AF763" s="139"/>
      <c r="AG763" s="139"/>
      <c r="AH763" s="139"/>
      <c r="AI763" s="139"/>
      <c r="AJ763" s="139"/>
      <c r="AK763" s="139"/>
      <c r="AL763" s="139"/>
      <c r="AM763" s="139"/>
      <c r="AN763" s="139"/>
      <c r="AO763" s="139"/>
      <c r="AP763" s="139"/>
      <c r="AQ763" s="139"/>
    </row>
    <row r="764" spans="1:43" ht="12.75" customHeight="1">
      <c r="A764" s="139"/>
      <c r="B764" s="139"/>
      <c r="C764" s="139"/>
      <c r="D764" s="139"/>
      <c r="E764" s="139"/>
      <c r="F764" s="139"/>
      <c r="G764" s="139"/>
      <c r="H764" s="139"/>
      <c r="I764" s="139"/>
      <c r="J764" s="139"/>
      <c r="K764" s="139"/>
      <c r="L764" s="139"/>
      <c r="M764" s="139"/>
      <c r="N764" s="139"/>
      <c r="O764" s="139"/>
      <c r="P764" s="139"/>
      <c r="Q764" s="139"/>
      <c r="R764" s="139"/>
      <c r="S764" s="139"/>
      <c r="T764" s="139"/>
      <c r="U764" s="139"/>
      <c r="V764" s="139"/>
      <c r="W764" s="139"/>
      <c r="X764" s="139"/>
      <c r="Y764" s="139"/>
      <c r="Z764" s="139"/>
      <c r="AA764" s="139"/>
      <c r="AB764" s="139"/>
      <c r="AC764" s="139"/>
      <c r="AD764" s="139"/>
      <c r="AE764" s="139"/>
      <c r="AF764" s="139"/>
      <c r="AG764" s="139"/>
      <c r="AH764" s="139"/>
      <c r="AI764" s="139"/>
      <c r="AJ764" s="139"/>
      <c r="AK764" s="139"/>
      <c r="AL764" s="139"/>
      <c r="AM764" s="139"/>
      <c r="AN764" s="139"/>
      <c r="AO764" s="139"/>
      <c r="AP764" s="139"/>
      <c r="AQ764" s="139"/>
    </row>
    <row r="765" spans="1:43" ht="12.75" customHeight="1">
      <c r="A765" s="139"/>
      <c r="B765" s="139"/>
      <c r="C765" s="139"/>
      <c r="D765" s="139"/>
      <c r="E765" s="139"/>
      <c r="F765" s="139"/>
      <c r="G765" s="139"/>
      <c r="H765" s="139"/>
      <c r="I765" s="139"/>
      <c r="J765" s="139"/>
      <c r="K765" s="139"/>
      <c r="L765" s="139"/>
      <c r="M765" s="139"/>
      <c r="N765" s="139"/>
      <c r="O765" s="139"/>
      <c r="P765" s="139"/>
      <c r="Q765" s="139"/>
      <c r="R765" s="139"/>
      <c r="S765" s="139"/>
      <c r="T765" s="139"/>
      <c r="U765" s="139"/>
      <c r="V765" s="139"/>
      <c r="W765" s="139"/>
      <c r="X765" s="139"/>
      <c r="Y765" s="139"/>
      <c r="Z765" s="139"/>
      <c r="AA765" s="139"/>
      <c r="AB765" s="139"/>
      <c r="AC765" s="139"/>
      <c r="AD765" s="139"/>
      <c r="AE765" s="139"/>
      <c r="AF765" s="139"/>
      <c r="AG765" s="139"/>
      <c r="AH765" s="139"/>
      <c r="AI765" s="139"/>
      <c r="AJ765" s="139"/>
      <c r="AK765" s="139"/>
      <c r="AL765" s="139"/>
      <c r="AM765" s="139"/>
      <c r="AN765" s="139"/>
      <c r="AO765" s="139"/>
      <c r="AP765" s="139"/>
      <c r="AQ765" s="139"/>
    </row>
    <row r="766" spans="1:43" ht="12.75" customHeight="1">
      <c r="A766" s="139"/>
      <c r="B766" s="139"/>
      <c r="C766" s="139"/>
      <c r="D766" s="139"/>
      <c r="E766" s="139"/>
      <c r="F766" s="139"/>
      <c r="G766" s="139"/>
      <c r="H766" s="139"/>
      <c r="I766" s="139"/>
      <c r="J766" s="139"/>
      <c r="K766" s="139"/>
      <c r="L766" s="139"/>
      <c r="M766" s="139"/>
      <c r="N766" s="139"/>
      <c r="O766" s="139"/>
      <c r="P766" s="139"/>
      <c r="Q766" s="139"/>
      <c r="R766" s="139"/>
      <c r="S766" s="139"/>
      <c r="T766" s="139"/>
      <c r="U766" s="139"/>
      <c r="V766" s="139"/>
      <c r="W766" s="139"/>
      <c r="X766" s="139"/>
      <c r="Y766" s="139"/>
      <c r="Z766" s="139"/>
      <c r="AA766" s="139"/>
      <c r="AB766" s="139"/>
      <c r="AC766" s="139"/>
      <c r="AD766" s="139"/>
      <c r="AE766" s="139"/>
      <c r="AF766" s="139"/>
      <c r="AG766" s="139"/>
      <c r="AH766" s="139"/>
      <c r="AI766" s="139"/>
      <c r="AJ766" s="139"/>
      <c r="AK766" s="139"/>
      <c r="AL766" s="139"/>
      <c r="AM766" s="139"/>
      <c r="AN766" s="139"/>
      <c r="AO766" s="139"/>
      <c r="AP766" s="139"/>
      <c r="AQ766" s="139"/>
    </row>
    <row r="767" spans="1:43" ht="12.75" customHeight="1">
      <c r="A767" s="139"/>
      <c r="B767" s="139"/>
      <c r="C767" s="139"/>
      <c r="D767" s="139"/>
      <c r="E767" s="139"/>
      <c r="F767" s="139"/>
      <c r="G767" s="139"/>
      <c r="H767" s="139"/>
      <c r="I767" s="139"/>
      <c r="J767" s="139"/>
      <c r="K767" s="139"/>
      <c r="L767" s="139"/>
      <c r="M767" s="139"/>
      <c r="N767" s="139"/>
      <c r="O767" s="139"/>
      <c r="P767" s="139"/>
      <c r="Q767" s="139"/>
      <c r="R767" s="139"/>
      <c r="S767" s="139"/>
      <c r="T767" s="139"/>
      <c r="U767" s="139"/>
      <c r="V767" s="139"/>
      <c r="W767" s="139"/>
      <c r="X767" s="139"/>
      <c r="Y767" s="139"/>
      <c r="Z767" s="139"/>
      <c r="AA767" s="139"/>
      <c r="AB767" s="139"/>
      <c r="AC767" s="139"/>
      <c r="AD767" s="139"/>
      <c r="AE767" s="139"/>
      <c r="AF767" s="139"/>
      <c r="AG767" s="139"/>
      <c r="AH767" s="139"/>
      <c r="AI767" s="139"/>
      <c r="AJ767" s="139"/>
      <c r="AK767" s="139"/>
      <c r="AL767" s="139"/>
      <c r="AM767" s="139"/>
      <c r="AN767" s="139"/>
      <c r="AO767" s="139"/>
      <c r="AP767" s="139"/>
      <c r="AQ767" s="139"/>
    </row>
    <row r="768" spans="1:43" ht="12.75" customHeight="1">
      <c r="A768" s="139"/>
      <c r="B768" s="139"/>
      <c r="C768" s="139"/>
      <c r="D768" s="139"/>
      <c r="E768" s="139"/>
      <c r="F768" s="139"/>
      <c r="G768" s="139"/>
      <c r="H768" s="139"/>
      <c r="I768" s="139"/>
      <c r="J768" s="139"/>
      <c r="K768" s="139"/>
      <c r="L768" s="139"/>
      <c r="M768" s="139"/>
      <c r="N768" s="139"/>
      <c r="O768" s="139"/>
      <c r="P768" s="139"/>
      <c r="Q768" s="139"/>
      <c r="R768" s="139"/>
      <c r="S768" s="139"/>
      <c r="T768" s="139"/>
      <c r="U768" s="139"/>
      <c r="V768" s="139"/>
      <c r="W768" s="139"/>
      <c r="X768" s="139"/>
      <c r="Y768" s="139"/>
      <c r="Z768" s="139"/>
      <c r="AA768" s="139"/>
      <c r="AB768" s="139"/>
      <c r="AC768" s="139"/>
      <c r="AD768" s="139"/>
      <c r="AE768" s="139"/>
      <c r="AF768" s="139"/>
      <c r="AG768" s="139"/>
      <c r="AH768" s="139"/>
      <c r="AI768" s="139"/>
      <c r="AJ768" s="139"/>
      <c r="AK768" s="139"/>
      <c r="AL768" s="139"/>
      <c r="AM768" s="139"/>
      <c r="AN768" s="139"/>
      <c r="AO768" s="139"/>
      <c r="AP768" s="139"/>
      <c r="AQ768" s="139"/>
    </row>
    <row r="769" spans="1:43" ht="12.75" customHeight="1">
      <c r="A769" s="139"/>
      <c r="B769" s="139"/>
      <c r="C769" s="139"/>
      <c r="D769" s="139"/>
      <c r="E769" s="139"/>
      <c r="F769" s="139"/>
      <c r="G769" s="139"/>
      <c r="H769" s="139"/>
      <c r="I769" s="139"/>
      <c r="J769" s="139"/>
      <c r="K769" s="139"/>
      <c r="L769" s="139"/>
      <c r="M769" s="139"/>
      <c r="N769" s="139"/>
      <c r="O769" s="139"/>
      <c r="P769" s="139"/>
      <c r="Q769" s="139"/>
      <c r="R769" s="139"/>
      <c r="S769" s="139"/>
      <c r="T769" s="139"/>
      <c r="U769" s="139"/>
      <c r="V769" s="139"/>
      <c r="W769" s="139"/>
      <c r="X769" s="139"/>
      <c r="Y769" s="139"/>
      <c r="Z769" s="139"/>
      <c r="AA769" s="139"/>
      <c r="AB769" s="139"/>
      <c r="AC769" s="139"/>
      <c r="AD769" s="139"/>
      <c r="AE769" s="139"/>
      <c r="AF769" s="139"/>
      <c r="AG769" s="139"/>
      <c r="AH769" s="139"/>
      <c r="AI769" s="139"/>
      <c r="AJ769" s="139"/>
      <c r="AK769" s="139"/>
      <c r="AL769" s="139"/>
      <c r="AM769" s="139"/>
      <c r="AN769" s="139"/>
      <c r="AO769" s="139"/>
      <c r="AP769" s="139"/>
      <c r="AQ769" s="139"/>
    </row>
    <row r="770" spans="1:43" ht="12.75" customHeight="1">
      <c r="A770" s="139"/>
      <c r="B770" s="139"/>
      <c r="C770" s="139"/>
      <c r="D770" s="139"/>
      <c r="E770" s="139"/>
      <c r="F770" s="139"/>
      <c r="G770" s="139"/>
      <c r="H770" s="139"/>
      <c r="I770" s="139"/>
      <c r="J770" s="139"/>
      <c r="K770" s="139"/>
      <c r="L770" s="139"/>
      <c r="M770" s="139"/>
      <c r="N770" s="139"/>
      <c r="O770" s="139"/>
      <c r="P770" s="139"/>
      <c r="Q770" s="139"/>
      <c r="R770" s="139"/>
      <c r="S770" s="139"/>
      <c r="T770" s="139"/>
      <c r="U770" s="139"/>
      <c r="V770" s="139"/>
      <c r="W770" s="139"/>
      <c r="X770" s="139"/>
      <c r="Y770" s="139"/>
      <c r="Z770" s="139"/>
      <c r="AA770" s="139"/>
      <c r="AB770" s="139"/>
      <c r="AC770" s="139"/>
      <c r="AD770" s="139"/>
      <c r="AE770" s="139"/>
      <c r="AF770" s="139"/>
      <c r="AG770" s="139"/>
      <c r="AH770" s="139"/>
      <c r="AI770" s="139"/>
      <c r="AJ770" s="139"/>
      <c r="AK770" s="139"/>
      <c r="AL770" s="139"/>
      <c r="AM770" s="139"/>
      <c r="AN770" s="139"/>
      <c r="AO770" s="139"/>
      <c r="AP770" s="139"/>
      <c r="AQ770" s="139"/>
    </row>
    <row r="771" spans="1:43" ht="12.75" customHeight="1">
      <c r="A771" s="139"/>
      <c r="B771" s="139"/>
      <c r="C771" s="139"/>
      <c r="D771" s="139"/>
      <c r="E771" s="139"/>
      <c r="F771" s="139"/>
      <c r="G771" s="139"/>
      <c r="H771" s="139"/>
      <c r="I771" s="139"/>
      <c r="J771" s="139"/>
      <c r="K771" s="139"/>
      <c r="L771" s="139"/>
      <c r="M771" s="139"/>
      <c r="N771" s="139"/>
      <c r="O771" s="139"/>
      <c r="P771" s="139"/>
      <c r="Q771" s="139"/>
      <c r="R771" s="139"/>
      <c r="S771" s="139"/>
      <c r="T771" s="139"/>
      <c r="U771" s="139"/>
      <c r="V771" s="139"/>
      <c r="W771" s="139"/>
      <c r="X771" s="139"/>
      <c r="Y771" s="139"/>
      <c r="Z771" s="139"/>
      <c r="AA771" s="139"/>
      <c r="AB771" s="139"/>
      <c r="AC771" s="139"/>
      <c r="AD771" s="139"/>
      <c r="AE771" s="139"/>
      <c r="AF771" s="139"/>
      <c r="AG771" s="139"/>
      <c r="AH771" s="139"/>
      <c r="AI771" s="139"/>
      <c r="AJ771" s="139"/>
      <c r="AK771" s="139"/>
      <c r="AL771" s="139"/>
      <c r="AM771" s="139"/>
      <c r="AN771" s="139"/>
      <c r="AO771" s="139"/>
      <c r="AP771" s="139"/>
      <c r="AQ771" s="139"/>
    </row>
    <row r="772" spans="1:43" ht="12.75" customHeight="1">
      <c r="A772" s="139"/>
      <c r="B772" s="139"/>
      <c r="C772" s="139"/>
      <c r="D772" s="139"/>
      <c r="E772" s="139"/>
      <c r="F772" s="139"/>
      <c r="G772" s="139"/>
      <c r="H772" s="139"/>
      <c r="I772" s="139"/>
      <c r="J772" s="139"/>
      <c r="K772" s="139"/>
      <c r="L772" s="139"/>
      <c r="M772" s="139"/>
      <c r="N772" s="139"/>
      <c r="O772" s="139"/>
      <c r="P772" s="139"/>
      <c r="Q772" s="139"/>
      <c r="R772" s="139"/>
      <c r="S772" s="139"/>
      <c r="T772" s="139"/>
      <c r="U772" s="139"/>
      <c r="V772" s="139"/>
      <c r="W772" s="139"/>
      <c r="X772" s="139"/>
      <c r="Y772" s="139"/>
      <c r="Z772" s="139"/>
      <c r="AA772" s="139"/>
      <c r="AB772" s="139"/>
      <c r="AC772" s="139"/>
      <c r="AD772" s="139"/>
      <c r="AE772" s="139"/>
      <c r="AF772" s="139"/>
      <c r="AG772" s="139"/>
      <c r="AH772" s="139"/>
      <c r="AI772" s="139"/>
      <c r="AJ772" s="139"/>
      <c r="AK772" s="139"/>
      <c r="AL772" s="139"/>
      <c r="AM772" s="139"/>
      <c r="AN772" s="139"/>
      <c r="AO772" s="139"/>
      <c r="AP772" s="139"/>
      <c r="AQ772" s="139"/>
    </row>
    <row r="773" spans="1:43" ht="12.75" customHeight="1">
      <c r="A773" s="139"/>
      <c r="B773" s="139"/>
      <c r="C773" s="139"/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39"/>
      <c r="O773" s="139"/>
      <c r="P773" s="139"/>
      <c r="Q773" s="139"/>
      <c r="R773" s="139"/>
      <c r="S773" s="139"/>
      <c r="T773" s="139"/>
      <c r="U773" s="139"/>
      <c r="V773" s="139"/>
      <c r="W773" s="139"/>
      <c r="X773" s="139"/>
      <c r="Y773" s="139"/>
      <c r="Z773" s="139"/>
      <c r="AA773" s="139"/>
      <c r="AB773" s="139"/>
      <c r="AC773" s="139"/>
      <c r="AD773" s="139"/>
      <c r="AE773" s="139"/>
      <c r="AF773" s="139"/>
      <c r="AG773" s="139"/>
      <c r="AH773" s="139"/>
      <c r="AI773" s="139"/>
      <c r="AJ773" s="139"/>
      <c r="AK773" s="139"/>
      <c r="AL773" s="139"/>
      <c r="AM773" s="139"/>
      <c r="AN773" s="139"/>
      <c r="AO773" s="139"/>
      <c r="AP773" s="139"/>
      <c r="AQ773" s="139"/>
    </row>
    <row r="774" spans="1:43" ht="12.75" customHeight="1">
      <c r="A774" s="139"/>
      <c r="B774" s="139"/>
      <c r="C774" s="139"/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39"/>
      <c r="O774" s="139"/>
      <c r="P774" s="139"/>
      <c r="Q774" s="139"/>
      <c r="R774" s="139"/>
      <c r="S774" s="139"/>
      <c r="T774" s="139"/>
      <c r="U774" s="139"/>
      <c r="V774" s="139"/>
      <c r="W774" s="139"/>
      <c r="X774" s="139"/>
      <c r="Y774" s="139"/>
      <c r="Z774" s="139"/>
      <c r="AA774" s="139"/>
      <c r="AB774" s="139"/>
      <c r="AC774" s="139"/>
      <c r="AD774" s="139"/>
      <c r="AE774" s="139"/>
      <c r="AF774" s="139"/>
      <c r="AG774" s="139"/>
      <c r="AH774" s="139"/>
      <c r="AI774" s="139"/>
      <c r="AJ774" s="139"/>
      <c r="AK774" s="139"/>
      <c r="AL774" s="139"/>
      <c r="AM774" s="139"/>
      <c r="AN774" s="139"/>
      <c r="AO774" s="139"/>
      <c r="AP774" s="139"/>
      <c r="AQ774" s="139"/>
    </row>
    <row r="775" spans="1:43" ht="12.75" customHeight="1">
      <c r="A775" s="139"/>
      <c r="B775" s="139"/>
      <c r="C775" s="139"/>
      <c r="D775" s="139"/>
      <c r="E775" s="139"/>
      <c r="F775" s="139"/>
      <c r="G775" s="139"/>
      <c r="H775" s="139"/>
      <c r="I775" s="139"/>
      <c r="J775" s="139"/>
      <c r="K775" s="139"/>
      <c r="L775" s="139"/>
      <c r="M775" s="139"/>
      <c r="N775" s="139"/>
      <c r="O775" s="139"/>
      <c r="P775" s="139"/>
      <c r="Q775" s="139"/>
      <c r="R775" s="139"/>
      <c r="S775" s="139"/>
      <c r="T775" s="139"/>
      <c r="U775" s="139"/>
      <c r="V775" s="139"/>
      <c r="W775" s="139"/>
      <c r="X775" s="139"/>
      <c r="Y775" s="139"/>
      <c r="Z775" s="139"/>
      <c r="AA775" s="139"/>
      <c r="AB775" s="139"/>
      <c r="AC775" s="139"/>
      <c r="AD775" s="139"/>
      <c r="AE775" s="139"/>
      <c r="AF775" s="139"/>
      <c r="AG775" s="139"/>
      <c r="AH775" s="139"/>
      <c r="AI775" s="139"/>
      <c r="AJ775" s="139"/>
      <c r="AK775" s="139"/>
      <c r="AL775" s="139"/>
      <c r="AM775" s="139"/>
      <c r="AN775" s="139"/>
      <c r="AO775" s="139"/>
      <c r="AP775" s="139"/>
      <c r="AQ775" s="139"/>
    </row>
    <row r="776" spans="1:43" ht="12.75" customHeight="1">
      <c r="A776" s="139"/>
      <c r="B776" s="139"/>
      <c r="C776" s="139"/>
      <c r="D776" s="139"/>
      <c r="E776" s="139"/>
      <c r="F776" s="139"/>
      <c r="G776" s="139"/>
      <c r="H776" s="139"/>
      <c r="I776" s="139"/>
      <c r="J776" s="139"/>
      <c r="K776" s="139"/>
      <c r="L776" s="139"/>
      <c r="M776" s="139"/>
      <c r="N776" s="139"/>
      <c r="O776" s="139"/>
      <c r="P776" s="139"/>
      <c r="Q776" s="139"/>
      <c r="R776" s="139"/>
      <c r="S776" s="139"/>
      <c r="T776" s="139"/>
      <c r="U776" s="139"/>
      <c r="V776" s="139"/>
      <c r="W776" s="139"/>
      <c r="X776" s="139"/>
      <c r="Y776" s="139"/>
      <c r="Z776" s="139"/>
      <c r="AA776" s="139"/>
      <c r="AB776" s="139"/>
      <c r="AC776" s="139"/>
      <c r="AD776" s="139"/>
      <c r="AE776" s="139"/>
      <c r="AF776" s="139"/>
      <c r="AG776" s="139"/>
      <c r="AH776" s="139"/>
      <c r="AI776" s="139"/>
      <c r="AJ776" s="139"/>
      <c r="AK776" s="139"/>
      <c r="AL776" s="139"/>
      <c r="AM776" s="139"/>
      <c r="AN776" s="139"/>
      <c r="AO776" s="139"/>
      <c r="AP776" s="139"/>
      <c r="AQ776" s="139"/>
    </row>
    <row r="777" spans="1:43" ht="12.75" customHeight="1">
      <c r="A777" s="139"/>
      <c r="B777" s="139"/>
      <c r="C777" s="139"/>
      <c r="D777" s="139"/>
      <c r="E777" s="139"/>
      <c r="F777" s="139"/>
      <c r="G777" s="139"/>
      <c r="H777" s="139"/>
      <c r="I777" s="139"/>
      <c r="J777" s="139"/>
      <c r="K777" s="139"/>
      <c r="L777" s="139"/>
      <c r="M777" s="139"/>
      <c r="N777" s="139"/>
      <c r="O777" s="139"/>
      <c r="P777" s="139"/>
      <c r="Q777" s="139"/>
      <c r="R777" s="139"/>
      <c r="S777" s="139"/>
      <c r="T777" s="139"/>
      <c r="U777" s="139"/>
      <c r="V777" s="139"/>
      <c r="W777" s="139"/>
      <c r="X777" s="139"/>
      <c r="Y777" s="139"/>
      <c r="Z777" s="139"/>
      <c r="AA777" s="139"/>
      <c r="AB777" s="139"/>
      <c r="AC777" s="139"/>
      <c r="AD777" s="139"/>
      <c r="AE777" s="139"/>
      <c r="AF777" s="139"/>
      <c r="AG777" s="139"/>
      <c r="AH777" s="139"/>
      <c r="AI777" s="139"/>
      <c r="AJ777" s="139"/>
      <c r="AK777" s="139"/>
      <c r="AL777" s="139"/>
      <c r="AM777" s="139"/>
      <c r="AN777" s="139"/>
      <c r="AO777" s="139"/>
      <c r="AP777" s="139"/>
      <c r="AQ777" s="139"/>
    </row>
    <row r="778" spans="1:43" ht="12.75" customHeight="1">
      <c r="A778" s="139"/>
      <c r="B778" s="139"/>
      <c r="C778" s="139"/>
      <c r="D778" s="139"/>
      <c r="E778" s="139"/>
      <c r="F778" s="139"/>
      <c r="G778" s="139"/>
      <c r="H778" s="139"/>
      <c r="I778" s="139"/>
      <c r="J778" s="139"/>
      <c r="K778" s="139"/>
      <c r="L778" s="139"/>
      <c r="M778" s="139"/>
      <c r="N778" s="139"/>
      <c r="O778" s="139"/>
      <c r="P778" s="139"/>
      <c r="Q778" s="139"/>
      <c r="R778" s="139"/>
      <c r="S778" s="139"/>
      <c r="T778" s="139"/>
      <c r="U778" s="139"/>
      <c r="V778" s="139"/>
      <c r="W778" s="139"/>
      <c r="X778" s="139"/>
      <c r="Y778" s="139"/>
      <c r="Z778" s="139"/>
      <c r="AA778" s="139"/>
      <c r="AB778" s="139"/>
      <c r="AC778" s="139"/>
      <c r="AD778" s="139"/>
      <c r="AE778" s="139"/>
      <c r="AF778" s="139"/>
      <c r="AG778" s="139"/>
      <c r="AH778" s="139"/>
      <c r="AI778" s="139"/>
      <c r="AJ778" s="139"/>
      <c r="AK778" s="139"/>
      <c r="AL778" s="139"/>
      <c r="AM778" s="139"/>
      <c r="AN778" s="139"/>
      <c r="AO778" s="139"/>
      <c r="AP778" s="139"/>
      <c r="AQ778" s="139"/>
    </row>
    <row r="779" spans="1:43" ht="12.75" customHeight="1">
      <c r="A779" s="139"/>
      <c r="B779" s="139"/>
      <c r="C779" s="139"/>
      <c r="D779" s="139"/>
      <c r="E779" s="139"/>
      <c r="F779" s="139"/>
      <c r="G779" s="139"/>
      <c r="H779" s="139"/>
      <c r="I779" s="139"/>
      <c r="J779" s="139"/>
      <c r="K779" s="139"/>
      <c r="L779" s="139"/>
      <c r="M779" s="139"/>
      <c r="N779" s="139"/>
      <c r="O779" s="139"/>
      <c r="P779" s="139"/>
      <c r="Q779" s="139"/>
      <c r="R779" s="139"/>
      <c r="S779" s="139"/>
      <c r="T779" s="139"/>
      <c r="U779" s="139"/>
      <c r="V779" s="139"/>
      <c r="W779" s="139"/>
      <c r="X779" s="139"/>
      <c r="Y779" s="139"/>
      <c r="Z779" s="139"/>
      <c r="AA779" s="139"/>
      <c r="AB779" s="139"/>
      <c r="AC779" s="139"/>
      <c r="AD779" s="139"/>
      <c r="AE779" s="139"/>
      <c r="AF779" s="139"/>
      <c r="AG779" s="139"/>
      <c r="AH779" s="139"/>
      <c r="AI779" s="139"/>
      <c r="AJ779" s="139"/>
      <c r="AK779" s="139"/>
      <c r="AL779" s="139"/>
      <c r="AM779" s="139"/>
      <c r="AN779" s="139"/>
      <c r="AO779" s="139"/>
      <c r="AP779" s="139"/>
      <c r="AQ779" s="139"/>
    </row>
    <row r="780" spans="1:43" ht="12.75" customHeight="1">
      <c r="A780" s="139"/>
      <c r="B780" s="139"/>
      <c r="C780" s="139"/>
      <c r="D780" s="139"/>
      <c r="E780" s="139"/>
      <c r="F780" s="139"/>
      <c r="G780" s="139"/>
      <c r="H780" s="139"/>
      <c r="I780" s="139"/>
      <c r="J780" s="139"/>
      <c r="K780" s="139"/>
      <c r="L780" s="139"/>
      <c r="M780" s="139"/>
      <c r="N780" s="139"/>
      <c r="O780" s="139"/>
      <c r="P780" s="139"/>
      <c r="Q780" s="139"/>
      <c r="R780" s="139"/>
      <c r="S780" s="139"/>
      <c r="T780" s="139"/>
      <c r="U780" s="139"/>
      <c r="V780" s="139"/>
      <c r="W780" s="139"/>
      <c r="X780" s="139"/>
      <c r="Y780" s="139"/>
      <c r="Z780" s="139"/>
      <c r="AA780" s="139"/>
      <c r="AB780" s="139"/>
      <c r="AC780" s="139"/>
      <c r="AD780" s="139"/>
      <c r="AE780" s="139"/>
      <c r="AF780" s="139"/>
      <c r="AG780" s="139"/>
      <c r="AH780" s="139"/>
      <c r="AI780" s="139"/>
      <c r="AJ780" s="139"/>
      <c r="AK780" s="139"/>
      <c r="AL780" s="139"/>
      <c r="AM780" s="139"/>
      <c r="AN780" s="139"/>
      <c r="AO780" s="139"/>
      <c r="AP780" s="139"/>
      <c r="AQ780" s="139"/>
    </row>
    <row r="781" spans="1:43" ht="12.75" customHeight="1">
      <c r="A781" s="139"/>
      <c r="B781" s="139"/>
      <c r="C781" s="139"/>
      <c r="D781" s="139"/>
      <c r="E781" s="139"/>
      <c r="F781" s="139"/>
      <c r="G781" s="139"/>
      <c r="H781" s="139"/>
      <c r="I781" s="139"/>
      <c r="J781" s="139"/>
      <c r="K781" s="139"/>
      <c r="L781" s="139"/>
      <c r="M781" s="139"/>
      <c r="N781" s="139"/>
      <c r="O781" s="139"/>
      <c r="P781" s="139"/>
      <c r="Q781" s="139"/>
      <c r="R781" s="139"/>
      <c r="S781" s="139"/>
      <c r="T781" s="139"/>
      <c r="U781" s="139"/>
      <c r="V781" s="139"/>
      <c r="W781" s="139"/>
      <c r="X781" s="139"/>
      <c r="Y781" s="139"/>
      <c r="Z781" s="139"/>
      <c r="AA781" s="139"/>
      <c r="AB781" s="139"/>
      <c r="AC781" s="139"/>
      <c r="AD781" s="139"/>
      <c r="AE781" s="139"/>
      <c r="AF781" s="139"/>
      <c r="AG781" s="139"/>
      <c r="AH781" s="139"/>
      <c r="AI781" s="139"/>
      <c r="AJ781" s="139"/>
      <c r="AK781" s="139"/>
      <c r="AL781" s="139"/>
      <c r="AM781" s="139"/>
      <c r="AN781" s="139"/>
      <c r="AO781" s="139"/>
      <c r="AP781" s="139"/>
      <c r="AQ781" s="139"/>
    </row>
    <row r="782" spans="1:43" ht="12.75" customHeight="1">
      <c r="A782" s="139"/>
      <c r="B782" s="139"/>
      <c r="C782" s="139"/>
      <c r="D782" s="139"/>
      <c r="E782" s="139"/>
      <c r="F782" s="139"/>
      <c r="G782" s="139"/>
      <c r="H782" s="139"/>
      <c r="I782" s="139"/>
      <c r="J782" s="139"/>
      <c r="K782" s="139"/>
      <c r="L782" s="139"/>
      <c r="M782" s="139"/>
      <c r="N782" s="139"/>
      <c r="O782" s="139"/>
      <c r="P782" s="139"/>
      <c r="Q782" s="139"/>
      <c r="R782" s="139"/>
      <c r="S782" s="139"/>
      <c r="T782" s="139"/>
      <c r="U782" s="139"/>
      <c r="V782" s="139"/>
      <c r="W782" s="139"/>
      <c r="X782" s="139"/>
      <c r="Y782" s="139"/>
      <c r="Z782" s="139"/>
      <c r="AA782" s="139"/>
      <c r="AB782" s="139"/>
      <c r="AC782" s="139"/>
      <c r="AD782" s="139"/>
      <c r="AE782" s="139"/>
      <c r="AF782" s="139"/>
      <c r="AG782" s="139"/>
      <c r="AH782" s="139"/>
      <c r="AI782" s="139"/>
      <c r="AJ782" s="139"/>
      <c r="AK782" s="139"/>
      <c r="AL782" s="139"/>
      <c r="AM782" s="139"/>
      <c r="AN782" s="139"/>
      <c r="AO782" s="139"/>
      <c r="AP782" s="139"/>
      <c r="AQ782" s="139"/>
    </row>
    <row r="783" spans="1:43" ht="12.75" customHeight="1">
      <c r="A783" s="139"/>
      <c r="B783" s="139"/>
      <c r="C783" s="139"/>
      <c r="D783" s="139"/>
      <c r="E783" s="139"/>
      <c r="F783" s="139"/>
      <c r="G783" s="139"/>
      <c r="H783" s="139"/>
      <c r="I783" s="139"/>
      <c r="J783" s="139"/>
      <c r="K783" s="139"/>
      <c r="L783" s="139"/>
      <c r="M783" s="139"/>
      <c r="N783" s="139"/>
      <c r="O783" s="139"/>
      <c r="P783" s="139"/>
      <c r="Q783" s="139"/>
      <c r="R783" s="139"/>
      <c r="S783" s="139"/>
      <c r="T783" s="139"/>
      <c r="U783" s="139"/>
      <c r="V783" s="139"/>
      <c r="W783" s="139"/>
      <c r="X783" s="139"/>
      <c r="Y783" s="139"/>
      <c r="Z783" s="139"/>
      <c r="AA783" s="139"/>
      <c r="AB783" s="139"/>
      <c r="AC783" s="139"/>
      <c r="AD783" s="139"/>
      <c r="AE783" s="139"/>
      <c r="AF783" s="139"/>
      <c r="AG783" s="139"/>
      <c r="AH783" s="139"/>
      <c r="AI783" s="139"/>
      <c r="AJ783" s="139"/>
      <c r="AK783" s="139"/>
      <c r="AL783" s="139"/>
      <c r="AM783" s="139"/>
      <c r="AN783" s="139"/>
      <c r="AO783" s="139"/>
      <c r="AP783" s="139"/>
      <c r="AQ783" s="139"/>
    </row>
    <row r="784" spans="1:43" ht="12.75" customHeight="1">
      <c r="A784" s="139"/>
      <c r="B784" s="139"/>
      <c r="C784" s="139"/>
      <c r="D784" s="139"/>
      <c r="E784" s="139"/>
      <c r="F784" s="139"/>
      <c r="G784" s="139"/>
      <c r="H784" s="139"/>
      <c r="I784" s="139"/>
      <c r="J784" s="139"/>
      <c r="K784" s="139"/>
      <c r="L784" s="139"/>
      <c r="M784" s="139"/>
      <c r="N784" s="139"/>
      <c r="O784" s="139"/>
      <c r="P784" s="139"/>
      <c r="Q784" s="139"/>
      <c r="R784" s="139"/>
      <c r="S784" s="139"/>
      <c r="T784" s="139"/>
      <c r="U784" s="139"/>
      <c r="V784" s="139"/>
      <c r="W784" s="139"/>
      <c r="X784" s="139"/>
      <c r="Y784" s="139"/>
      <c r="Z784" s="139"/>
      <c r="AA784" s="139"/>
      <c r="AB784" s="139"/>
      <c r="AC784" s="139"/>
      <c r="AD784" s="139"/>
      <c r="AE784" s="139"/>
      <c r="AF784" s="139"/>
      <c r="AG784" s="139"/>
      <c r="AH784" s="139"/>
      <c r="AI784" s="139"/>
      <c r="AJ784" s="139"/>
      <c r="AK784" s="139"/>
      <c r="AL784" s="139"/>
      <c r="AM784" s="139"/>
      <c r="AN784" s="139"/>
      <c r="AO784" s="139"/>
      <c r="AP784" s="139"/>
      <c r="AQ784" s="139"/>
    </row>
    <row r="785" spans="1:43" ht="12.75" customHeight="1">
      <c r="A785" s="139"/>
      <c r="B785" s="139"/>
      <c r="C785" s="139"/>
      <c r="D785" s="139"/>
      <c r="E785" s="139"/>
      <c r="F785" s="139"/>
      <c r="G785" s="139"/>
      <c r="H785" s="139"/>
      <c r="I785" s="139"/>
      <c r="J785" s="139"/>
      <c r="K785" s="139"/>
      <c r="L785" s="139"/>
      <c r="M785" s="139"/>
      <c r="N785" s="139"/>
      <c r="O785" s="139"/>
      <c r="P785" s="139"/>
      <c r="Q785" s="139"/>
      <c r="R785" s="139"/>
      <c r="S785" s="139"/>
      <c r="T785" s="139"/>
      <c r="U785" s="139"/>
      <c r="V785" s="139"/>
      <c r="W785" s="139"/>
      <c r="X785" s="139"/>
      <c r="Y785" s="139"/>
      <c r="Z785" s="139"/>
      <c r="AA785" s="139"/>
      <c r="AB785" s="139"/>
      <c r="AC785" s="139"/>
      <c r="AD785" s="139"/>
      <c r="AE785" s="139"/>
      <c r="AF785" s="139"/>
      <c r="AG785" s="139"/>
      <c r="AH785" s="139"/>
      <c r="AI785" s="139"/>
      <c r="AJ785" s="139"/>
      <c r="AK785" s="139"/>
      <c r="AL785" s="139"/>
      <c r="AM785" s="139"/>
      <c r="AN785" s="139"/>
      <c r="AO785" s="139"/>
      <c r="AP785" s="139"/>
      <c r="AQ785" s="139"/>
    </row>
    <row r="786" spans="1:43" ht="12.75" customHeight="1">
      <c r="A786" s="139"/>
      <c r="B786" s="139"/>
      <c r="C786" s="139"/>
      <c r="D786" s="139"/>
      <c r="E786" s="139"/>
      <c r="F786" s="139"/>
      <c r="G786" s="139"/>
      <c r="H786" s="139"/>
      <c r="I786" s="139"/>
      <c r="J786" s="139"/>
      <c r="K786" s="139"/>
      <c r="L786" s="139"/>
      <c r="M786" s="139"/>
      <c r="N786" s="139"/>
      <c r="O786" s="139"/>
      <c r="P786" s="139"/>
      <c r="Q786" s="139"/>
      <c r="R786" s="139"/>
      <c r="S786" s="139"/>
      <c r="T786" s="139"/>
      <c r="U786" s="139"/>
      <c r="V786" s="139"/>
      <c r="W786" s="139"/>
      <c r="X786" s="139"/>
      <c r="Y786" s="139"/>
      <c r="Z786" s="139"/>
      <c r="AA786" s="139"/>
      <c r="AB786" s="139"/>
      <c r="AC786" s="139"/>
      <c r="AD786" s="139"/>
      <c r="AE786" s="139"/>
      <c r="AF786" s="139"/>
      <c r="AG786" s="139"/>
      <c r="AH786" s="139"/>
      <c r="AI786" s="139"/>
      <c r="AJ786" s="139"/>
      <c r="AK786" s="139"/>
      <c r="AL786" s="139"/>
      <c r="AM786" s="139"/>
      <c r="AN786" s="139"/>
      <c r="AO786" s="139"/>
      <c r="AP786" s="139"/>
      <c r="AQ786" s="139"/>
    </row>
    <row r="787" spans="1:43" ht="12.75" customHeight="1">
      <c r="A787" s="139"/>
      <c r="B787" s="139"/>
      <c r="C787" s="139"/>
      <c r="D787" s="139"/>
      <c r="E787" s="139"/>
      <c r="F787" s="139"/>
      <c r="G787" s="139"/>
      <c r="H787" s="139"/>
      <c r="I787" s="139"/>
      <c r="J787" s="139"/>
      <c r="K787" s="139"/>
      <c r="L787" s="139"/>
      <c r="M787" s="139"/>
      <c r="N787" s="139"/>
      <c r="O787" s="139"/>
      <c r="P787" s="139"/>
      <c r="Q787" s="139"/>
      <c r="R787" s="139"/>
      <c r="S787" s="139"/>
      <c r="T787" s="139"/>
      <c r="U787" s="139"/>
      <c r="V787" s="139"/>
      <c r="W787" s="139"/>
      <c r="X787" s="139"/>
      <c r="Y787" s="139"/>
      <c r="Z787" s="139"/>
      <c r="AA787" s="139"/>
      <c r="AB787" s="139"/>
      <c r="AC787" s="139"/>
      <c r="AD787" s="139"/>
      <c r="AE787" s="139"/>
      <c r="AF787" s="139"/>
      <c r="AG787" s="139"/>
      <c r="AH787" s="139"/>
      <c r="AI787" s="139"/>
      <c r="AJ787" s="139"/>
      <c r="AK787" s="139"/>
      <c r="AL787" s="139"/>
      <c r="AM787" s="139"/>
      <c r="AN787" s="139"/>
      <c r="AO787" s="139"/>
      <c r="AP787" s="139"/>
      <c r="AQ787" s="139"/>
    </row>
    <row r="788" spans="1:43" ht="12.75" customHeight="1">
      <c r="A788" s="139"/>
      <c r="B788" s="139"/>
      <c r="C788" s="139"/>
      <c r="D788" s="139"/>
      <c r="E788" s="139"/>
      <c r="F788" s="139"/>
      <c r="G788" s="139"/>
      <c r="H788" s="139"/>
      <c r="I788" s="139"/>
      <c r="J788" s="139"/>
      <c r="K788" s="139"/>
      <c r="L788" s="139"/>
      <c r="M788" s="139"/>
      <c r="N788" s="139"/>
      <c r="O788" s="139"/>
      <c r="P788" s="139"/>
      <c r="Q788" s="139"/>
      <c r="R788" s="139"/>
      <c r="S788" s="139"/>
      <c r="T788" s="139"/>
      <c r="U788" s="139"/>
      <c r="V788" s="139"/>
      <c r="W788" s="139"/>
      <c r="X788" s="139"/>
      <c r="Y788" s="139"/>
      <c r="Z788" s="139"/>
      <c r="AA788" s="139"/>
      <c r="AB788" s="139"/>
      <c r="AC788" s="139"/>
      <c r="AD788" s="139"/>
      <c r="AE788" s="139"/>
      <c r="AF788" s="139"/>
      <c r="AG788" s="139"/>
      <c r="AH788" s="139"/>
      <c r="AI788" s="139"/>
      <c r="AJ788" s="139"/>
      <c r="AK788" s="139"/>
      <c r="AL788" s="139"/>
      <c r="AM788" s="139"/>
      <c r="AN788" s="139"/>
      <c r="AO788" s="139"/>
      <c r="AP788" s="139"/>
      <c r="AQ788" s="139"/>
    </row>
    <row r="789" spans="1:43" ht="12.75" customHeight="1">
      <c r="A789" s="139"/>
      <c r="B789" s="139"/>
      <c r="C789" s="139"/>
      <c r="D789" s="139"/>
      <c r="E789" s="139"/>
      <c r="F789" s="139"/>
      <c r="G789" s="139"/>
      <c r="H789" s="139"/>
      <c r="I789" s="139"/>
      <c r="J789" s="139"/>
      <c r="K789" s="139"/>
      <c r="L789" s="139"/>
      <c r="M789" s="139"/>
      <c r="N789" s="139"/>
      <c r="O789" s="139"/>
      <c r="P789" s="139"/>
      <c r="Q789" s="139"/>
      <c r="R789" s="139"/>
      <c r="S789" s="139"/>
      <c r="T789" s="139"/>
      <c r="U789" s="139"/>
      <c r="V789" s="139"/>
      <c r="W789" s="139"/>
      <c r="X789" s="139"/>
      <c r="Y789" s="139"/>
      <c r="Z789" s="139"/>
      <c r="AA789" s="139"/>
      <c r="AB789" s="139"/>
      <c r="AC789" s="139"/>
      <c r="AD789" s="139"/>
      <c r="AE789" s="139"/>
      <c r="AF789" s="139"/>
      <c r="AG789" s="139"/>
      <c r="AH789" s="139"/>
      <c r="AI789" s="139"/>
      <c r="AJ789" s="139"/>
      <c r="AK789" s="139"/>
      <c r="AL789" s="139"/>
      <c r="AM789" s="139"/>
      <c r="AN789" s="139"/>
      <c r="AO789" s="139"/>
      <c r="AP789" s="139"/>
      <c r="AQ789" s="139"/>
    </row>
    <row r="790" spans="1:43" ht="12.75" customHeight="1">
      <c r="A790" s="139"/>
      <c r="B790" s="139"/>
      <c r="C790" s="139"/>
      <c r="D790" s="139"/>
      <c r="E790" s="139"/>
      <c r="F790" s="139"/>
      <c r="G790" s="139"/>
      <c r="H790" s="139"/>
      <c r="I790" s="139"/>
      <c r="J790" s="139"/>
      <c r="K790" s="139"/>
      <c r="L790" s="139"/>
      <c r="M790" s="139"/>
      <c r="N790" s="139"/>
      <c r="O790" s="139"/>
      <c r="P790" s="139"/>
      <c r="Q790" s="139"/>
      <c r="R790" s="139"/>
      <c r="S790" s="139"/>
      <c r="T790" s="139"/>
      <c r="U790" s="139"/>
      <c r="V790" s="139"/>
      <c r="W790" s="139"/>
      <c r="X790" s="139"/>
      <c r="Y790" s="139"/>
      <c r="Z790" s="139"/>
      <c r="AA790" s="139"/>
      <c r="AB790" s="139"/>
      <c r="AC790" s="139"/>
      <c r="AD790" s="139"/>
      <c r="AE790" s="139"/>
      <c r="AF790" s="139"/>
      <c r="AG790" s="139"/>
      <c r="AH790" s="139"/>
      <c r="AI790" s="139"/>
      <c r="AJ790" s="139"/>
      <c r="AK790" s="139"/>
      <c r="AL790" s="139"/>
      <c r="AM790" s="139"/>
      <c r="AN790" s="139"/>
      <c r="AO790" s="139"/>
      <c r="AP790" s="139"/>
      <c r="AQ790" s="139"/>
    </row>
    <row r="791" spans="1:43" ht="12.75" customHeight="1">
      <c r="A791" s="139"/>
      <c r="B791" s="139"/>
      <c r="C791" s="139"/>
      <c r="D791" s="139"/>
      <c r="E791" s="139"/>
      <c r="F791" s="139"/>
      <c r="G791" s="139"/>
      <c r="H791" s="139"/>
      <c r="I791" s="139"/>
      <c r="J791" s="139"/>
      <c r="K791" s="139"/>
      <c r="L791" s="139"/>
      <c r="M791" s="139"/>
      <c r="N791" s="139"/>
      <c r="O791" s="139"/>
      <c r="P791" s="139"/>
      <c r="Q791" s="139"/>
      <c r="R791" s="139"/>
      <c r="S791" s="139"/>
      <c r="T791" s="139"/>
      <c r="U791" s="139"/>
      <c r="V791" s="139"/>
      <c r="W791" s="139"/>
      <c r="X791" s="139"/>
      <c r="Y791" s="139"/>
      <c r="Z791" s="139"/>
      <c r="AA791" s="139"/>
      <c r="AB791" s="139"/>
      <c r="AC791" s="139"/>
      <c r="AD791" s="139"/>
      <c r="AE791" s="139"/>
      <c r="AF791" s="139"/>
      <c r="AG791" s="139"/>
      <c r="AH791" s="139"/>
      <c r="AI791" s="139"/>
      <c r="AJ791" s="139"/>
      <c r="AK791" s="139"/>
      <c r="AL791" s="139"/>
      <c r="AM791" s="139"/>
      <c r="AN791" s="139"/>
      <c r="AO791" s="139"/>
      <c r="AP791" s="139"/>
      <c r="AQ791" s="139"/>
    </row>
    <row r="792" spans="1:43" ht="12.75" customHeight="1">
      <c r="A792" s="139"/>
      <c r="B792" s="139"/>
      <c r="C792" s="139"/>
      <c r="D792" s="139"/>
      <c r="E792" s="139"/>
      <c r="F792" s="139"/>
      <c r="G792" s="139"/>
      <c r="H792" s="139"/>
      <c r="I792" s="139"/>
      <c r="J792" s="139"/>
      <c r="K792" s="139"/>
      <c r="L792" s="139"/>
      <c r="M792" s="139"/>
      <c r="N792" s="139"/>
      <c r="O792" s="139"/>
      <c r="P792" s="139"/>
      <c r="Q792" s="139"/>
      <c r="R792" s="139"/>
      <c r="S792" s="139"/>
      <c r="T792" s="139"/>
      <c r="U792" s="139"/>
      <c r="V792" s="139"/>
      <c r="W792" s="139"/>
      <c r="X792" s="139"/>
      <c r="Y792" s="139"/>
      <c r="Z792" s="139"/>
      <c r="AA792" s="139"/>
      <c r="AB792" s="139"/>
      <c r="AC792" s="139"/>
      <c r="AD792" s="139"/>
      <c r="AE792" s="139"/>
      <c r="AF792" s="139"/>
      <c r="AG792" s="139"/>
      <c r="AH792" s="139"/>
      <c r="AI792" s="139"/>
      <c r="AJ792" s="139"/>
      <c r="AK792" s="139"/>
      <c r="AL792" s="139"/>
      <c r="AM792" s="139"/>
      <c r="AN792" s="139"/>
      <c r="AO792" s="139"/>
      <c r="AP792" s="139"/>
      <c r="AQ792" s="139"/>
    </row>
    <row r="793" spans="1:43" ht="12.75" customHeight="1">
      <c r="A793" s="139"/>
      <c r="B793" s="139"/>
      <c r="C793" s="139"/>
      <c r="D793" s="139"/>
      <c r="E793" s="139"/>
      <c r="F793" s="139"/>
      <c r="G793" s="139"/>
      <c r="H793" s="139"/>
      <c r="I793" s="139"/>
      <c r="J793" s="139"/>
      <c r="K793" s="139"/>
      <c r="L793" s="139"/>
      <c r="M793" s="139"/>
      <c r="N793" s="139"/>
      <c r="O793" s="139"/>
      <c r="P793" s="139"/>
      <c r="Q793" s="139"/>
      <c r="R793" s="139"/>
      <c r="S793" s="139"/>
      <c r="T793" s="139"/>
      <c r="U793" s="139"/>
      <c r="V793" s="139"/>
      <c r="W793" s="139"/>
      <c r="X793" s="139"/>
      <c r="Y793" s="139"/>
      <c r="Z793" s="139"/>
      <c r="AA793" s="139"/>
      <c r="AB793" s="139"/>
      <c r="AC793" s="139"/>
      <c r="AD793" s="139"/>
      <c r="AE793" s="139"/>
      <c r="AF793" s="139"/>
      <c r="AG793" s="139"/>
      <c r="AH793" s="139"/>
      <c r="AI793" s="139"/>
      <c r="AJ793" s="139"/>
      <c r="AK793" s="139"/>
      <c r="AL793" s="139"/>
      <c r="AM793" s="139"/>
      <c r="AN793" s="139"/>
      <c r="AO793" s="139"/>
      <c r="AP793" s="139"/>
      <c r="AQ793" s="139"/>
    </row>
    <row r="794" spans="1:43" ht="12.75" customHeight="1">
      <c r="A794" s="139"/>
      <c r="B794" s="139"/>
      <c r="C794" s="139"/>
      <c r="D794" s="139"/>
      <c r="E794" s="139"/>
      <c r="F794" s="139"/>
      <c r="G794" s="139"/>
      <c r="H794" s="139"/>
      <c r="I794" s="139"/>
      <c r="J794" s="139"/>
      <c r="K794" s="139"/>
      <c r="L794" s="139"/>
      <c r="M794" s="139"/>
      <c r="N794" s="139"/>
      <c r="O794" s="139"/>
      <c r="P794" s="139"/>
      <c r="Q794" s="139"/>
      <c r="R794" s="139"/>
      <c r="S794" s="139"/>
      <c r="T794" s="139"/>
      <c r="U794" s="139"/>
      <c r="V794" s="139"/>
      <c r="W794" s="139"/>
      <c r="X794" s="139"/>
      <c r="Y794" s="139"/>
      <c r="Z794" s="139"/>
      <c r="AA794" s="139"/>
      <c r="AB794" s="139"/>
      <c r="AC794" s="139"/>
      <c r="AD794" s="139"/>
      <c r="AE794" s="139"/>
      <c r="AF794" s="139"/>
      <c r="AG794" s="139"/>
      <c r="AH794" s="139"/>
      <c r="AI794" s="139"/>
      <c r="AJ794" s="139"/>
      <c r="AK794" s="139"/>
      <c r="AL794" s="139"/>
      <c r="AM794" s="139"/>
      <c r="AN794" s="139"/>
      <c r="AO794" s="139"/>
      <c r="AP794" s="139"/>
      <c r="AQ794" s="139"/>
    </row>
    <row r="795" spans="1:43" ht="12.75" customHeight="1">
      <c r="A795" s="139"/>
      <c r="B795" s="139"/>
      <c r="C795" s="139"/>
      <c r="D795" s="139"/>
      <c r="E795" s="139"/>
      <c r="F795" s="139"/>
      <c r="G795" s="139"/>
      <c r="H795" s="139"/>
      <c r="I795" s="139"/>
      <c r="J795" s="139"/>
      <c r="K795" s="139"/>
      <c r="L795" s="139"/>
      <c r="M795" s="139"/>
      <c r="N795" s="139"/>
      <c r="O795" s="139"/>
      <c r="P795" s="139"/>
      <c r="Q795" s="139"/>
      <c r="R795" s="139"/>
      <c r="S795" s="139"/>
      <c r="T795" s="139"/>
      <c r="U795" s="139"/>
      <c r="V795" s="139"/>
      <c r="W795" s="139"/>
      <c r="X795" s="139"/>
      <c r="Y795" s="139"/>
      <c r="Z795" s="139"/>
      <c r="AA795" s="139"/>
      <c r="AB795" s="139"/>
      <c r="AC795" s="139"/>
      <c r="AD795" s="139"/>
      <c r="AE795" s="139"/>
      <c r="AF795" s="139"/>
      <c r="AG795" s="139"/>
      <c r="AH795" s="139"/>
      <c r="AI795" s="139"/>
      <c r="AJ795" s="139"/>
      <c r="AK795" s="139"/>
      <c r="AL795" s="139"/>
      <c r="AM795" s="139"/>
      <c r="AN795" s="139"/>
      <c r="AO795" s="139"/>
      <c r="AP795" s="139"/>
      <c r="AQ795" s="139"/>
    </row>
    <row r="796" spans="1:43" ht="12.75" customHeight="1">
      <c r="A796" s="139"/>
      <c r="B796" s="139"/>
      <c r="C796" s="139"/>
      <c r="D796" s="139"/>
      <c r="E796" s="139"/>
      <c r="F796" s="139"/>
      <c r="G796" s="139"/>
      <c r="H796" s="139"/>
      <c r="I796" s="139"/>
      <c r="J796" s="139"/>
      <c r="K796" s="139"/>
      <c r="L796" s="139"/>
      <c r="M796" s="139"/>
      <c r="N796" s="139"/>
      <c r="O796" s="139"/>
      <c r="P796" s="139"/>
      <c r="Q796" s="139"/>
      <c r="R796" s="139"/>
      <c r="S796" s="139"/>
      <c r="T796" s="139"/>
      <c r="U796" s="139"/>
      <c r="V796" s="139"/>
      <c r="W796" s="139"/>
      <c r="X796" s="139"/>
      <c r="Y796" s="139"/>
      <c r="Z796" s="139"/>
      <c r="AA796" s="139"/>
      <c r="AB796" s="139"/>
      <c r="AC796" s="139"/>
      <c r="AD796" s="139"/>
      <c r="AE796" s="139"/>
      <c r="AF796" s="139"/>
      <c r="AG796" s="139"/>
      <c r="AH796" s="139"/>
      <c r="AI796" s="139"/>
      <c r="AJ796" s="139"/>
      <c r="AK796" s="139"/>
      <c r="AL796" s="139"/>
      <c r="AM796" s="139"/>
      <c r="AN796" s="139"/>
      <c r="AO796" s="139"/>
      <c r="AP796" s="139"/>
      <c r="AQ796" s="139"/>
    </row>
    <row r="797" spans="1:43" ht="12.75" customHeight="1">
      <c r="A797" s="139"/>
      <c r="B797" s="139"/>
      <c r="C797" s="139"/>
      <c r="D797" s="139"/>
      <c r="E797" s="139"/>
      <c r="F797" s="139"/>
      <c r="G797" s="139"/>
      <c r="H797" s="139"/>
      <c r="I797" s="139"/>
      <c r="J797" s="139"/>
      <c r="K797" s="139"/>
      <c r="L797" s="139"/>
      <c r="M797" s="139"/>
      <c r="N797" s="139"/>
      <c r="O797" s="139"/>
      <c r="P797" s="139"/>
      <c r="Q797" s="139"/>
      <c r="R797" s="139"/>
      <c r="S797" s="139"/>
      <c r="T797" s="139"/>
      <c r="U797" s="139"/>
      <c r="V797" s="139"/>
      <c r="W797" s="139"/>
      <c r="X797" s="139"/>
      <c r="Y797" s="139"/>
      <c r="Z797" s="139"/>
      <c r="AA797" s="139"/>
      <c r="AB797" s="139"/>
      <c r="AC797" s="139"/>
      <c r="AD797" s="139"/>
      <c r="AE797" s="139"/>
      <c r="AF797" s="139"/>
      <c r="AG797" s="139"/>
      <c r="AH797" s="139"/>
      <c r="AI797" s="139"/>
      <c r="AJ797" s="139"/>
      <c r="AK797" s="139"/>
      <c r="AL797" s="139"/>
      <c r="AM797" s="139"/>
      <c r="AN797" s="139"/>
      <c r="AO797" s="139"/>
      <c r="AP797" s="139"/>
      <c r="AQ797" s="139"/>
    </row>
    <row r="798" spans="1:43" ht="12.75" customHeight="1">
      <c r="A798" s="139"/>
      <c r="B798" s="139"/>
      <c r="C798" s="139"/>
      <c r="D798" s="139"/>
      <c r="E798" s="139"/>
      <c r="F798" s="139"/>
      <c r="G798" s="139"/>
      <c r="H798" s="139"/>
      <c r="I798" s="139"/>
      <c r="J798" s="139"/>
      <c r="K798" s="139"/>
      <c r="L798" s="139"/>
      <c r="M798" s="139"/>
      <c r="N798" s="139"/>
      <c r="O798" s="139"/>
      <c r="P798" s="139"/>
      <c r="Q798" s="139"/>
      <c r="R798" s="139"/>
      <c r="S798" s="139"/>
      <c r="T798" s="139"/>
      <c r="U798" s="139"/>
      <c r="V798" s="139"/>
      <c r="W798" s="139"/>
      <c r="X798" s="139"/>
      <c r="Y798" s="139"/>
      <c r="Z798" s="139"/>
      <c r="AA798" s="139"/>
      <c r="AB798" s="139"/>
      <c r="AC798" s="139"/>
      <c r="AD798" s="139"/>
      <c r="AE798" s="139"/>
      <c r="AF798" s="139"/>
      <c r="AG798" s="139"/>
      <c r="AH798" s="139"/>
      <c r="AI798" s="139"/>
      <c r="AJ798" s="139"/>
      <c r="AK798" s="139"/>
      <c r="AL798" s="139"/>
      <c r="AM798" s="139"/>
      <c r="AN798" s="139"/>
      <c r="AO798" s="139"/>
      <c r="AP798" s="139"/>
      <c r="AQ798" s="139"/>
    </row>
    <row r="799" spans="1:43" ht="12.75" customHeight="1">
      <c r="A799" s="139"/>
      <c r="B799" s="139"/>
      <c r="C799" s="139"/>
      <c r="D799" s="139"/>
      <c r="E799" s="139"/>
      <c r="F799" s="139"/>
      <c r="G799" s="139"/>
      <c r="H799" s="139"/>
      <c r="I799" s="139"/>
      <c r="J799" s="139"/>
      <c r="K799" s="139"/>
      <c r="L799" s="139"/>
      <c r="M799" s="139"/>
      <c r="N799" s="139"/>
      <c r="O799" s="139"/>
      <c r="P799" s="139"/>
      <c r="Q799" s="139"/>
      <c r="R799" s="139"/>
      <c r="S799" s="139"/>
      <c r="T799" s="139"/>
      <c r="U799" s="139"/>
      <c r="V799" s="139"/>
      <c r="W799" s="139"/>
      <c r="X799" s="139"/>
      <c r="Y799" s="139"/>
      <c r="Z799" s="139"/>
      <c r="AA799" s="139"/>
      <c r="AB799" s="139"/>
      <c r="AC799" s="139"/>
      <c r="AD799" s="139"/>
      <c r="AE799" s="139"/>
      <c r="AF799" s="139"/>
      <c r="AG799" s="139"/>
      <c r="AH799" s="139"/>
      <c r="AI799" s="139"/>
      <c r="AJ799" s="139"/>
      <c r="AK799" s="139"/>
      <c r="AL799" s="139"/>
      <c r="AM799" s="139"/>
      <c r="AN799" s="139"/>
      <c r="AO799" s="139"/>
      <c r="AP799" s="139"/>
      <c r="AQ799" s="139"/>
    </row>
    <row r="800" spans="1:43" ht="12.75" customHeight="1">
      <c r="A800" s="139"/>
      <c r="B800" s="139"/>
      <c r="C800" s="139"/>
      <c r="D800" s="139"/>
      <c r="E800" s="139"/>
      <c r="F800" s="139"/>
      <c r="G800" s="139"/>
      <c r="H800" s="139"/>
      <c r="I800" s="139"/>
      <c r="J800" s="139"/>
      <c r="K800" s="139"/>
      <c r="L800" s="139"/>
      <c r="M800" s="139"/>
      <c r="N800" s="139"/>
      <c r="O800" s="139"/>
      <c r="P800" s="139"/>
      <c r="Q800" s="139"/>
      <c r="R800" s="139"/>
      <c r="S800" s="139"/>
      <c r="T800" s="139"/>
      <c r="U800" s="139"/>
      <c r="V800" s="139"/>
      <c r="W800" s="139"/>
      <c r="X800" s="139"/>
      <c r="Y800" s="139"/>
      <c r="Z800" s="139"/>
      <c r="AA800" s="139"/>
      <c r="AB800" s="139"/>
      <c r="AC800" s="139"/>
      <c r="AD800" s="139"/>
      <c r="AE800" s="139"/>
      <c r="AF800" s="139"/>
      <c r="AG800" s="139"/>
      <c r="AH800" s="139"/>
      <c r="AI800" s="139"/>
      <c r="AJ800" s="139"/>
      <c r="AK800" s="139"/>
      <c r="AL800" s="139"/>
      <c r="AM800" s="139"/>
      <c r="AN800" s="139"/>
      <c r="AO800" s="139"/>
      <c r="AP800" s="139"/>
      <c r="AQ800" s="139"/>
    </row>
    <row r="801" spans="1:43" ht="12.75" customHeight="1">
      <c r="A801" s="139"/>
      <c r="B801" s="139"/>
      <c r="C801" s="139"/>
      <c r="D801" s="139"/>
      <c r="E801" s="139"/>
      <c r="F801" s="139"/>
      <c r="G801" s="139"/>
      <c r="H801" s="139"/>
      <c r="I801" s="139"/>
      <c r="J801" s="139"/>
      <c r="K801" s="139"/>
      <c r="L801" s="139"/>
      <c r="M801" s="139"/>
      <c r="N801" s="139"/>
      <c r="O801" s="139"/>
      <c r="P801" s="139"/>
      <c r="Q801" s="139"/>
      <c r="R801" s="139"/>
      <c r="S801" s="139"/>
      <c r="T801" s="139"/>
      <c r="U801" s="139"/>
      <c r="V801" s="139"/>
      <c r="W801" s="139"/>
      <c r="X801" s="139"/>
      <c r="Y801" s="139"/>
      <c r="Z801" s="139"/>
      <c r="AA801" s="139"/>
      <c r="AB801" s="139"/>
      <c r="AC801" s="139"/>
      <c r="AD801" s="139"/>
      <c r="AE801" s="139"/>
      <c r="AF801" s="139"/>
      <c r="AG801" s="139"/>
      <c r="AH801" s="139"/>
      <c r="AI801" s="139"/>
      <c r="AJ801" s="139"/>
      <c r="AK801" s="139"/>
      <c r="AL801" s="139"/>
      <c r="AM801" s="139"/>
      <c r="AN801" s="139"/>
      <c r="AO801" s="139"/>
      <c r="AP801" s="139"/>
      <c r="AQ801" s="139"/>
    </row>
    <row r="802" spans="1:43" ht="12.75" customHeight="1">
      <c r="A802" s="139"/>
      <c r="B802" s="139"/>
      <c r="C802" s="139"/>
      <c r="D802" s="139"/>
      <c r="E802" s="139"/>
      <c r="F802" s="139"/>
      <c r="G802" s="139"/>
      <c r="H802" s="139"/>
      <c r="I802" s="139"/>
      <c r="J802" s="139"/>
      <c r="K802" s="139"/>
      <c r="L802" s="139"/>
      <c r="M802" s="139"/>
      <c r="N802" s="139"/>
      <c r="O802" s="139"/>
      <c r="P802" s="139"/>
      <c r="Q802" s="139"/>
      <c r="R802" s="139"/>
      <c r="S802" s="139"/>
      <c r="T802" s="139"/>
      <c r="U802" s="139"/>
      <c r="V802" s="139"/>
      <c r="W802" s="139"/>
      <c r="X802" s="139"/>
      <c r="Y802" s="139"/>
      <c r="Z802" s="139"/>
      <c r="AA802" s="139"/>
      <c r="AB802" s="139"/>
      <c r="AC802" s="139"/>
      <c r="AD802" s="139"/>
      <c r="AE802" s="139"/>
      <c r="AF802" s="139"/>
      <c r="AG802" s="139"/>
      <c r="AH802" s="139"/>
      <c r="AI802" s="139"/>
      <c r="AJ802" s="139"/>
      <c r="AK802" s="139"/>
      <c r="AL802" s="139"/>
      <c r="AM802" s="139"/>
      <c r="AN802" s="139"/>
      <c r="AO802" s="139"/>
      <c r="AP802" s="139"/>
      <c r="AQ802" s="139"/>
    </row>
    <row r="803" spans="1:43" ht="12.75" customHeight="1">
      <c r="A803" s="139"/>
      <c r="B803" s="139"/>
      <c r="C803" s="139"/>
      <c r="D803" s="139"/>
      <c r="E803" s="139"/>
      <c r="F803" s="139"/>
      <c r="G803" s="139"/>
      <c r="H803" s="139"/>
      <c r="I803" s="139"/>
      <c r="J803" s="139"/>
      <c r="K803" s="139"/>
      <c r="L803" s="139"/>
      <c r="M803" s="139"/>
      <c r="N803" s="139"/>
      <c r="O803" s="139"/>
      <c r="P803" s="139"/>
      <c r="Q803" s="139"/>
      <c r="R803" s="139"/>
      <c r="S803" s="139"/>
      <c r="T803" s="139"/>
      <c r="U803" s="139"/>
      <c r="V803" s="139"/>
      <c r="W803" s="139"/>
      <c r="X803" s="139"/>
      <c r="Y803" s="139"/>
      <c r="Z803" s="139"/>
      <c r="AA803" s="139"/>
      <c r="AB803" s="139"/>
      <c r="AC803" s="139"/>
      <c r="AD803" s="139"/>
      <c r="AE803" s="139"/>
      <c r="AF803" s="139"/>
      <c r="AG803" s="139"/>
      <c r="AH803" s="139"/>
      <c r="AI803" s="139"/>
      <c r="AJ803" s="139"/>
      <c r="AK803" s="139"/>
      <c r="AL803" s="139"/>
      <c r="AM803" s="139"/>
      <c r="AN803" s="139"/>
      <c r="AO803" s="139"/>
      <c r="AP803" s="139"/>
      <c r="AQ803" s="139"/>
    </row>
    <row r="804" spans="1:43" ht="12.75" customHeight="1">
      <c r="A804" s="139"/>
      <c r="B804" s="139"/>
      <c r="C804" s="139"/>
      <c r="D804" s="139"/>
      <c r="E804" s="139"/>
      <c r="F804" s="139"/>
      <c r="G804" s="139"/>
      <c r="H804" s="139"/>
      <c r="I804" s="139"/>
      <c r="J804" s="139"/>
      <c r="K804" s="139"/>
      <c r="L804" s="139"/>
      <c r="M804" s="139"/>
      <c r="N804" s="139"/>
      <c r="O804" s="139"/>
      <c r="P804" s="139"/>
      <c r="Q804" s="139"/>
      <c r="R804" s="139"/>
      <c r="S804" s="139"/>
      <c r="T804" s="139"/>
      <c r="U804" s="139"/>
      <c r="V804" s="139"/>
      <c r="W804" s="139"/>
      <c r="X804" s="139"/>
      <c r="Y804" s="139"/>
      <c r="Z804" s="139"/>
      <c r="AA804" s="139"/>
      <c r="AB804" s="139"/>
      <c r="AC804" s="139"/>
      <c r="AD804" s="139"/>
      <c r="AE804" s="139"/>
      <c r="AF804" s="139"/>
      <c r="AG804" s="139"/>
      <c r="AH804" s="139"/>
      <c r="AI804" s="139"/>
      <c r="AJ804" s="139"/>
      <c r="AK804" s="139"/>
      <c r="AL804" s="139"/>
      <c r="AM804" s="139"/>
      <c r="AN804" s="139"/>
      <c r="AO804" s="139"/>
      <c r="AP804" s="139"/>
      <c r="AQ804" s="139"/>
    </row>
    <row r="805" spans="1:43" ht="12.75" customHeight="1">
      <c r="A805" s="139"/>
      <c r="B805" s="139"/>
      <c r="C805" s="139"/>
      <c r="D805" s="139"/>
      <c r="E805" s="139"/>
      <c r="F805" s="139"/>
      <c r="G805" s="139"/>
      <c r="H805" s="139"/>
      <c r="I805" s="139"/>
      <c r="J805" s="139"/>
      <c r="K805" s="139"/>
      <c r="L805" s="139"/>
      <c r="M805" s="139"/>
      <c r="N805" s="139"/>
      <c r="O805" s="139"/>
      <c r="P805" s="139"/>
      <c r="Q805" s="139"/>
      <c r="R805" s="139"/>
      <c r="S805" s="139"/>
      <c r="T805" s="139"/>
      <c r="U805" s="139"/>
      <c r="V805" s="139"/>
      <c r="W805" s="139"/>
      <c r="X805" s="139"/>
      <c r="Y805" s="139"/>
      <c r="Z805" s="139"/>
      <c r="AA805" s="139"/>
      <c r="AB805" s="139"/>
      <c r="AC805" s="139"/>
      <c r="AD805" s="139"/>
      <c r="AE805" s="139"/>
      <c r="AF805" s="139"/>
      <c r="AG805" s="139"/>
      <c r="AH805" s="139"/>
      <c r="AI805" s="139"/>
      <c r="AJ805" s="139"/>
      <c r="AK805" s="139"/>
      <c r="AL805" s="139"/>
      <c r="AM805" s="139"/>
      <c r="AN805" s="139"/>
      <c r="AO805" s="139"/>
      <c r="AP805" s="139"/>
      <c r="AQ805" s="139"/>
    </row>
    <row r="806" spans="1:43" ht="12.75" customHeight="1">
      <c r="A806" s="139"/>
      <c r="B806" s="139"/>
      <c r="C806" s="139"/>
      <c r="D806" s="139"/>
      <c r="E806" s="139"/>
      <c r="F806" s="139"/>
      <c r="G806" s="139"/>
      <c r="H806" s="139"/>
      <c r="I806" s="139"/>
      <c r="J806" s="139"/>
      <c r="K806" s="139"/>
      <c r="L806" s="139"/>
      <c r="M806" s="139"/>
      <c r="N806" s="139"/>
      <c r="O806" s="139"/>
      <c r="P806" s="139"/>
      <c r="Q806" s="139"/>
      <c r="R806" s="139"/>
      <c r="S806" s="139"/>
      <c r="T806" s="139"/>
      <c r="U806" s="139"/>
      <c r="V806" s="139"/>
      <c r="W806" s="139"/>
      <c r="X806" s="139"/>
      <c r="Y806" s="139"/>
      <c r="Z806" s="139"/>
      <c r="AA806" s="139"/>
      <c r="AB806" s="139"/>
      <c r="AC806" s="139"/>
      <c r="AD806" s="139"/>
      <c r="AE806" s="139"/>
      <c r="AF806" s="139"/>
      <c r="AG806" s="139"/>
      <c r="AH806" s="139"/>
      <c r="AI806" s="139"/>
      <c r="AJ806" s="139"/>
      <c r="AK806" s="139"/>
      <c r="AL806" s="139"/>
      <c r="AM806" s="139"/>
      <c r="AN806" s="139"/>
      <c r="AO806" s="139"/>
      <c r="AP806" s="139"/>
      <c r="AQ806" s="139"/>
    </row>
    <row r="807" spans="1:43" ht="12.75" customHeight="1">
      <c r="A807" s="139"/>
      <c r="B807" s="139"/>
      <c r="C807" s="139"/>
      <c r="D807" s="139"/>
      <c r="E807" s="139"/>
      <c r="F807" s="139"/>
      <c r="G807" s="139"/>
      <c r="H807" s="139"/>
      <c r="I807" s="139"/>
      <c r="J807" s="139"/>
      <c r="K807" s="139"/>
      <c r="L807" s="139"/>
      <c r="M807" s="139"/>
      <c r="N807" s="139"/>
      <c r="O807" s="139"/>
      <c r="P807" s="139"/>
      <c r="Q807" s="139"/>
      <c r="R807" s="139"/>
      <c r="S807" s="139"/>
      <c r="T807" s="139"/>
      <c r="U807" s="139"/>
      <c r="V807" s="139"/>
      <c r="W807" s="139"/>
      <c r="X807" s="139"/>
      <c r="Y807" s="139"/>
      <c r="Z807" s="139"/>
      <c r="AA807" s="139"/>
      <c r="AB807" s="139"/>
      <c r="AC807" s="139"/>
      <c r="AD807" s="139"/>
      <c r="AE807" s="139"/>
      <c r="AF807" s="139"/>
      <c r="AG807" s="139"/>
      <c r="AH807" s="139"/>
      <c r="AI807" s="139"/>
      <c r="AJ807" s="139"/>
      <c r="AK807" s="139"/>
      <c r="AL807" s="139"/>
      <c r="AM807" s="139"/>
      <c r="AN807" s="139"/>
      <c r="AO807" s="139"/>
      <c r="AP807" s="139"/>
      <c r="AQ807" s="139"/>
    </row>
    <row r="808" spans="1:43" ht="12.75" customHeight="1">
      <c r="A808" s="139"/>
      <c r="B808" s="139"/>
      <c r="C808" s="139"/>
      <c r="D808" s="139"/>
      <c r="E808" s="139"/>
      <c r="F808" s="139"/>
      <c r="G808" s="139"/>
      <c r="H808" s="139"/>
      <c r="I808" s="139"/>
      <c r="J808" s="139"/>
      <c r="K808" s="139"/>
      <c r="L808" s="139"/>
      <c r="M808" s="139"/>
      <c r="N808" s="139"/>
      <c r="O808" s="139"/>
      <c r="P808" s="139"/>
      <c r="Q808" s="139"/>
      <c r="R808" s="139"/>
      <c r="S808" s="139"/>
      <c r="T808" s="139"/>
      <c r="U808" s="139"/>
      <c r="V808" s="139"/>
      <c r="W808" s="139"/>
      <c r="X808" s="139"/>
      <c r="Y808" s="139"/>
      <c r="Z808" s="139"/>
      <c r="AA808" s="139"/>
      <c r="AB808" s="139"/>
      <c r="AC808" s="139"/>
      <c r="AD808" s="139"/>
      <c r="AE808" s="139"/>
      <c r="AF808" s="139"/>
      <c r="AG808" s="139"/>
      <c r="AH808" s="139"/>
      <c r="AI808" s="139"/>
      <c r="AJ808" s="139"/>
      <c r="AK808" s="139"/>
      <c r="AL808" s="139"/>
      <c r="AM808" s="139"/>
      <c r="AN808" s="139"/>
      <c r="AO808" s="139"/>
      <c r="AP808" s="139"/>
      <c r="AQ808" s="139"/>
    </row>
    <row r="809" spans="1:43" ht="12.75" customHeight="1">
      <c r="A809" s="139"/>
      <c r="B809" s="139"/>
      <c r="C809" s="139"/>
      <c r="D809" s="139"/>
      <c r="E809" s="139"/>
      <c r="F809" s="139"/>
      <c r="G809" s="139"/>
      <c r="H809" s="139"/>
      <c r="I809" s="139"/>
      <c r="J809" s="139"/>
      <c r="K809" s="139"/>
      <c r="L809" s="139"/>
      <c r="M809" s="139"/>
      <c r="N809" s="139"/>
      <c r="O809" s="139"/>
      <c r="P809" s="139"/>
      <c r="Q809" s="139"/>
      <c r="R809" s="139"/>
      <c r="S809" s="139"/>
      <c r="T809" s="139"/>
      <c r="U809" s="139"/>
      <c r="V809" s="139"/>
      <c r="W809" s="139"/>
      <c r="X809" s="139"/>
      <c r="Y809" s="139"/>
      <c r="Z809" s="139"/>
      <c r="AA809" s="139"/>
      <c r="AB809" s="139"/>
      <c r="AC809" s="139"/>
      <c r="AD809" s="139"/>
      <c r="AE809" s="139"/>
      <c r="AF809" s="139"/>
      <c r="AG809" s="139"/>
      <c r="AH809" s="139"/>
      <c r="AI809" s="139"/>
      <c r="AJ809" s="139"/>
      <c r="AK809" s="139"/>
      <c r="AL809" s="139"/>
      <c r="AM809" s="139"/>
      <c r="AN809" s="139"/>
      <c r="AO809" s="139"/>
      <c r="AP809" s="139"/>
      <c r="AQ809" s="139"/>
    </row>
    <row r="810" spans="1:43" ht="12.75" customHeight="1">
      <c r="A810" s="139"/>
      <c r="B810" s="139"/>
      <c r="C810" s="139"/>
      <c r="D810" s="139"/>
      <c r="E810" s="139"/>
      <c r="F810" s="139"/>
      <c r="G810" s="139"/>
      <c r="H810" s="139"/>
      <c r="I810" s="139"/>
      <c r="J810" s="139"/>
      <c r="K810" s="139"/>
      <c r="L810" s="139"/>
      <c r="M810" s="139"/>
      <c r="N810" s="139"/>
      <c r="O810" s="139"/>
      <c r="P810" s="139"/>
      <c r="Q810" s="139"/>
      <c r="R810" s="139"/>
      <c r="S810" s="139"/>
      <c r="T810" s="139"/>
      <c r="U810" s="139"/>
      <c r="V810" s="139"/>
      <c r="W810" s="139"/>
      <c r="X810" s="139"/>
      <c r="Y810" s="139"/>
      <c r="Z810" s="139"/>
      <c r="AA810" s="139"/>
      <c r="AB810" s="139"/>
      <c r="AC810" s="139"/>
      <c r="AD810" s="139"/>
      <c r="AE810" s="139"/>
      <c r="AF810" s="139"/>
      <c r="AG810" s="139"/>
      <c r="AH810" s="139"/>
      <c r="AI810" s="139"/>
      <c r="AJ810" s="139"/>
      <c r="AK810" s="139"/>
      <c r="AL810" s="139"/>
      <c r="AM810" s="139"/>
      <c r="AN810" s="139"/>
      <c r="AO810" s="139"/>
      <c r="AP810" s="139"/>
      <c r="AQ810" s="139"/>
    </row>
    <row r="811" spans="1:43" ht="12.75" customHeight="1">
      <c r="A811" s="139"/>
      <c r="B811" s="139"/>
      <c r="C811" s="139"/>
      <c r="D811" s="139"/>
      <c r="E811" s="139"/>
      <c r="F811" s="139"/>
      <c r="G811" s="139"/>
      <c r="H811" s="139"/>
      <c r="I811" s="139"/>
      <c r="J811" s="139"/>
      <c r="K811" s="139"/>
      <c r="L811" s="139"/>
      <c r="M811" s="139"/>
      <c r="N811" s="139"/>
      <c r="O811" s="139"/>
      <c r="P811" s="139"/>
      <c r="Q811" s="139"/>
      <c r="R811" s="139"/>
      <c r="S811" s="139"/>
      <c r="T811" s="139"/>
      <c r="U811" s="139"/>
      <c r="V811" s="139"/>
      <c r="W811" s="139"/>
      <c r="X811" s="139"/>
      <c r="Y811" s="139"/>
      <c r="Z811" s="139"/>
      <c r="AA811" s="139"/>
      <c r="AB811" s="139"/>
      <c r="AC811" s="139"/>
      <c r="AD811" s="139"/>
      <c r="AE811" s="139"/>
      <c r="AF811" s="139"/>
      <c r="AG811" s="139"/>
      <c r="AH811" s="139"/>
      <c r="AI811" s="139"/>
      <c r="AJ811" s="139"/>
      <c r="AK811" s="139"/>
      <c r="AL811" s="139"/>
      <c r="AM811" s="139"/>
      <c r="AN811" s="139"/>
      <c r="AO811" s="139"/>
      <c r="AP811" s="139"/>
      <c r="AQ811" s="139"/>
    </row>
    <row r="812" spans="1:43" ht="12.75" customHeight="1">
      <c r="A812" s="139"/>
      <c r="B812" s="139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39"/>
      <c r="O812" s="139"/>
      <c r="P812" s="139"/>
      <c r="Q812" s="139"/>
      <c r="R812" s="139"/>
      <c r="S812" s="139"/>
      <c r="T812" s="139"/>
      <c r="U812" s="139"/>
      <c r="V812" s="139"/>
      <c r="W812" s="139"/>
      <c r="X812" s="139"/>
      <c r="Y812" s="139"/>
      <c r="Z812" s="139"/>
      <c r="AA812" s="139"/>
      <c r="AB812" s="139"/>
      <c r="AC812" s="139"/>
      <c r="AD812" s="139"/>
      <c r="AE812" s="139"/>
      <c r="AF812" s="139"/>
      <c r="AG812" s="139"/>
      <c r="AH812" s="139"/>
      <c r="AI812" s="139"/>
      <c r="AJ812" s="139"/>
      <c r="AK812" s="139"/>
      <c r="AL812" s="139"/>
      <c r="AM812" s="139"/>
      <c r="AN812" s="139"/>
      <c r="AO812" s="139"/>
      <c r="AP812" s="139"/>
      <c r="AQ812" s="139"/>
    </row>
    <row r="813" spans="1:43" ht="12.75" customHeight="1">
      <c r="A813" s="139"/>
      <c r="B813" s="139"/>
      <c r="C813" s="139"/>
      <c r="D813" s="139"/>
      <c r="E813" s="139"/>
      <c r="F813" s="139"/>
      <c r="G813" s="139"/>
      <c r="H813" s="139"/>
      <c r="I813" s="139"/>
      <c r="J813" s="139"/>
      <c r="K813" s="139"/>
      <c r="L813" s="139"/>
      <c r="M813" s="139"/>
      <c r="N813" s="139"/>
      <c r="O813" s="139"/>
      <c r="P813" s="139"/>
      <c r="Q813" s="139"/>
      <c r="R813" s="139"/>
      <c r="S813" s="139"/>
      <c r="T813" s="139"/>
      <c r="U813" s="139"/>
      <c r="V813" s="139"/>
      <c r="W813" s="139"/>
      <c r="X813" s="139"/>
      <c r="Y813" s="139"/>
      <c r="Z813" s="139"/>
      <c r="AA813" s="139"/>
      <c r="AB813" s="139"/>
      <c r="AC813" s="139"/>
      <c r="AD813" s="139"/>
      <c r="AE813" s="139"/>
      <c r="AF813" s="139"/>
      <c r="AG813" s="139"/>
      <c r="AH813" s="139"/>
      <c r="AI813" s="139"/>
      <c r="AJ813" s="139"/>
      <c r="AK813" s="139"/>
      <c r="AL813" s="139"/>
      <c r="AM813" s="139"/>
      <c r="AN813" s="139"/>
      <c r="AO813" s="139"/>
      <c r="AP813" s="139"/>
      <c r="AQ813" s="139"/>
    </row>
    <row r="814" spans="1:43" ht="12.75" customHeight="1">
      <c r="A814" s="139"/>
      <c r="B814" s="139"/>
      <c r="C814" s="139"/>
      <c r="D814" s="139"/>
      <c r="E814" s="139"/>
      <c r="F814" s="139"/>
      <c r="G814" s="139"/>
      <c r="H814" s="139"/>
      <c r="I814" s="139"/>
      <c r="J814" s="139"/>
      <c r="K814" s="139"/>
      <c r="L814" s="139"/>
      <c r="M814" s="139"/>
      <c r="N814" s="139"/>
      <c r="O814" s="139"/>
      <c r="P814" s="139"/>
      <c r="Q814" s="139"/>
      <c r="R814" s="139"/>
      <c r="S814" s="139"/>
      <c r="T814" s="139"/>
      <c r="U814" s="139"/>
      <c r="V814" s="139"/>
      <c r="W814" s="139"/>
      <c r="X814" s="139"/>
      <c r="Y814" s="139"/>
      <c r="Z814" s="139"/>
      <c r="AA814" s="139"/>
      <c r="AB814" s="139"/>
      <c r="AC814" s="139"/>
      <c r="AD814" s="139"/>
      <c r="AE814" s="139"/>
      <c r="AF814" s="139"/>
      <c r="AG814" s="139"/>
      <c r="AH814" s="139"/>
      <c r="AI814" s="139"/>
      <c r="AJ814" s="139"/>
      <c r="AK814" s="139"/>
      <c r="AL814" s="139"/>
      <c r="AM814" s="139"/>
      <c r="AN814" s="139"/>
      <c r="AO814" s="139"/>
      <c r="AP814" s="139"/>
      <c r="AQ814" s="139"/>
    </row>
    <row r="815" spans="1:43" ht="12.75" customHeight="1">
      <c r="A815" s="139"/>
      <c r="B815" s="139"/>
      <c r="C815" s="139"/>
      <c r="D815" s="139"/>
      <c r="E815" s="139"/>
      <c r="F815" s="139"/>
      <c r="G815" s="139"/>
      <c r="H815" s="139"/>
      <c r="I815" s="139"/>
      <c r="J815" s="139"/>
      <c r="K815" s="139"/>
      <c r="L815" s="139"/>
      <c r="M815" s="139"/>
      <c r="N815" s="139"/>
      <c r="O815" s="139"/>
      <c r="P815" s="139"/>
      <c r="Q815" s="139"/>
      <c r="R815" s="139"/>
      <c r="S815" s="139"/>
      <c r="T815" s="139"/>
      <c r="U815" s="139"/>
      <c r="V815" s="139"/>
      <c r="W815" s="139"/>
      <c r="X815" s="139"/>
      <c r="Y815" s="139"/>
      <c r="Z815" s="139"/>
      <c r="AA815" s="139"/>
      <c r="AB815" s="139"/>
      <c r="AC815" s="139"/>
      <c r="AD815" s="139"/>
      <c r="AE815" s="139"/>
      <c r="AF815" s="139"/>
      <c r="AG815" s="139"/>
      <c r="AH815" s="139"/>
      <c r="AI815" s="139"/>
      <c r="AJ815" s="139"/>
      <c r="AK815" s="139"/>
      <c r="AL815" s="139"/>
      <c r="AM815" s="139"/>
      <c r="AN815" s="139"/>
      <c r="AO815" s="139"/>
      <c r="AP815" s="139"/>
      <c r="AQ815" s="139"/>
    </row>
    <row r="816" spans="1:43" ht="12.75" customHeight="1">
      <c r="A816" s="139"/>
      <c r="B816" s="139"/>
      <c r="C816" s="139"/>
      <c r="D816" s="139"/>
      <c r="E816" s="139"/>
      <c r="F816" s="139"/>
      <c r="G816" s="139"/>
      <c r="H816" s="139"/>
      <c r="I816" s="139"/>
      <c r="J816" s="139"/>
      <c r="K816" s="139"/>
      <c r="L816" s="139"/>
      <c r="M816" s="139"/>
      <c r="N816" s="139"/>
      <c r="O816" s="139"/>
      <c r="P816" s="139"/>
      <c r="Q816" s="139"/>
      <c r="R816" s="139"/>
      <c r="S816" s="139"/>
      <c r="T816" s="139"/>
      <c r="U816" s="139"/>
      <c r="V816" s="139"/>
      <c r="W816" s="139"/>
      <c r="X816" s="139"/>
      <c r="Y816" s="139"/>
      <c r="Z816" s="139"/>
      <c r="AA816" s="139"/>
      <c r="AB816" s="139"/>
      <c r="AC816" s="139"/>
      <c r="AD816" s="139"/>
      <c r="AE816" s="139"/>
      <c r="AF816" s="139"/>
      <c r="AG816" s="139"/>
      <c r="AH816" s="139"/>
      <c r="AI816" s="139"/>
      <c r="AJ816" s="139"/>
      <c r="AK816" s="139"/>
      <c r="AL816" s="139"/>
      <c r="AM816" s="139"/>
      <c r="AN816" s="139"/>
      <c r="AO816" s="139"/>
      <c r="AP816" s="139"/>
      <c r="AQ816" s="139"/>
    </row>
    <row r="817" spans="1:43" ht="12.75" customHeight="1">
      <c r="A817" s="139"/>
      <c r="B817" s="139"/>
      <c r="C817" s="139"/>
      <c r="D817" s="139"/>
      <c r="E817" s="139"/>
      <c r="F817" s="139"/>
      <c r="G817" s="139"/>
      <c r="H817" s="139"/>
      <c r="I817" s="139"/>
      <c r="J817" s="139"/>
      <c r="K817" s="139"/>
      <c r="L817" s="139"/>
      <c r="M817" s="139"/>
      <c r="N817" s="139"/>
      <c r="O817" s="139"/>
      <c r="P817" s="139"/>
      <c r="Q817" s="139"/>
      <c r="R817" s="139"/>
      <c r="S817" s="139"/>
      <c r="T817" s="139"/>
      <c r="U817" s="139"/>
      <c r="V817" s="139"/>
      <c r="W817" s="139"/>
      <c r="X817" s="139"/>
      <c r="Y817" s="139"/>
      <c r="Z817" s="139"/>
      <c r="AA817" s="139"/>
      <c r="AB817" s="139"/>
      <c r="AC817" s="139"/>
      <c r="AD817" s="139"/>
      <c r="AE817" s="139"/>
      <c r="AF817" s="139"/>
      <c r="AG817" s="139"/>
      <c r="AH817" s="139"/>
      <c r="AI817" s="139"/>
      <c r="AJ817" s="139"/>
      <c r="AK817" s="139"/>
      <c r="AL817" s="139"/>
      <c r="AM817" s="139"/>
      <c r="AN817" s="139"/>
      <c r="AO817" s="139"/>
      <c r="AP817" s="139"/>
      <c r="AQ817" s="139"/>
    </row>
    <row r="818" spans="1:43" ht="12.75" customHeight="1">
      <c r="A818" s="139"/>
      <c r="B818" s="139"/>
      <c r="C818" s="139"/>
      <c r="D818" s="139"/>
      <c r="E818" s="139"/>
      <c r="F818" s="139"/>
      <c r="G818" s="139"/>
      <c r="H818" s="139"/>
      <c r="I818" s="139"/>
      <c r="J818" s="139"/>
      <c r="K818" s="139"/>
      <c r="L818" s="139"/>
      <c r="M818" s="139"/>
      <c r="N818" s="139"/>
      <c r="O818" s="139"/>
      <c r="P818" s="139"/>
      <c r="Q818" s="139"/>
      <c r="R818" s="139"/>
      <c r="S818" s="139"/>
      <c r="T818" s="139"/>
      <c r="U818" s="139"/>
      <c r="V818" s="139"/>
      <c r="W818" s="139"/>
      <c r="X818" s="139"/>
      <c r="Y818" s="139"/>
      <c r="Z818" s="139"/>
      <c r="AA818" s="139"/>
      <c r="AB818" s="139"/>
      <c r="AC818" s="139"/>
      <c r="AD818" s="139"/>
      <c r="AE818" s="139"/>
      <c r="AF818" s="139"/>
      <c r="AG818" s="139"/>
      <c r="AH818" s="139"/>
      <c r="AI818" s="139"/>
      <c r="AJ818" s="139"/>
      <c r="AK818" s="139"/>
      <c r="AL818" s="139"/>
      <c r="AM818" s="139"/>
      <c r="AN818" s="139"/>
      <c r="AO818" s="139"/>
      <c r="AP818" s="139"/>
      <c r="AQ818" s="139"/>
    </row>
    <row r="819" spans="1:43" ht="12.75" customHeight="1">
      <c r="A819" s="139"/>
      <c r="B819" s="139"/>
      <c r="C819" s="139"/>
      <c r="D819" s="139"/>
      <c r="E819" s="139"/>
      <c r="F819" s="139"/>
      <c r="G819" s="139"/>
      <c r="H819" s="139"/>
      <c r="I819" s="139"/>
      <c r="J819" s="139"/>
      <c r="K819" s="139"/>
      <c r="L819" s="139"/>
      <c r="M819" s="139"/>
      <c r="N819" s="139"/>
      <c r="O819" s="139"/>
      <c r="P819" s="139"/>
      <c r="Q819" s="139"/>
      <c r="R819" s="139"/>
      <c r="S819" s="139"/>
      <c r="T819" s="139"/>
      <c r="U819" s="139"/>
      <c r="V819" s="139"/>
      <c r="W819" s="139"/>
      <c r="X819" s="139"/>
      <c r="Y819" s="139"/>
      <c r="Z819" s="139"/>
      <c r="AA819" s="139"/>
      <c r="AB819" s="139"/>
      <c r="AC819" s="139"/>
      <c r="AD819" s="139"/>
      <c r="AE819" s="139"/>
      <c r="AF819" s="139"/>
      <c r="AG819" s="139"/>
      <c r="AH819" s="139"/>
      <c r="AI819" s="139"/>
      <c r="AJ819" s="139"/>
      <c r="AK819" s="139"/>
      <c r="AL819" s="139"/>
      <c r="AM819" s="139"/>
      <c r="AN819" s="139"/>
      <c r="AO819" s="139"/>
      <c r="AP819" s="139"/>
      <c r="AQ819" s="139"/>
    </row>
    <row r="820" spans="1:43" ht="12.75" customHeight="1">
      <c r="A820" s="139"/>
      <c r="B820" s="139"/>
      <c r="C820" s="139"/>
      <c r="D820" s="139"/>
      <c r="E820" s="139"/>
      <c r="F820" s="139"/>
      <c r="G820" s="139"/>
      <c r="H820" s="139"/>
      <c r="I820" s="139"/>
      <c r="J820" s="139"/>
      <c r="K820" s="139"/>
      <c r="L820" s="139"/>
      <c r="M820" s="139"/>
      <c r="N820" s="139"/>
      <c r="O820" s="139"/>
      <c r="P820" s="139"/>
      <c r="Q820" s="139"/>
      <c r="R820" s="139"/>
      <c r="S820" s="139"/>
      <c r="T820" s="139"/>
      <c r="U820" s="139"/>
      <c r="V820" s="139"/>
      <c r="W820" s="139"/>
      <c r="X820" s="139"/>
      <c r="Y820" s="139"/>
      <c r="Z820" s="139"/>
      <c r="AA820" s="139"/>
      <c r="AB820" s="139"/>
      <c r="AC820" s="139"/>
      <c r="AD820" s="139"/>
      <c r="AE820" s="139"/>
      <c r="AF820" s="139"/>
      <c r="AG820" s="139"/>
      <c r="AH820" s="139"/>
      <c r="AI820" s="139"/>
      <c r="AJ820" s="139"/>
      <c r="AK820" s="139"/>
      <c r="AL820" s="139"/>
      <c r="AM820" s="139"/>
      <c r="AN820" s="139"/>
      <c r="AO820" s="139"/>
      <c r="AP820" s="139"/>
      <c r="AQ820" s="139"/>
    </row>
    <row r="821" spans="1:43" ht="12.75" customHeight="1">
      <c r="A821" s="139"/>
      <c r="B821" s="139"/>
      <c r="C821" s="139"/>
      <c r="D821" s="139"/>
      <c r="E821" s="139"/>
      <c r="F821" s="139"/>
      <c r="G821" s="139"/>
      <c r="H821" s="139"/>
      <c r="I821" s="139"/>
      <c r="J821" s="139"/>
      <c r="K821" s="139"/>
      <c r="L821" s="139"/>
      <c r="M821" s="139"/>
      <c r="N821" s="139"/>
      <c r="O821" s="139"/>
      <c r="P821" s="139"/>
      <c r="Q821" s="139"/>
      <c r="R821" s="139"/>
      <c r="S821" s="139"/>
      <c r="T821" s="139"/>
      <c r="U821" s="139"/>
      <c r="V821" s="139"/>
      <c r="W821" s="139"/>
      <c r="X821" s="139"/>
      <c r="Y821" s="139"/>
      <c r="Z821" s="139"/>
      <c r="AA821" s="139"/>
      <c r="AB821" s="139"/>
      <c r="AC821" s="139"/>
      <c r="AD821" s="139"/>
      <c r="AE821" s="139"/>
      <c r="AF821" s="139"/>
      <c r="AG821" s="139"/>
      <c r="AH821" s="139"/>
      <c r="AI821" s="139"/>
      <c r="AJ821" s="139"/>
      <c r="AK821" s="139"/>
      <c r="AL821" s="139"/>
      <c r="AM821" s="139"/>
      <c r="AN821" s="139"/>
      <c r="AO821" s="139"/>
      <c r="AP821" s="139"/>
      <c r="AQ821" s="139"/>
    </row>
    <row r="822" spans="1:43" ht="12.75" customHeight="1">
      <c r="A822" s="139"/>
      <c r="B822" s="139"/>
      <c r="C822" s="139"/>
      <c r="D822" s="139"/>
      <c r="E822" s="139"/>
      <c r="F822" s="139"/>
      <c r="G822" s="139"/>
      <c r="H822" s="139"/>
      <c r="I822" s="139"/>
      <c r="J822" s="139"/>
      <c r="K822" s="139"/>
      <c r="L822" s="139"/>
      <c r="M822" s="139"/>
      <c r="N822" s="139"/>
      <c r="O822" s="139"/>
      <c r="P822" s="139"/>
      <c r="Q822" s="139"/>
      <c r="R822" s="139"/>
      <c r="S822" s="139"/>
      <c r="T822" s="139"/>
      <c r="U822" s="139"/>
      <c r="V822" s="139"/>
      <c r="W822" s="139"/>
      <c r="X822" s="139"/>
      <c r="Y822" s="139"/>
      <c r="Z822" s="139"/>
      <c r="AA822" s="139"/>
      <c r="AB822" s="139"/>
      <c r="AC822" s="139"/>
      <c r="AD822" s="139"/>
      <c r="AE822" s="139"/>
      <c r="AF822" s="139"/>
      <c r="AG822" s="139"/>
      <c r="AH822" s="139"/>
      <c r="AI822" s="139"/>
      <c r="AJ822" s="139"/>
      <c r="AK822" s="139"/>
      <c r="AL822" s="139"/>
      <c r="AM822" s="139"/>
      <c r="AN822" s="139"/>
      <c r="AO822" s="139"/>
      <c r="AP822" s="139"/>
      <c r="AQ822" s="139"/>
    </row>
    <row r="823" spans="1:43" ht="12.75" customHeight="1">
      <c r="A823" s="139"/>
      <c r="B823" s="139"/>
      <c r="C823" s="139"/>
      <c r="D823" s="139"/>
      <c r="E823" s="139"/>
      <c r="F823" s="139"/>
      <c r="G823" s="139"/>
      <c r="H823" s="139"/>
      <c r="I823" s="139"/>
      <c r="J823" s="139"/>
      <c r="K823" s="139"/>
      <c r="L823" s="139"/>
      <c r="M823" s="139"/>
      <c r="N823" s="139"/>
      <c r="O823" s="139"/>
      <c r="P823" s="139"/>
      <c r="Q823" s="139"/>
      <c r="R823" s="139"/>
      <c r="S823" s="139"/>
      <c r="T823" s="139"/>
      <c r="U823" s="139"/>
      <c r="V823" s="139"/>
      <c r="W823" s="139"/>
      <c r="X823" s="139"/>
      <c r="Y823" s="139"/>
      <c r="Z823" s="139"/>
      <c r="AA823" s="139"/>
      <c r="AB823" s="139"/>
      <c r="AC823" s="139"/>
      <c r="AD823" s="139"/>
      <c r="AE823" s="139"/>
      <c r="AF823" s="139"/>
      <c r="AG823" s="139"/>
      <c r="AH823" s="139"/>
      <c r="AI823" s="139"/>
      <c r="AJ823" s="139"/>
      <c r="AK823" s="139"/>
      <c r="AL823" s="139"/>
      <c r="AM823" s="139"/>
      <c r="AN823" s="139"/>
      <c r="AO823" s="139"/>
      <c r="AP823" s="139"/>
      <c r="AQ823" s="139"/>
    </row>
    <row r="824" spans="1:43" ht="12.75" customHeight="1">
      <c r="A824" s="139"/>
      <c r="B824" s="139"/>
      <c r="C824" s="139"/>
      <c r="D824" s="139"/>
      <c r="E824" s="139"/>
      <c r="F824" s="139"/>
      <c r="G824" s="139"/>
      <c r="H824" s="139"/>
      <c r="I824" s="139"/>
      <c r="J824" s="139"/>
      <c r="K824" s="139"/>
      <c r="L824" s="139"/>
      <c r="M824" s="139"/>
      <c r="N824" s="139"/>
      <c r="O824" s="139"/>
      <c r="P824" s="139"/>
      <c r="Q824" s="139"/>
      <c r="R824" s="139"/>
      <c r="S824" s="139"/>
      <c r="T824" s="139"/>
      <c r="U824" s="139"/>
      <c r="V824" s="139"/>
      <c r="W824" s="139"/>
      <c r="X824" s="139"/>
      <c r="Y824" s="139"/>
      <c r="Z824" s="139"/>
      <c r="AA824" s="139"/>
      <c r="AB824" s="139"/>
      <c r="AC824" s="139"/>
      <c r="AD824" s="139"/>
      <c r="AE824" s="139"/>
      <c r="AF824" s="139"/>
      <c r="AG824" s="139"/>
      <c r="AH824" s="139"/>
      <c r="AI824" s="139"/>
      <c r="AJ824" s="139"/>
      <c r="AK824" s="139"/>
      <c r="AL824" s="139"/>
      <c r="AM824" s="139"/>
      <c r="AN824" s="139"/>
      <c r="AO824" s="139"/>
      <c r="AP824" s="139"/>
      <c r="AQ824" s="139"/>
    </row>
    <row r="825" spans="1:43" ht="12.75" customHeight="1">
      <c r="A825" s="139"/>
      <c r="B825" s="139"/>
      <c r="C825" s="139"/>
      <c r="D825" s="139"/>
      <c r="E825" s="139"/>
      <c r="F825" s="139"/>
      <c r="G825" s="139"/>
      <c r="H825" s="139"/>
      <c r="I825" s="139"/>
      <c r="J825" s="139"/>
      <c r="K825" s="139"/>
      <c r="L825" s="139"/>
      <c r="M825" s="139"/>
      <c r="N825" s="139"/>
      <c r="O825" s="139"/>
      <c r="P825" s="139"/>
      <c r="Q825" s="139"/>
      <c r="R825" s="139"/>
      <c r="S825" s="139"/>
      <c r="T825" s="139"/>
      <c r="U825" s="139"/>
      <c r="V825" s="139"/>
      <c r="W825" s="139"/>
      <c r="X825" s="139"/>
      <c r="Y825" s="139"/>
      <c r="Z825" s="139"/>
      <c r="AA825" s="139"/>
      <c r="AB825" s="139"/>
      <c r="AC825" s="139"/>
      <c r="AD825" s="139"/>
      <c r="AE825" s="139"/>
      <c r="AF825" s="139"/>
      <c r="AG825" s="139"/>
      <c r="AH825" s="139"/>
      <c r="AI825" s="139"/>
      <c r="AJ825" s="139"/>
      <c r="AK825" s="139"/>
      <c r="AL825" s="139"/>
      <c r="AM825" s="139"/>
      <c r="AN825" s="139"/>
      <c r="AO825" s="139"/>
      <c r="AP825" s="139"/>
      <c r="AQ825" s="139"/>
    </row>
    <row r="826" spans="1:43" ht="12.75" customHeight="1">
      <c r="A826" s="139"/>
      <c r="B826" s="139"/>
      <c r="C826" s="139"/>
      <c r="D826" s="139"/>
      <c r="E826" s="139"/>
      <c r="F826" s="139"/>
      <c r="G826" s="139"/>
      <c r="H826" s="139"/>
      <c r="I826" s="139"/>
      <c r="J826" s="139"/>
      <c r="K826" s="139"/>
      <c r="L826" s="139"/>
      <c r="M826" s="139"/>
      <c r="N826" s="139"/>
      <c r="O826" s="139"/>
      <c r="P826" s="139"/>
      <c r="Q826" s="139"/>
      <c r="R826" s="139"/>
      <c r="S826" s="139"/>
      <c r="T826" s="139"/>
      <c r="U826" s="139"/>
      <c r="V826" s="139"/>
      <c r="W826" s="139"/>
      <c r="X826" s="139"/>
      <c r="Y826" s="139"/>
      <c r="Z826" s="139"/>
      <c r="AA826" s="139"/>
      <c r="AB826" s="139"/>
      <c r="AC826" s="139"/>
      <c r="AD826" s="139"/>
      <c r="AE826" s="139"/>
      <c r="AF826" s="139"/>
      <c r="AG826" s="139"/>
      <c r="AH826" s="139"/>
      <c r="AI826" s="139"/>
      <c r="AJ826" s="139"/>
      <c r="AK826" s="139"/>
      <c r="AL826" s="139"/>
      <c r="AM826" s="139"/>
      <c r="AN826" s="139"/>
      <c r="AO826" s="139"/>
      <c r="AP826" s="139"/>
      <c r="AQ826" s="139"/>
    </row>
    <row r="827" spans="1:43" ht="12.75" customHeight="1">
      <c r="A827" s="139"/>
      <c r="B827" s="139"/>
      <c r="C827" s="139"/>
      <c r="D827" s="139"/>
      <c r="E827" s="139"/>
      <c r="F827" s="139"/>
      <c r="G827" s="139"/>
      <c r="H827" s="139"/>
      <c r="I827" s="139"/>
      <c r="J827" s="139"/>
      <c r="K827" s="139"/>
      <c r="L827" s="139"/>
      <c r="M827" s="139"/>
      <c r="N827" s="139"/>
      <c r="O827" s="139"/>
      <c r="P827" s="139"/>
      <c r="Q827" s="139"/>
      <c r="R827" s="139"/>
      <c r="S827" s="139"/>
      <c r="T827" s="139"/>
      <c r="U827" s="139"/>
      <c r="V827" s="139"/>
      <c r="W827" s="139"/>
      <c r="X827" s="139"/>
      <c r="Y827" s="139"/>
      <c r="Z827" s="139"/>
      <c r="AA827" s="139"/>
      <c r="AB827" s="139"/>
      <c r="AC827" s="139"/>
      <c r="AD827" s="139"/>
      <c r="AE827" s="139"/>
      <c r="AF827" s="139"/>
      <c r="AG827" s="139"/>
      <c r="AH827" s="139"/>
      <c r="AI827" s="139"/>
      <c r="AJ827" s="139"/>
      <c r="AK827" s="139"/>
      <c r="AL827" s="139"/>
      <c r="AM827" s="139"/>
      <c r="AN827" s="139"/>
      <c r="AO827" s="139"/>
      <c r="AP827" s="139"/>
      <c r="AQ827" s="139"/>
    </row>
    <row r="828" spans="1:43" ht="12.75" customHeight="1">
      <c r="A828" s="139"/>
      <c r="B828" s="139"/>
      <c r="C828" s="139"/>
      <c r="D828" s="139"/>
      <c r="E828" s="139"/>
      <c r="F828" s="139"/>
      <c r="G828" s="139"/>
      <c r="H828" s="139"/>
      <c r="I828" s="139"/>
      <c r="J828" s="139"/>
      <c r="K828" s="139"/>
      <c r="L828" s="139"/>
      <c r="M828" s="139"/>
      <c r="N828" s="139"/>
      <c r="O828" s="139"/>
      <c r="P828" s="139"/>
      <c r="Q828" s="139"/>
      <c r="R828" s="139"/>
      <c r="S828" s="139"/>
      <c r="T828" s="139"/>
      <c r="U828" s="139"/>
      <c r="V828" s="139"/>
      <c r="W828" s="139"/>
      <c r="X828" s="139"/>
      <c r="Y828" s="139"/>
      <c r="Z828" s="139"/>
      <c r="AA828" s="139"/>
      <c r="AB828" s="139"/>
      <c r="AC828" s="139"/>
      <c r="AD828" s="139"/>
      <c r="AE828" s="139"/>
      <c r="AF828" s="139"/>
      <c r="AG828" s="139"/>
      <c r="AH828" s="139"/>
      <c r="AI828" s="139"/>
      <c r="AJ828" s="139"/>
      <c r="AK828" s="139"/>
      <c r="AL828" s="139"/>
      <c r="AM828" s="139"/>
      <c r="AN828" s="139"/>
      <c r="AO828" s="139"/>
      <c r="AP828" s="139"/>
      <c r="AQ828" s="139"/>
    </row>
    <row r="829" spans="1:43" ht="12.75" customHeight="1">
      <c r="A829" s="139"/>
      <c r="B829" s="139"/>
      <c r="C829" s="139"/>
      <c r="D829" s="139"/>
      <c r="E829" s="139"/>
      <c r="F829" s="139"/>
      <c r="G829" s="139"/>
      <c r="H829" s="139"/>
      <c r="I829" s="139"/>
      <c r="J829" s="139"/>
      <c r="K829" s="139"/>
      <c r="L829" s="139"/>
      <c r="M829" s="139"/>
      <c r="N829" s="139"/>
      <c r="O829" s="139"/>
      <c r="P829" s="139"/>
      <c r="Q829" s="139"/>
      <c r="R829" s="139"/>
      <c r="S829" s="139"/>
      <c r="T829" s="139"/>
      <c r="U829" s="139"/>
      <c r="V829" s="139"/>
      <c r="W829" s="139"/>
      <c r="X829" s="139"/>
      <c r="Y829" s="139"/>
      <c r="Z829" s="139"/>
      <c r="AA829" s="139"/>
      <c r="AB829" s="139"/>
      <c r="AC829" s="139"/>
      <c r="AD829" s="139"/>
      <c r="AE829" s="139"/>
      <c r="AF829" s="139"/>
      <c r="AG829" s="139"/>
      <c r="AH829" s="139"/>
      <c r="AI829" s="139"/>
      <c r="AJ829" s="139"/>
      <c r="AK829" s="139"/>
      <c r="AL829" s="139"/>
      <c r="AM829" s="139"/>
      <c r="AN829" s="139"/>
      <c r="AO829" s="139"/>
      <c r="AP829" s="139"/>
      <c r="AQ829" s="139"/>
    </row>
    <row r="830" spans="1:43" ht="12.75" customHeight="1">
      <c r="A830" s="139"/>
      <c r="B830" s="139"/>
      <c r="C830" s="139"/>
      <c r="D830" s="139"/>
      <c r="E830" s="139"/>
      <c r="F830" s="139"/>
      <c r="G830" s="139"/>
      <c r="H830" s="139"/>
      <c r="I830" s="139"/>
      <c r="J830" s="139"/>
      <c r="K830" s="139"/>
      <c r="L830" s="139"/>
      <c r="M830" s="139"/>
      <c r="N830" s="139"/>
      <c r="O830" s="139"/>
      <c r="P830" s="139"/>
      <c r="Q830" s="139"/>
      <c r="R830" s="139"/>
      <c r="S830" s="139"/>
      <c r="T830" s="139"/>
      <c r="U830" s="139"/>
      <c r="V830" s="139"/>
      <c r="W830" s="139"/>
      <c r="X830" s="139"/>
      <c r="Y830" s="139"/>
      <c r="Z830" s="139"/>
      <c r="AA830" s="139"/>
      <c r="AB830" s="139"/>
      <c r="AC830" s="139"/>
      <c r="AD830" s="139"/>
      <c r="AE830" s="139"/>
      <c r="AF830" s="139"/>
      <c r="AG830" s="139"/>
      <c r="AH830" s="139"/>
      <c r="AI830" s="139"/>
      <c r="AJ830" s="139"/>
      <c r="AK830" s="139"/>
      <c r="AL830" s="139"/>
      <c r="AM830" s="139"/>
      <c r="AN830" s="139"/>
      <c r="AO830" s="139"/>
      <c r="AP830" s="139"/>
      <c r="AQ830" s="139"/>
    </row>
    <row r="831" spans="1:43" ht="12.75" customHeight="1">
      <c r="A831" s="139"/>
      <c r="B831" s="139"/>
      <c r="C831" s="139"/>
      <c r="D831" s="139"/>
      <c r="E831" s="139"/>
      <c r="F831" s="139"/>
      <c r="G831" s="139"/>
      <c r="H831" s="139"/>
      <c r="I831" s="139"/>
      <c r="J831" s="139"/>
      <c r="K831" s="139"/>
      <c r="L831" s="139"/>
      <c r="M831" s="139"/>
      <c r="N831" s="139"/>
      <c r="O831" s="139"/>
      <c r="P831" s="139"/>
      <c r="Q831" s="139"/>
      <c r="R831" s="139"/>
      <c r="S831" s="139"/>
      <c r="T831" s="139"/>
      <c r="U831" s="139"/>
      <c r="V831" s="139"/>
      <c r="W831" s="139"/>
      <c r="X831" s="139"/>
      <c r="Y831" s="139"/>
      <c r="Z831" s="139"/>
      <c r="AA831" s="139"/>
      <c r="AB831" s="139"/>
      <c r="AC831" s="139"/>
      <c r="AD831" s="139"/>
      <c r="AE831" s="139"/>
      <c r="AF831" s="139"/>
      <c r="AG831" s="139"/>
      <c r="AH831" s="139"/>
      <c r="AI831" s="139"/>
      <c r="AJ831" s="139"/>
      <c r="AK831" s="139"/>
      <c r="AL831" s="139"/>
      <c r="AM831" s="139"/>
      <c r="AN831" s="139"/>
      <c r="AO831" s="139"/>
      <c r="AP831" s="139"/>
      <c r="AQ831" s="139"/>
    </row>
    <row r="832" spans="1:43" ht="12.75" customHeight="1">
      <c r="A832" s="139"/>
      <c r="B832" s="139"/>
      <c r="C832" s="139"/>
      <c r="D832" s="139"/>
      <c r="E832" s="139"/>
      <c r="F832" s="139"/>
      <c r="G832" s="139"/>
      <c r="H832" s="139"/>
      <c r="I832" s="139"/>
      <c r="J832" s="139"/>
      <c r="K832" s="139"/>
      <c r="L832" s="139"/>
      <c r="M832" s="139"/>
      <c r="N832" s="139"/>
      <c r="O832" s="139"/>
      <c r="P832" s="139"/>
      <c r="Q832" s="139"/>
      <c r="R832" s="139"/>
      <c r="S832" s="139"/>
      <c r="T832" s="139"/>
      <c r="U832" s="139"/>
      <c r="V832" s="139"/>
      <c r="W832" s="139"/>
      <c r="X832" s="139"/>
      <c r="Y832" s="139"/>
      <c r="Z832" s="139"/>
      <c r="AA832" s="139"/>
      <c r="AB832" s="139"/>
      <c r="AC832" s="139"/>
      <c r="AD832" s="139"/>
      <c r="AE832" s="139"/>
      <c r="AF832" s="139"/>
      <c r="AG832" s="139"/>
      <c r="AH832" s="139"/>
      <c r="AI832" s="139"/>
      <c r="AJ832" s="139"/>
      <c r="AK832" s="139"/>
      <c r="AL832" s="139"/>
      <c r="AM832" s="139"/>
      <c r="AN832" s="139"/>
      <c r="AO832" s="139"/>
      <c r="AP832" s="139"/>
      <c r="AQ832" s="139"/>
    </row>
    <row r="833" spans="1:43" ht="12.75" customHeight="1">
      <c r="A833" s="139"/>
      <c r="B833" s="139"/>
      <c r="C833" s="139"/>
      <c r="D833" s="139"/>
      <c r="E833" s="139"/>
      <c r="F833" s="139"/>
      <c r="G833" s="139"/>
      <c r="H833" s="139"/>
      <c r="I833" s="139"/>
      <c r="J833" s="139"/>
      <c r="K833" s="139"/>
      <c r="L833" s="139"/>
      <c r="M833" s="139"/>
      <c r="N833" s="139"/>
      <c r="O833" s="139"/>
      <c r="P833" s="139"/>
      <c r="Q833" s="139"/>
      <c r="R833" s="139"/>
      <c r="S833" s="139"/>
      <c r="T833" s="139"/>
      <c r="U833" s="139"/>
      <c r="V833" s="139"/>
      <c r="W833" s="139"/>
      <c r="X833" s="139"/>
      <c r="Y833" s="139"/>
      <c r="Z833" s="139"/>
      <c r="AA833" s="139"/>
      <c r="AB833" s="139"/>
      <c r="AC833" s="139"/>
      <c r="AD833" s="139"/>
      <c r="AE833" s="139"/>
      <c r="AF833" s="139"/>
      <c r="AG833" s="139"/>
      <c r="AH833" s="139"/>
      <c r="AI833" s="139"/>
      <c r="AJ833" s="139"/>
      <c r="AK833" s="139"/>
      <c r="AL833" s="139"/>
      <c r="AM833" s="139"/>
      <c r="AN833" s="139"/>
      <c r="AO833" s="139"/>
      <c r="AP833" s="139"/>
      <c r="AQ833" s="139"/>
    </row>
    <row r="834" spans="1:43" ht="12.75" customHeight="1">
      <c r="A834" s="139"/>
      <c r="B834" s="139"/>
      <c r="C834" s="139"/>
      <c r="D834" s="139"/>
      <c r="E834" s="139"/>
      <c r="F834" s="139"/>
      <c r="G834" s="139"/>
      <c r="H834" s="139"/>
      <c r="I834" s="139"/>
      <c r="J834" s="139"/>
      <c r="K834" s="139"/>
      <c r="L834" s="139"/>
      <c r="M834" s="139"/>
      <c r="N834" s="139"/>
      <c r="O834" s="139"/>
      <c r="P834" s="139"/>
      <c r="Q834" s="139"/>
      <c r="R834" s="139"/>
      <c r="S834" s="139"/>
      <c r="T834" s="139"/>
      <c r="U834" s="139"/>
      <c r="V834" s="139"/>
      <c r="W834" s="139"/>
      <c r="X834" s="139"/>
      <c r="Y834" s="139"/>
      <c r="Z834" s="139"/>
      <c r="AA834" s="139"/>
      <c r="AB834" s="139"/>
      <c r="AC834" s="139"/>
      <c r="AD834" s="139"/>
      <c r="AE834" s="139"/>
      <c r="AF834" s="139"/>
      <c r="AG834" s="139"/>
      <c r="AH834" s="139"/>
      <c r="AI834" s="139"/>
      <c r="AJ834" s="139"/>
      <c r="AK834" s="139"/>
      <c r="AL834" s="139"/>
      <c r="AM834" s="139"/>
      <c r="AN834" s="139"/>
      <c r="AO834" s="139"/>
      <c r="AP834" s="139"/>
      <c r="AQ834" s="139"/>
    </row>
    <row r="835" spans="1:43" ht="12.75" customHeight="1">
      <c r="A835" s="139"/>
      <c r="B835" s="139"/>
      <c r="C835" s="139"/>
      <c r="D835" s="139"/>
      <c r="E835" s="139"/>
      <c r="F835" s="139"/>
      <c r="G835" s="139"/>
      <c r="H835" s="139"/>
      <c r="I835" s="139"/>
      <c r="J835" s="139"/>
      <c r="K835" s="139"/>
      <c r="L835" s="139"/>
      <c r="M835" s="139"/>
      <c r="N835" s="139"/>
      <c r="O835" s="139"/>
      <c r="P835" s="139"/>
      <c r="Q835" s="139"/>
      <c r="R835" s="139"/>
      <c r="S835" s="139"/>
      <c r="T835" s="139"/>
      <c r="U835" s="139"/>
      <c r="V835" s="139"/>
      <c r="W835" s="139"/>
      <c r="X835" s="139"/>
      <c r="Y835" s="139"/>
      <c r="Z835" s="139"/>
      <c r="AA835" s="139"/>
      <c r="AB835" s="139"/>
      <c r="AC835" s="139"/>
      <c r="AD835" s="139"/>
      <c r="AE835" s="139"/>
      <c r="AF835" s="139"/>
      <c r="AG835" s="139"/>
      <c r="AH835" s="139"/>
      <c r="AI835" s="139"/>
      <c r="AJ835" s="139"/>
      <c r="AK835" s="139"/>
      <c r="AL835" s="139"/>
      <c r="AM835" s="139"/>
      <c r="AN835" s="139"/>
      <c r="AO835" s="139"/>
      <c r="AP835" s="139"/>
      <c r="AQ835" s="139"/>
    </row>
    <row r="836" spans="1:43" ht="12.75" customHeight="1">
      <c r="A836" s="139"/>
      <c r="B836" s="139"/>
      <c r="C836" s="139"/>
      <c r="D836" s="139"/>
      <c r="E836" s="139"/>
      <c r="F836" s="139"/>
      <c r="G836" s="139"/>
      <c r="H836" s="139"/>
      <c r="I836" s="139"/>
      <c r="J836" s="139"/>
      <c r="K836" s="139"/>
      <c r="L836" s="139"/>
      <c r="M836" s="139"/>
      <c r="N836" s="139"/>
      <c r="O836" s="139"/>
      <c r="P836" s="139"/>
      <c r="Q836" s="139"/>
      <c r="R836" s="139"/>
      <c r="S836" s="139"/>
      <c r="T836" s="139"/>
      <c r="U836" s="139"/>
      <c r="V836" s="139"/>
      <c r="W836" s="139"/>
      <c r="X836" s="139"/>
      <c r="Y836" s="139"/>
      <c r="Z836" s="139"/>
      <c r="AA836" s="139"/>
      <c r="AB836" s="139"/>
      <c r="AC836" s="139"/>
      <c r="AD836" s="139"/>
      <c r="AE836" s="139"/>
      <c r="AF836" s="139"/>
      <c r="AG836" s="139"/>
      <c r="AH836" s="139"/>
      <c r="AI836" s="139"/>
      <c r="AJ836" s="139"/>
      <c r="AK836" s="139"/>
      <c r="AL836" s="139"/>
      <c r="AM836" s="139"/>
      <c r="AN836" s="139"/>
      <c r="AO836" s="139"/>
      <c r="AP836" s="139"/>
      <c r="AQ836" s="139"/>
    </row>
    <row r="837" spans="1:43" ht="12.75" customHeight="1">
      <c r="A837" s="139"/>
      <c r="B837" s="139"/>
      <c r="C837" s="139"/>
      <c r="D837" s="139"/>
      <c r="E837" s="139"/>
      <c r="F837" s="139"/>
      <c r="G837" s="139"/>
      <c r="H837" s="139"/>
      <c r="I837" s="139"/>
      <c r="J837" s="139"/>
      <c r="K837" s="139"/>
      <c r="L837" s="139"/>
      <c r="M837" s="139"/>
      <c r="N837" s="139"/>
      <c r="O837" s="139"/>
      <c r="P837" s="139"/>
      <c r="Q837" s="139"/>
      <c r="R837" s="139"/>
      <c r="S837" s="139"/>
      <c r="T837" s="139"/>
      <c r="U837" s="139"/>
      <c r="V837" s="139"/>
      <c r="W837" s="139"/>
      <c r="X837" s="139"/>
      <c r="Y837" s="139"/>
      <c r="Z837" s="139"/>
      <c r="AA837" s="139"/>
      <c r="AB837" s="139"/>
      <c r="AC837" s="139"/>
      <c r="AD837" s="139"/>
      <c r="AE837" s="139"/>
      <c r="AF837" s="139"/>
      <c r="AG837" s="139"/>
      <c r="AH837" s="139"/>
      <c r="AI837" s="139"/>
      <c r="AJ837" s="139"/>
      <c r="AK837" s="139"/>
      <c r="AL837" s="139"/>
      <c r="AM837" s="139"/>
      <c r="AN837" s="139"/>
      <c r="AO837" s="139"/>
      <c r="AP837" s="139"/>
      <c r="AQ837" s="139"/>
    </row>
    <row r="838" spans="1:43" ht="12.75" customHeight="1">
      <c r="A838" s="139"/>
      <c r="B838" s="139"/>
      <c r="C838" s="139"/>
      <c r="D838" s="139"/>
      <c r="E838" s="139"/>
      <c r="F838" s="139"/>
      <c r="G838" s="139"/>
      <c r="H838" s="139"/>
      <c r="I838" s="139"/>
      <c r="J838" s="139"/>
      <c r="K838" s="139"/>
      <c r="L838" s="139"/>
      <c r="M838" s="139"/>
      <c r="N838" s="139"/>
      <c r="O838" s="139"/>
      <c r="P838" s="139"/>
      <c r="Q838" s="139"/>
      <c r="R838" s="139"/>
      <c r="S838" s="139"/>
      <c r="T838" s="139"/>
      <c r="U838" s="139"/>
      <c r="V838" s="139"/>
      <c r="W838" s="139"/>
      <c r="X838" s="139"/>
      <c r="Y838" s="139"/>
      <c r="Z838" s="139"/>
      <c r="AA838" s="139"/>
      <c r="AB838" s="139"/>
      <c r="AC838" s="139"/>
      <c r="AD838" s="139"/>
      <c r="AE838" s="139"/>
      <c r="AF838" s="139"/>
      <c r="AG838" s="139"/>
      <c r="AH838" s="139"/>
      <c r="AI838" s="139"/>
      <c r="AJ838" s="139"/>
      <c r="AK838" s="139"/>
      <c r="AL838" s="139"/>
      <c r="AM838" s="139"/>
      <c r="AN838" s="139"/>
      <c r="AO838" s="139"/>
      <c r="AP838" s="139"/>
      <c r="AQ838" s="139"/>
    </row>
    <row r="839" spans="1:43" ht="12.75" customHeight="1">
      <c r="A839" s="139"/>
      <c r="B839" s="139"/>
      <c r="C839" s="139"/>
      <c r="D839" s="139"/>
      <c r="E839" s="139"/>
      <c r="F839" s="139"/>
      <c r="G839" s="139"/>
      <c r="H839" s="139"/>
      <c r="I839" s="139"/>
      <c r="J839" s="139"/>
      <c r="K839" s="139"/>
      <c r="L839" s="139"/>
      <c r="M839" s="139"/>
      <c r="N839" s="139"/>
      <c r="O839" s="139"/>
      <c r="P839" s="139"/>
      <c r="Q839" s="139"/>
      <c r="R839" s="139"/>
      <c r="S839" s="139"/>
      <c r="T839" s="139"/>
      <c r="U839" s="139"/>
      <c r="V839" s="139"/>
      <c r="W839" s="139"/>
      <c r="X839" s="139"/>
      <c r="Y839" s="139"/>
      <c r="Z839" s="139"/>
      <c r="AA839" s="139"/>
      <c r="AB839" s="139"/>
      <c r="AC839" s="139"/>
      <c r="AD839" s="139"/>
      <c r="AE839" s="139"/>
      <c r="AF839" s="139"/>
      <c r="AG839" s="139"/>
      <c r="AH839" s="139"/>
      <c r="AI839" s="139"/>
      <c r="AJ839" s="139"/>
      <c r="AK839" s="139"/>
      <c r="AL839" s="139"/>
      <c r="AM839" s="139"/>
      <c r="AN839" s="139"/>
      <c r="AO839" s="139"/>
      <c r="AP839" s="139"/>
      <c r="AQ839" s="139"/>
    </row>
    <row r="840" spans="1:43" ht="12.75" customHeight="1">
      <c r="A840" s="139"/>
      <c r="B840" s="139"/>
      <c r="C840" s="139"/>
      <c r="D840" s="139"/>
      <c r="E840" s="139"/>
      <c r="F840" s="139"/>
      <c r="G840" s="139"/>
      <c r="H840" s="139"/>
      <c r="I840" s="139"/>
      <c r="J840" s="139"/>
      <c r="K840" s="139"/>
      <c r="L840" s="139"/>
      <c r="M840" s="139"/>
      <c r="N840" s="139"/>
      <c r="O840" s="139"/>
      <c r="P840" s="139"/>
      <c r="Q840" s="139"/>
      <c r="R840" s="139"/>
      <c r="S840" s="139"/>
      <c r="T840" s="139"/>
      <c r="U840" s="139"/>
      <c r="V840" s="139"/>
      <c r="W840" s="139"/>
      <c r="X840" s="139"/>
      <c r="Y840" s="139"/>
      <c r="Z840" s="139"/>
      <c r="AA840" s="139"/>
      <c r="AB840" s="139"/>
      <c r="AC840" s="139"/>
      <c r="AD840" s="139"/>
      <c r="AE840" s="139"/>
      <c r="AF840" s="139"/>
      <c r="AG840" s="139"/>
      <c r="AH840" s="139"/>
      <c r="AI840" s="139"/>
      <c r="AJ840" s="139"/>
      <c r="AK840" s="139"/>
      <c r="AL840" s="139"/>
      <c r="AM840" s="139"/>
      <c r="AN840" s="139"/>
      <c r="AO840" s="139"/>
      <c r="AP840" s="139"/>
      <c r="AQ840" s="139"/>
    </row>
    <row r="841" spans="1:43" ht="12.75" customHeight="1">
      <c r="A841" s="139"/>
      <c r="B841" s="139"/>
      <c r="C841" s="139"/>
      <c r="D841" s="139"/>
      <c r="E841" s="139"/>
      <c r="F841" s="139"/>
      <c r="G841" s="139"/>
      <c r="H841" s="139"/>
      <c r="I841" s="139"/>
      <c r="J841" s="139"/>
      <c r="K841" s="139"/>
      <c r="L841" s="139"/>
      <c r="M841" s="139"/>
      <c r="N841" s="139"/>
      <c r="O841" s="139"/>
      <c r="P841" s="139"/>
      <c r="Q841" s="139"/>
      <c r="R841" s="139"/>
      <c r="S841" s="139"/>
      <c r="T841" s="139"/>
      <c r="U841" s="139"/>
      <c r="V841" s="139"/>
      <c r="W841" s="139"/>
      <c r="X841" s="139"/>
      <c r="Y841" s="139"/>
      <c r="Z841" s="139"/>
      <c r="AA841" s="139"/>
      <c r="AB841" s="139"/>
      <c r="AC841" s="139"/>
      <c r="AD841" s="139"/>
      <c r="AE841" s="139"/>
      <c r="AF841" s="139"/>
      <c r="AG841" s="139"/>
      <c r="AH841" s="139"/>
      <c r="AI841" s="139"/>
      <c r="AJ841" s="139"/>
      <c r="AK841" s="139"/>
      <c r="AL841" s="139"/>
      <c r="AM841" s="139"/>
      <c r="AN841" s="139"/>
      <c r="AO841" s="139"/>
      <c r="AP841" s="139"/>
      <c r="AQ841" s="139"/>
    </row>
    <row r="842" spans="1:43" ht="12.75" customHeight="1">
      <c r="A842" s="139"/>
      <c r="B842" s="139"/>
      <c r="C842" s="139"/>
      <c r="D842" s="139"/>
      <c r="E842" s="139"/>
      <c r="F842" s="139"/>
      <c r="G842" s="139"/>
      <c r="H842" s="139"/>
      <c r="I842" s="139"/>
      <c r="J842" s="139"/>
      <c r="K842" s="139"/>
      <c r="L842" s="139"/>
      <c r="M842" s="139"/>
      <c r="N842" s="139"/>
      <c r="O842" s="139"/>
      <c r="P842" s="139"/>
      <c r="Q842" s="139"/>
      <c r="R842" s="139"/>
      <c r="S842" s="139"/>
      <c r="T842" s="139"/>
      <c r="U842" s="139"/>
      <c r="V842" s="139"/>
      <c r="W842" s="139"/>
      <c r="X842" s="139"/>
      <c r="Y842" s="139"/>
      <c r="Z842" s="139"/>
      <c r="AA842" s="139"/>
      <c r="AB842" s="139"/>
      <c r="AC842" s="139"/>
      <c r="AD842" s="139"/>
      <c r="AE842" s="139"/>
      <c r="AF842" s="139"/>
      <c r="AG842" s="139"/>
      <c r="AH842" s="139"/>
      <c r="AI842" s="139"/>
      <c r="AJ842" s="139"/>
      <c r="AK842" s="139"/>
      <c r="AL842" s="139"/>
      <c r="AM842" s="139"/>
      <c r="AN842" s="139"/>
      <c r="AO842" s="139"/>
      <c r="AP842" s="139"/>
      <c r="AQ842" s="139"/>
    </row>
    <row r="843" spans="1:43" ht="12.75" customHeight="1">
      <c r="A843" s="139"/>
      <c r="B843" s="139"/>
      <c r="C843" s="139"/>
      <c r="D843" s="139"/>
      <c r="E843" s="139"/>
      <c r="F843" s="139"/>
      <c r="G843" s="139"/>
      <c r="H843" s="139"/>
      <c r="I843" s="139"/>
      <c r="J843" s="139"/>
      <c r="K843" s="139"/>
      <c r="L843" s="139"/>
      <c r="M843" s="139"/>
      <c r="N843" s="139"/>
      <c r="O843" s="139"/>
      <c r="P843" s="139"/>
      <c r="Q843" s="139"/>
      <c r="R843" s="139"/>
      <c r="S843" s="139"/>
      <c r="T843" s="139"/>
      <c r="U843" s="139"/>
      <c r="V843" s="139"/>
      <c r="W843" s="139"/>
      <c r="X843" s="139"/>
      <c r="Y843" s="139"/>
      <c r="Z843" s="139"/>
      <c r="AA843" s="139"/>
      <c r="AB843" s="139"/>
      <c r="AC843" s="139"/>
      <c r="AD843" s="139"/>
      <c r="AE843" s="139"/>
      <c r="AF843" s="139"/>
      <c r="AG843" s="139"/>
      <c r="AH843" s="139"/>
      <c r="AI843" s="139"/>
      <c r="AJ843" s="139"/>
      <c r="AK843" s="139"/>
      <c r="AL843" s="139"/>
      <c r="AM843" s="139"/>
      <c r="AN843" s="139"/>
      <c r="AO843" s="139"/>
      <c r="AP843" s="139"/>
      <c r="AQ843" s="139"/>
    </row>
    <row r="844" spans="1:43" ht="12.75" customHeight="1">
      <c r="A844" s="139"/>
      <c r="B844" s="139"/>
      <c r="C844" s="139"/>
      <c r="D844" s="139"/>
      <c r="E844" s="139"/>
      <c r="F844" s="139"/>
      <c r="G844" s="139"/>
      <c r="H844" s="139"/>
      <c r="I844" s="139"/>
      <c r="J844" s="139"/>
      <c r="K844" s="139"/>
      <c r="L844" s="139"/>
      <c r="M844" s="139"/>
      <c r="N844" s="139"/>
      <c r="O844" s="139"/>
      <c r="P844" s="139"/>
      <c r="Q844" s="139"/>
      <c r="R844" s="139"/>
      <c r="S844" s="139"/>
      <c r="T844" s="139"/>
      <c r="U844" s="139"/>
      <c r="V844" s="139"/>
      <c r="W844" s="139"/>
      <c r="X844" s="139"/>
      <c r="Y844" s="139"/>
      <c r="Z844" s="139"/>
      <c r="AA844" s="139"/>
      <c r="AB844" s="139"/>
      <c r="AC844" s="139"/>
      <c r="AD844" s="139"/>
      <c r="AE844" s="139"/>
      <c r="AF844" s="139"/>
      <c r="AG844" s="139"/>
      <c r="AH844" s="139"/>
      <c r="AI844" s="139"/>
      <c r="AJ844" s="139"/>
      <c r="AK844" s="139"/>
      <c r="AL844" s="139"/>
      <c r="AM844" s="139"/>
      <c r="AN844" s="139"/>
      <c r="AO844" s="139"/>
      <c r="AP844" s="139"/>
      <c r="AQ844" s="139"/>
    </row>
    <row r="845" spans="1:43" ht="12.75" customHeight="1">
      <c r="A845" s="139"/>
      <c r="B845" s="139"/>
      <c r="C845" s="139"/>
      <c r="D845" s="139"/>
      <c r="E845" s="139"/>
      <c r="F845" s="139"/>
      <c r="G845" s="139"/>
      <c r="H845" s="139"/>
      <c r="I845" s="139"/>
      <c r="J845" s="139"/>
      <c r="K845" s="139"/>
      <c r="L845" s="139"/>
      <c r="M845" s="139"/>
      <c r="N845" s="139"/>
      <c r="O845" s="139"/>
      <c r="P845" s="139"/>
      <c r="Q845" s="139"/>
      <c r="R845" s="139"/>
      <c r="S845" s="139"/>
      <c r="T845" s="139"/>
      <c r="U845" s="139"/>
      <c r="V845" s="139"/>
      <c r="W845" s="139"/>
      <c r="X845" s="139"/>
      <c r="Y845" s="139"/>
      <c r="Z845" s="139"/>
      <c r="AA845" s="139"/>
      <c r="AB845" s="139"/>
      <c r="AC845" s="139"/>
      <c r="AD845" s="139"/>
      <c r="AE845" s="139"/>
      <c r="AF845" s="139"/>
      <c r="AG845" s="139"/>
      <c r="AH845" s="139"/>
      <c r="AI845" s="139"/>
      <c r="AJ845" s="139"/>
      <c r="AK845" s="139"/>
      <c r="AL845" s="139"/>
      <c r="AM845" s="139"/>
      <c r="AN845" s="139"/>
      <c r="AO845" s="139"/>
      <c r="AP845" s="139"/>
      <c r="AQ845" s="139"/>
    </row>
    <row r="846" spans="1:43" ht="12.75" customHeight="1">
      <c r="A846" s="139"/>
      <c r="B846" s="139"/>
      <c r="C846" s="139"/>
      <c r="D846" s="139"/>
      <c r="E846" s="139"/>
      <c r="F846" s="139"/>
      <c r="G846" s="139"/>
      <c r="H846" s="139"/>
      <c r="I846" s="139"/>
      <c r="J846" s="139"/>
      <c r="K846" s="139"/>
      <c r="L846" s="139"/>
      <c r="M846" s="139"/>
      <c r="N846" s="139"/>
      <c r="O846" s="139"/>
      <c r="P846" s="139"/>
      <c r="Q846" s="139"/>
      <c r="R846" s="139"/>
      <c r="S846" s="139"/>
      <c r="T846" s="139"/>
      <c r="U846" s="139"/>
      <c r="V846" s="139"/>
      <c r="W846" s="139"/>
      <c r="X846" s="139"/>
      <c r="Y846" s="139"/>
      <c r="Z846" s="139"/>
      <c r="AA846" s="139"/>
      <c r="AB846" s="139"/>
      <c r="AC846" s="139"/>
      <c r="AD846" s="139"/>
      <c r="AE846" s="139"/>
      <c r="AF846" s="139"/>
      <c r="AG846" s="139"/>
      <c r="AH846" s="139"/>
      <c r="AI846" s="139"/>
      <c r="AJ846" s="139"/>
      <c r="AK846" s="139"/>
      <c r="AL846" s="139"/>
      <c r="AM846" s="139"/>
      <c r="AN846" s="139"/>
      <c r="AO846" s="139"/>
      <c r="AP846" s="139"/>
      <c r="AQ846" s="139"/>
    </row>
    <row r="847" spans="1:43" ht="12.75" customHeight="1">
      <c r="A847" s="139"/>
      <c r="B847" s="139"/>
      <c r="C847" s="139"/>
      <c r="D847" s="139"/>
      <c r="E847" s="139"/>
      <c r="F847" s="139"/>
      <c r="G847" s="139"/>
      <c r="H847" s="139"/>
      <c r="I847" s="139"/>
      <c r="J847" s="139"/>
      <c r="K847" s="139"/>
      <c r="L847" s="139"/>
      <c r="M847" s="139"/>
      <c r="N847" s="139"/>
      <c r="O847" s="139"/>
      <c r="P847" s="139"/>
      <c r="Q847" s="139"/>
      <c r="R847" s="139"/>
      <c r="S847" s="139"/>
      <c r="T847" s="139"/>
      <c r="U847" s="139"/>
      <c r="V847" s="139"/>
      <c r="W847" s="139"/>
      <c r="X847" s="139"/>
      <c r="Y847" s="139"/>
      <c r="Z847" s="139"/>
      <c r="AA847" s="139"/>
      <c r="AB847" s="139"/>
      <c r="AC847" s="139"/>
      <c r="AD847" s="139"/>
      <c r="AE847" s="139"/>
      <c r="AF847" s="139"/>
      <c r="AG847" s="139"/>
      <c r="AH847" s="139"/>
      <c r="AI847" s="139"/>
      <c r="AJ847" s="139"/>
      <c r="AK847" s="139"/>
      <c r="AL847" s="139"/>
      <c r="AM847" s="139"/>
      <c r="AN847" s="139"/>
      <c r="AO847" s="139"/>
      <c r="AP847" s="139"/>
      <c r="AQ847" s="139"/>
    </row>
    <row r="848" spans="1:43" ht="12.75" customHeight="1">
      <c r="A848" s="139"/>
      <c r="B848" s="139"/>
      <c r="C848" s="139"/>
      <c r="D848" s="139"/>
      <c r="E848" s="139"/>
      <c r="F848" s="139"/>
      <c r="G848" s="139"/>
      <c r="H848" s="139"/>
      <c r="I848" s="139"/>
      <c r="J848" s="139"/>
      <c r="K848" s="139"/>
      <c r="L848" s="139"/>
      <c r="M848" s="139"/>
      <c r="N848" s="139"/>
      <c r="O848" s="139"/>
      <c r="P848" s="139"/>
      <c r="Q848" s="139"/>
      <c r="R848" s="139"/>
      <c r="S848" s="139"/>
      <c r="T848" s="139"/>
      <c r="U848" s="139"/>
      <c r="V848" s="139"/>
      <c r="W848" s="139"/>
      <c r="X848" s="139"/>
      <c r="Y848" s="139"/>
      <c r="Z848" s="139"/>
      <c r="AA848" s="139"/>
      <c r="AB848" s="139"/>
      <c r="AC848" s="139"/>
      <c r="AD848" s="139"/>
      <c r="AE848" s="139"/>
      <c r="AF848" s="139"/>
      <c r="AG848" s="139"/>
      <c r="AH848" s="139"/>
      <c r="AI848" s="139"/>
      <c r="AJ848" s="139"/>
      <c r="AK848" s="139"/>
      <c r="AL848" s="139"/>
      <c r="AM848" s="139"/>
      <c r="AN848" s="139"/>
      <c r="AO848" s="139"/>
      <c r="AP848" s="139"/>
      <c r="AQ848" s="139"/>
    </row>
    <row r="849" spans="1:43" ht="12.75" customHeight="1">
      <c r="A849" s="139"/>
      <c r="B849" s="139"/>
      <c r="C849" s="139"/>
      <c r="D849" s="139"/>
      <c r="E849" s="139"/>
      <c r="F849" s="139"/>
      <c r="G849" s="139"/>
      <c r="H849" s="139"/>
      <c r="I849" s="139"/>
      <c r="J849" s="139"/>
      <c r="K849" s="139"/>
      <c r="L849" s="139"/>
      <c r="M849" s="139"/>
      <c r="N849" s="139"/>
      <c r="O849" s="139"/>
      <c r="P849" s="139"/>
      <c r="Q849" s="139"/>
      <c r="R849" s="139"/>
      <c r="S849" s="139"/>
      <c r="T849" s="139"/>
      <c r="U849" s="139"/>
      <c r="V849" s="139"/>
      <c r="W849" s="139"/>
      <c r="X849" s="139"/>
      <c r="Y849" s="139"/>
      <c r="Z849" s="139"/>
      <c r="AA849" s="139"/>
      <c r="AB849" s="139"/>
      <c r="AC849" s="139"/>
      <c r="AD849" s="139"/>
      <c r="AE849" s="139"/>
      <c r="AF849" s="139"/>
      <c r="AG849" s="139"/>
      <c r="AH849" s="139"/>
      <c r="AI849" s="139"/>
      <c r="AJ849" s="139"/>
      <c r="AK849" s="139"/>
      <c r="AL849" s="139"/>
      <c r="AM849" s="139"/>
      <c r="AN849" s="139"/>
      <c r="AO849" s="139"/>
      <c r="AP849" s="139"/>
      <c r="AQ849" s="139"/>
    </row>
    <row r="850" spans="1:43" ht="12.75" customHeight="1">
      <c r="A850" s="139"/>
      <c r="B850" s="139"/>
      <c r="C850" s="139"/>
      <c r="D850" s="139"/>
      <c r="E850" s="139"/>
      <c r="F850" s="139"/>
      <c r="G850" s="139"/>
      <c r="H850" s="139"/>
      <c r="I850" s="139"/>
      <c r="J850" s="139"/>
      <c r="K850" s="139"/>
      <c r="L850" s="139"/>
      <c r="M850" s="139"/>
      <c r="N850" s="139"/>
      <c r="O850" s="139"/>
      <c r="P850" s="139"/>
      <c r="Q850" s="139"/>
      <c r="R850" s="139"/>
      <c r="S850" s="139"/>
      <c r="T850" s="139"/>
      <c r="U850" s="139"/>
      <c r="V850" s="139"/>
      <c r="W850" s="139"/>
      <c r="X850" s="139"/>
      <c r="Y850" s="139"/>
      <c r="Z850" s="139"/>
      <c r="AA850" s="139"/>
      <c r="AB850" s="139"/>
      <c r="AC850" s="139"/>
      <c r="AD850" s="139"/>
      <c r="AE850" s="139"/>
      <c r="AF850" s="139"/>
      <c r="AG850" s="139"/>
      <c r="AH850" s="139"/>
      <c r="AI850" s="139"/>
      <c r="AJ850" s="139"/>
      <c r="AK850" s="139"/>
      <c r="AL850" s="139"/>
      <c r="AM850" s="139"/>
      <c r="AN850" s="139"/>
      <c r="AO850" s="139"/>
      <c r="AP850" s="139"/>
      <c r="AQ850" s="139"/>
    </row>
    <row r="851" spans="1:43" ht="12.75" customHeight="1">
      <c r="A851" s="139"/>
      <c r="B851" s="139"/>
      <c r="C851" s="139"/>
      <c r="D851" s="139"/>
      <c r="E851" s="139"/>
      <c r="F851" s="139"/>
      <c r="G851" s="139"/>
      <c r="H851" s="139"/>
      <c r="I851" s="139"/>
      <c r="J851" s="139"/>
      <c r="K851" s="139"/>
      <c r="L851" s="139"/>
      <c r="M851" s="139"/>
      <c r="N851" s="139"/>
      <c r="O851" s="139"/>
      <c r="P851" s="139"/>
      <c r="Q851" s="139"/>
      <c r="R851" s="139"/>
      <c r="S851" s="139"/>
      <c r="T851" s="139"/>
      <c r="U851" s="139"/>
      <c r="V851" s="139"/>
      <c r="W851" s="139"/>
      <c r="X851" s="139"/>
      <c r="Y851" s="139"/>
      <c r="Z851" s="139"/>
      <c r="AA851" s="139"/>
      <c r="AB851" s="139"/>
      <c r="AC851" s="139"/>
      <c r="AD851" s="139"/>
      <c r="AE851" s="139"/>
      <c r="AF851" s="139"/>
      <c r="AG851" s="139"/>
      <c r="AH851" s="139"/>
      <c r="AI851" s="139"/>
      <c r="AJ851" s="139"/>
      <c r="AK851" s="139"/>
      <c r="AL851" s="139"/>
      <c r="AM851" s="139"/>
      <c r="AN851" s="139"/>
      <c r="AO851" s="139"/>
      <c r="AP851" s="139"/>
      <c r="AQ851" s="139"/>
    </row>
    <row r="852" spans="1:43" ht="12.75" customHeight="1">
      <c r="A852" s="139"/>
      <c r="B852" s="139"/>
      <c r="C852" s="139"/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39"/>
      <c r="O852" s="139"/>
      <c r="P852" s="139"/>
      <c r="Q852" s="139"/>
      <c r="R852" s="139"/>
      <c r="S852" s="139"/>
      <c r="T852" s="139"/>
      <c r="U852" s="139"/>
      <c r="V852" s="139"/>
      <c r="W852" s="139"/>
      <c r="X852" s="139"/>
      <c r="Y852" s="139"/>
      <c r="Z852" s="139"/>
      <c r="AA852" s="139"/>
      <c r="AB852" s="139"/>
      <c r="AC852" s="139"/>
      <c r="AD852" s="139"/>
      <c r="AE852" s="139"/>
      <c r="AF852" s="139"/>
      <c r="AG852" s="139"/>
      <c r="AH852" s="139"/>
      <c r="AI852" s="139"/>
      <c r="AJ852" s="139"/>
      <c r="AK852" s="139"/>
      <c r="AL852" s="139"/>
      <c r="AM852" s="139"/>
      <c r="AN852" s="139"/>
      <c r="AO852" s="139"/>
      <c r="AP852" s="139"/>
      <c r="AQ852" s="139"/>
    </row>
    <row r="853" spans="1:43" ht="12.75" customHeight="1">
      <c r="A853" s="139"/>
      <c r="B853" s="139"/>
      <c r="C853" s="139"/>
      <c r="D853" s="139"/>
      <c r="E853" s="139"/>
      <c r="F853" s="139"/>
      <c r="G853" s="139"/>
      <c r="H853" s="139"/>
      <c r="I853" s="139"/>
      <c r="J853" s="139"/>
      <c r="K853" s="139"/>
      <c r="L853" s="139"/>
      <c r="M853" s="139"/>
      <c r="N853" s="139"/>
      <c r="O853" s="139"/>
      <c r="P853" s="139"/>
      <c r="Q853" s="139"/>
      <c r="R853" s="139"/>
      <c r="S853" s="139"/>
      <c r="T853" s="139"/>
      <c r="U853" s="139"/>
      <c r="V853" s="139"/>
      <c r="W853" s="139"/>
      <c r="X853" s="139"/>
      <c r="Y853" s="139"/>
      <c r="Z853" s="139"/>
      <c r="AA853" s="139"/>
      <c r="AB853" s="139"/>
      <c r="AC853" s="139"/>
      <c r="AD853" s="139"/>
      <c r="AE853" s="139"/>
      <c r="AF853" s="139"/>
      <c r="AG853" s="139"/>
      <c r="AH853" s="139"/>
      <c r="AI853" s="139"/>
      <c r="AJ853" s="139"/>
      <c r="AK853" s="139"/>
      <c r="AL853" s="139"/>
      <c r="AM853" s="139"/>
      <c r="AN853" s="139"/>
      <c r="AO853" s="139"/>
      <c r="AP853" s="139"/>
      <c r="AQ853" s="139"/>
    </row>
    <row r="854" spans="1:43" ht="12.75" customHeight="1">
      <c r="A854" s="139"/>
      <c r="B854" s="139"/>
      <c r="C854" s="139"/>
      <c r="D854" s="139"/>
      <c r="E854" s="139"/>
      <c r="F854" s="139"/>
      <c r="G854" s="139"/>
      <c r="H854" s="139"/>
      <c r="I854" s="139"/>
      <c r="J854" s="139"/>
      <c r="K854" s="139"/>
      <c r="L854" s="139"/>
      <c r="M854" s="139"/>
      <c r="N854" s="139"/>
      <c r="O854" s="139"/>
      <c r="P854" s="139"/>
      <c r="Q854" s="139"/>
      <c r="R854" s="139"/>
      <c r="S854" s="139"/>
      <c r="T854" s="139"/>
      <c r="U854" s="139"/>
      <c r="V854" s="139"/>
      <c r="W854" s="139"/>
      <c r="X854" s="139"/>
      <c r="Y854" s="139"/>
      <c r="Z854" s="139"/>
      <c r="AA854" s="139"/>
      <c r="AB854" s="139"/>
      <c r="AC854" s="139"/>
      <c r="AD854" s="139"/>
      <c r="AE854" s="139"/>
      <c r="AF854" s="139"/>
      <c r="AG854" s="139"/>
      <c r="AH854" s="139"/>
      <c r="AI854" s="139"/>
      <c r="AJ854" s="139"/>
      <c r="AK854" s="139"/>
      <c r="AL854" s="139"/>
      <c r="AM854" s="139"/>
      <c r="AN854" s="139"/>
      <c r="AO854" s="139"/>
      <c r="AP854" s="139"/>
      <c r="AQ854" s="139"/>
    </row>
    <row r="855" spans="1:43" ht="12.75" customHeight="1">
      <c r="A855" s="139"/>
      <c r="B855" s="139"/>
      <c r="C855" s="139"/>
      <c r="D855" s="139"/>
      <c r="E855" s="139"/>
      <c r="F855" s="139"/>
      <c r="G855" s="139"/>
      <c r="H855" s="139"/>
      <c r="I855" s="139"/>
      <c r="J855" s="139"/>
      <c r="K855" s="139"/>
      <c r="L855" s="139"/>
      <c r="M855" s="139"/>
      <c r="N855" s="139"/>
      <c r="O855" s="139"/>
      <c r="P855" s="139"/>
      <c r="Q855" s="139"/>
      <c r="R855" s="139"/>
      <c r="S855" s="139"/>
      <c r="T855" s="139"/>
      <c r="U855" s="139"/>
      <c r="V855" s="139"/>
      <c r="W855" s="139"/>
      <c r="X855" s="139"/>
      <c r="Y855" s="139"/>
      <c r="Z855" s="139"/>
      <c r="AA855" s="139"/>
      <c r="AB855" s="139"/>
      <c r="AC855" s="139"/>
      <c r="AD855" s="139"/>
      <c r="AE855" s="139"/>
      <c r="AF855" s="139"/>
      <c r="AG855" s="139"/>
      <c r="AH855" s="139"/>
      <c r="AI855" s="139"/>
      <c r="AJ855" s="139"/>
      <c r="AK855" s="139"/>
      <c r="AL855" s="139"/>
      <c r="AM855" s="139"/>
      <c r="AN855" s="139"/>
      <c r="AO855" s="139"/>
      <c r="AP855" s="139"/>
      <c r="AQ855" s="139"/>
    </row>
    <row r="856" spans="1:43" ht="12.75" customHeight="1">
      <c r="A856" s="139"/>
      <c r="B856" s="139"/>
      <c r="C856" s="139"/>
      <c r="D856" s="139"/>
      <c r="E856" s="139"/>
      <c r="F856" s="139"/>
      <c r="G856" s="139"/>
      <c r="H856" s="139"/>
      <c r="I856" s="139"/>
      <c r="J856" s="139"/>
      <c r="K856" s="139"/>
      <c r="L856" s="139"/>
      <c r="M856" s="139"/>
      <c r="N856" s="139"/>
      <c r="O856" s="139"/>
      <c r="P856" s="139"/>
      <c r="Q856" s="139"/>
      <c r="R856" s="139"/>
      <c r="S856" s="139"/>
      <c r="T856" s="139"/>
      <c r="U856" s="139"/>
      <c r="V856" s="139"/>
      <c r="W856" s="139"/>
      <c r="X856" s="139"/>
      <c r="Y856" s="139"/>
      <c r="Z856" s="139"/>
      <c r="AA856" s="139"/>
      <c r="AB856" s="139"/>
      <c r="AC856" s="139"/>
      <c r="AD856" s="139"/>
      <c r="AE856" s="139"/>
      <c r="AF856" s="139"/>
      <c r="AG856" s="139"/>
      <c r="AH856" s="139"/>
      <c r="AI856" s="139"/>
      <c r="AJ856" s="139"/>
      <c r="AK856" s="139"/>
      <c r="AL856" s="139"/>
      <c r="AM856" s="139"/>
      <c r="AN856" s="139"/>
      <c r="AO856" s="139"/>
      <c r="AP856" s="139"/>
      <c r="AQ856" s="139"/>
    </row>
    <row r="857" spans="1:43" ht="12.75" customHeight="1">
      <c r="A857" s="139"/>
      <c r="B857" s="139"/>
      <c r="C857" s="139"/>
      <c r="D857" s="139"/>
      <c r="E857" s="139"/>
      <c r="F857" s="139"/>
      <c r="G857" s="139"/>
      <c r="H857" s="139"/>
      <c r="I857" s="139"/>
      <c r="J857" s="139"/>
      <c r="K857" s="139"/>
      <c r="L857" s="139"/>
      <c r="M857" s="139"/>
      <c r="N857" s="139"/>
      <c r="O857" s="139"/>
      <c r="P857" s="139"/>
      <c r="Q857" s="139"/>
      <c r="R857" s="139"/>
      <c r="S857" s="139"/>
      <c r="T857" s="139"/>
      <c r="U857" s="139"/>
      <c r="V857" s="139"/>
      <c r="W857" s="139"/>
      <c r="X857" s="139"/>
      <c r="Y857" s="139"/>
      <c r="Z857" s="139"/>
      <c r="AA857" s="139"/>
      <c r="AB857" s="139"/>
      <c r="AC857" s="139"/>
      <c r="AD857" s="139"/>
      <c r="AE857" s="139"/>
      <c r="AF857" s="139"/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</row>
    <row r="858" spans="1:43" ht="12.75" customHeight="1">
      <c r="A858" s="139"/>
      <c r="B858" s="139"/>
      <c r="C858" s="139"/>
      <c r="D858" s="139"/>
      <c r="E858" s="139"/>
      <c r="F858" s="139"/>
      <c r="G858" s="139"/>
      <c r="H858" s="139"/>
      <c r="I858" s="139"/>
      <c r="J858" s="139"/>
      <c r="K858" s="139"/>
      <c r="L858" s="139"/>
      <c r="M858" s="139"/>
      <c r="N858" s="139"/>
      <c r="O858" s="139"/>
      <c r="P858" s="139"/>
      <c r="Q858" s="139"/>
      <c r="R858" s="139"/>
      <c r="S858" s="139"/>
      <c r="T858" s="139"/>
      <c r="U858" s="139"/>
      <c r="V858" s="139"/>
      <c r="W858" s="139"/>
      <c r="X858" s="139"/>
      <c r="Y858" s="139"/>
      <c r="Z858" s="139"/>
      <c r="AA858" s="139"/>
      <c r="AB858" s="139"/>
      <c r="AC858" s="139"/>
      <c r="AD858" s="139"/>
      <c r="AE858" s="139"/>
      <c r="AF858" s="139"/>
      <c r="AG858" s="139"/>
      <c r="AH858" s="139"/>
      <c r="AI858" s="139"/>
      <c r="AJ858" s="139"/>
      <c r="AK858" s="139"/>
      <c r="AL858" s="139"/>
      <c r="AM858" s="139"/>
      <c r="AN858" s="139"/>
      <c r="AO858" s="139"/>
      <c r="AP858" s="139"/>
      <c r="AQ858" s="139"/>
    </row>
    <row r="859" spans="1:43" ht="12.75" customHeight="1">
      <c r="A859" s="139"/>
      <c r="B859" s="139"/>
      <c r="C859" s="139"/>
      <c r="D859" s="139"/>
      <c r="E859" s="139"/>
      <c r="F859" s="139"/>
      <c r="G859" s="139"/>
      <c r="H859" s="139"/>
      <c r="I859" s="139"/>
      <c r="J859" s="139"/>
      <c r="K859" s="139"/>
      <c r="L859" s="139"/>
      <c r="M859" s="139"/>
      <c r="N859" s="139"/>
      <c r="O859" s="139"/>
      <c r="P859" s="139"/>
      <c r="Q859" s="139"/>
      <c r="R859" s="139"/>
      <c r="S859" s="139"/>
      <c r="T859" s="139"/>
      <c r="U859" s="139"/>
      <c r="V859" s="139"/>
      <c r="W859" s="139"/>
      <c r="X859" s="139"/>
      <c r="Y859" s="139"/>
      <c r="Z859" s="139"/>
      <c r="AA859" s="139"/>
      <c r="AB859" s="139"/>
      <c r="AC859" s="139"/>
      <c r="AD859" s="139"/>
      <c r="AE859" s="139"/>
      <c r="AF859" s="139"/>
      <c r="AG859" s="139"/>
      <c r="AH859" s="139"/>
      <c r="AI859" s="139"/>
      <c r="AJ859" s="139"/>
      <c r="AK859" s="139"/>
      <c r="AL859" s="139"/>
      <c r="AM859" s="139"/>
      <c r="AN859" s="139"/>
      <c r="AO859" s="139"/>
      <c r="AP859" s="139"/>
      <c r="AQ859" s="139"/>
    </row>
    <row r="860" spans="1:43" ht="12.75" customHeight="1">
      <c r="A860" s="139"/>
      <c r="B860" s="139"/>
      <c r="C860" s="139"/>
      <c r="D860" s="139"/>
      <c r="E860" s="139"/>
      <c r="F860" s="139"/>
      <c r="G860" s="139"/>
      <c r="H860" s="139"/>
      <c r="I860" s="139"/>
      <c r="J860" s="139"/>
      <c r="K860" s="139"/>
      <c r="L860" s="139"/>
      <c r="M860" s="139"/>
      <c r="N860" s="139"/>
      <c r="O860" s="139"/>
      <c r="P860" s="139"/>
      <c r="Q860" s="139"/>
      <c r="R860" s="139"/>
      <c r="S860" s="139"/>
      <c r="T860" s="139"/>
      <c r="U860" s="139"/>
      <c r="V860" s="139"/>
      <c r="W860" s="139"/>
      <c r="X860" s="139"/>
      <c r="Y860" s="139"/>
      <c r="Z860" s="139"/>
      <c r="AA860" s="139"/>
      <c r="AB860" s="139"/>
      <c r="AC860" s="139"/>
      <c r="AD860" s="139"/>
      <c r="AE860" s="139"/>
      <c r="AF860" s="139"/>
      <c r="AG860" s="139"/>
      <c r="AH860" s="139"/>
      <c r="AI860" s="139"/>
      <c r="AJ860" s="139"/>
      <c r="AK860" s="139"/>
      <c r="AL860" s="139"/>
      <c r="AM860" s="139"/>
      <c r="AN860" s="139"/>
      <c r="AO860" s="139"/>
      <c r="AP860" s="139"/>
      <c r="AQ860" s="139"/>
    </row>
    <row r="861" spans="1:43" ht="12.75" customHeight="1">
      <c r="A861" s="139"/>
      <c r="B861" s="139"/>
      <c r="C861" s="139"/>
      <c r="D861" s="139"/>
      <c r="E861" s="139"/>
      <c r="F861" s="139"/>
      <c r="G861" s="139"/>
      <c r="H861" s="139"/>
      <c r="I861" s="139"/>
      <c r="J861" s="139"/>
      <c r="K861" s="139"/>
      <c r="L861" s="139"/>
      <c r="M861" s="139"/>
      <c r="N861" s="139"/>
      <c r="O861" s="139"/>
      <c r="P861" s="139"/>
      <c r="Q861" s="139"/>
      <c r="R861" s="139"/>
      <c r="S861" s="139"/>
      <c r="T861" s="139"/>
      <c r="U861" s="139"/>
      <c r="V861" s="139"/>
      <c r="W861" s="139"/>
      <c r="X861" s="139"/>
      <c r="Y861" s="139"/>
      <c r="Z861" s="139"/>
      <c r="AA861" s="139"/>
      <c r="AB861" s="139"/>
      <c r="AC861" s="139"/>
      <c r="AD861" s="139"/>
      <c r="AE861" s="139"/>
      <c r="AF861" s="139"/>
      <c r="AG861" s="139"/>
      <c r="AH861" s="139"/>
      <c r="AI861" s="139"/>
      <c r="AJ861" s="139"/>
      <c r="AK861" s="139"/>
      <c r="AL861" s="139"/>
      <c r="AM861" s="139"/>
      <c r="AN861" s="139"/>
      <c r="AO861" s="139"/>
      <c r="AP861" s="139"/>
      <c r="AQ861" s="139"/>
    </row>
    <row r="862" spans="1:43" ht="12.75" customHeight="1">
      <c r="A862" s="139"/>
      <c r="B862" s="139"/>
      <c r="C862" s="139"/>
      <c r="D862" s="139"/>
      <c r="E862" s="139"/>
      <c r="F862" s="139"/>
      <c r="G862" s="139"/>
      <c r="H862" s="139"/>
      <c r="I862" s="139"/>
      <c r="J862" s="139"/>
      <c r="K862" s="139"/>
      <c r="L862" s="139"/>
      <c r="M862" s="139"/>
      <c r="N862" s="139"/>
      <c r="O862" s="139"/>
      <c r="P862" s="139"/>
      <c r="Q862" s="139"/>
      <c r="R862" s="139"/>
      <c r="S862" s="139"/>
      <c r="T862" s="139"/>
      <c r="U862" s="139"/>
      <c r="V862" s="139"/>
      <c r="W862" s="139"/>
      <c r="X862" s="139"/>
      <c r="Y862" s="139"/>
      <c r="Z862" s="139"/>
      <c r="AA862" s="139"/>
      <c r="AB862" s="139"/>
      <c r="AC862" s="139"/>
      <c r="AD862" s="139"/>
      <c r="AE862" s="139"/>
      <c r="AF862" s="139"/>
      <c r="AG862" s="139"/>
      <c r="AH862" s="139"/>
      <c r="AI862" s="139"/>
      <c r="AJ862" s="139"/>
      <c r="AK862" s="139"/>
      <c r="AL862" s="139"/>
      <c r="AM862" s="139"/>
      <c r="AN862" s="139"/>
      <c r="AO862" s="139"/>
      <c r="AP862" s="139"/>
      <c r="AQ862" s="139"/>
    </row>
    <row r="863" spans="1:43" ht="12.75" customHeight="1">
      <c r="A863" s="139"/>
      <c r="B863" s="139"/>
      <c r="C863" s="139"/>
      <c r="D863" s="139"/>
      <c r="E863" s="139"/>
      <c r="F863" s="139"/>
      <c r="G863" s="139"/>
      <c r="H863" s="139"/>
      <c r="I863" s="139"/>
      <c r="J863" s="139"/>
      <c r="K863" s="139"/>
      <c r="L863" s="139"/>
      <c r="M863" s="139"/>
      <c r="N863" s="139"/>
      <c r="O863" s="139"/>
      <c r="P863" s="139"/>
      <c r="Q863" s="139"/>
      <c r="R863" s="139"/>
      <c r="S863" s="139"/>
      <c r="T863" s="139"/>
      <c r="U863" s="139"/>
      <c r="V863" s="139"/>
      <c r="W863" s="139"/>
      <c r="X863" s="139"/>
      <c r="Y863" s="139"/>
      <c r="Z863" s="139"/>
      <c r="AA863" s="139"/>
      <c r="AB863" s="139"/>
      <c r="AC863" s="139"/>
      <c r="AD863" s="139"/>
      <c r="AE863" s="139"/>
      <c r="AF863" s="139"/>
      <c r="AG863" s="139"/>
      <c r="AH863" s="139"/>
      <c r="AI863" s="139"/>
      <c r="AJ863" s="139"/>
      <c r="AK863" s="139"/>
      <c r="AL863" s="139"/>
      <c r="AM863" s="139"/>
      <c r="AN863" s="139"/>
      <c r="AO863" s="139"/>
      <c r="AP863" s="139"/>
      <c r="AQ863" s="139"/>
    </row>
    <row r="864" spans="1:43" ht="12.75" customHeight="1">
      <c r="A864" s="139"/>
      <c r="B864" s="139"/>
      <c r="C864" s="139"/>
      <c r="D864" s="139"/>
      <c r="E864" s="139"/>
      <c r="F864" s="139"/>
      <c r="G864" s="139"/>
      <c r="H864" s="139"/>
      <c r="I864" s="139"/>
      <c r="J864" s="139"/>
      <c r="K864" s="139"/>
      <c r="L864" s="139"/>
      <c r="M864" s="139"/>
      <c r="N864" s="139"/>
      <c r="O864" s="139"/>
      <c r="P864" s="139"/>
      <c r="Q864" s="139"/>
      <c r="R864" s="139"/>
      <c r="S864" s="139"/>
      <c r="T864" s="139"/>
      <c r="U864" s="139"/>
      <c r="V864" s="139"/>
      <c r="W864" s="139"/>
      <c r="X864" s="139"/>
      <c r="Y864" s="139"/>
      <c r="Z864" s="139"/>
      <c r="AA864" s="139"/>
      <c r="AB864" s="139"/>
      <c r="AC864" s="139"/>
      <c r="AD864" s="139"/>
      <c r="AE864" s="139"/>
      <c r="AF864" s="139"/>
      <c r="AG864" s="139"/>
      <c r="AH864" s="139"/>
      <c r="AI864" s="139"/>
      <c r="AJ864" s="139"/>
      <c r="AK864" s="139"/>
      <c r="AL864" s="139"/>
      <c r="AM864" s="139"/>
      <c r="AN864" s="139"/>
      <c r="AO864" s="139"/>
      <c r="AP864" s="139"/>
      <c r="AQ864" s="139"/>
    </row>
    <row r="865" spans="1:43" ht="12.75" customHeight="1">
      <c r="A865" s="139"/>
      <c r="B865" s="139"/>
      <c r="C865" s="139"/>
      <c r="D865" s="139"/>
      <c r="E865" s="139"/>
      <c r="F865" s="139"/>
      <c r="G865" s="139"/>
      <c r="H865" s="139"/>
      <c r="I865" s="139"/>
      <c r="J865" s="139"/>
      <c r="K865" s="139"/>
      <c r="L865" s="139"/>
      <c r="M865" s="139"/>
      <c r="N865" s="139"/>
      <c r="O865" s="139"/>
      <c r="P865" s="139"/>
      <c r="Q865" s="139"/>
      <c r="R865" s="139"/>
      <c r="S865" s="139"/>
      <c r="T865" s="139"/>
      <c r="U865" s="139"/>
      <c r="V865" s="139"/>
      <c r="W865" s="139"/>
      <c r="X865" s="139"/>
      <c r="Y865" s="139"/>
      <c r="Z865" s="139"/>
      <c r="AA865" s="139"/>
      <c r="AB865" s="139"/>
      <c r="AC865" s="139"/>
      <c r="AD865" s="139"/>
      <c r="AE865" s="139"/>
      <c r="AF865" s="139"/>
      <c r="AG865" s="139"/>
      <c r="AH865" s="139"/>
      <c r="AI865" s="139"/>
      <c r="AJ865" s="139"/>
      <c r="AK865" s="139"/>
      <c r="AL865" s="139"/>
      <c r="AM865" s="139"/>
      <c r="AN865" s="139"/>
      <c r="AO865" s="139"/>
      <c r="AP865" s="139"/>
      <c r="AQ865" s="139"/>
    </row>
    <row r="866" spans="1:43" ht="12.75" customHeight="1">
      <c r="A866" s="139"/>
      <c r="B866" s="139"/>
      <c r="C866" s="139"/>
      <c r="D866" s="139"/>
      <c r="E866" s="139"/>
      <c r="F866" s="139"/>
      <c r="G866" s="139"/>
      <c r="H866" s="139"/>
      <c r="I866" s="139"/>
      <c r="J866" s="139"/>
      <c r="K866" s="139"/>
      <c r="L866" s="139"/>
      <c r="M866" s="139"/>
      <c r="N866" s="139"/>
      <c r="O866" s="139"/>
      <c r="P866" s="139"/>
      <c r="Q866" s="139"/>
      <c r="R866" s="139"/>
      <c r="S866" s="139"/>
      <c r="T866" s="139"/>
      <c r="U866" s="139"/>
      <c r="V866" s="139"/>
      <c r="W866" s="139"/>
      <c r="X866" s="139"/>
      <c r="Y866" s="139"/>
      <c r="Z866" s="139"/>
      <c r="AA866" s="139"/>
      <c r="AB866" s="139"/>
      <c r="AC866" s="139"/>
      <c r="AD866" s="139"/>
      <c r="AE866" s="139"/>
      <c r="AF866" s="139"/>
      <c r="AG866" s="139"/>
      <c r="AH866" s="139"/>
      <c r="AI866" s="139"/>
      <c r="AJ866" s="139"/>
      <c r="AK866" s="139"/>
      <c r="AL866" s="139"/>
      <c r="AM866" s="139"/>
      <c r="AN866" s="139"/>
      <c r="AO866" s="139"/>
      <c r="AP866" s="139"/>
      <c r="AQ866" s="139"/>
    </row>
    <row r="867" spans="1:43" ht="12.75" customHeight="1">
      <c r="A867" s="139"/>
      <c r="B867" s="139"/>
      <c r="C867" s="139"/>
      <c r="D867" s="139"/>
      <c r="E867" s="139"/>
      <c r="F867" s="139"/>
      <c r="G867" s="139"/>
      <c r="H867" s="139"/>
      <c r="I867" s="139"/>
      <c r="J867" s="139"/>
      <c r="K867" s="139"/>
      <c r="L867" s="139"/>
      <c r="M867" s="139"/>
      <c r="N867" s="139"/>
      <c r="O867" s="139"/>
      <c r="P867" s="139"/>
      <c r="Q867" s="139"/>
      <c r="R867" s="139"/>
      <c r="S867" s="139"/>
      <c r="T867" s="139"/>
      <c r="U867" s="139"/>
      <c r="V867" s="139"/>
      <c r="W867" s="139"/>
      <c r="X867" s="139"/>
      <c r="Y867" s="139"/>
      <c r="Z867" s="139"/>
      <c r="AA867" s="139"/>
      <c r="AB867" s="139"/>
      <c r="AC867" s="139"/>
      <c r="AD867" s="139"/>
      <c r="AE867" s="139"/>
      <c r="AF867" s="139"/>
      <c r="AG867" s="139"/>
      <c r="AH867" s="139"/>
      <c r="AI867" s="139"/>
      <c r="AJ867" s="139"/>
      <c r="AK867" s="139"/>
      <c r="AL867" s="139"/>
      <c r="AM867" s="139"/>
      <c r="AN867" s="139"/>
      <c r="AO867" s="139"/>
      <c r="AP867" s="139"/>
      <c r="AQ867" s="139"/>
    </row>
    <row r="868" spans="1:43" ht="12.75" customHeight="1">
      <c r="A868" s="139"/>
      <c r="B868" s="139"/>
      <c r="C868" s="139"/>
      <c r="D868" s="139"/>
      <c r="E868" s="139"/>
      <c r="F868" s="139"/>
      <c r="G868" s="139"/>
      <c r="H868" s="139"/>
      <c r="I868" s="139"/>
      <c r="J868" s="139"/>
      <c r="K868" s="139"/>
      <c r="L868" s="139"/>
      <c r="M868" s="139"/>
      <c r="N868" s="139"/>
      <c r="O868" s="139"/>
      <c r="P868" s="139"/>
      <c r="Q868" s="139"/>
      <c r="R868" s="139"/>
      <c r="S868" s="139"/>
      <c r="T868" s="139"/>
      <c r="U868" s="139"/>
      <c r="V868" s="139"/>
      <c r="W868" s="139"/>
      <c r="X868" s="139"/>
      <c r="Y868" s="139"/>
      <c r="Z868" s="139"/>
      <c r="AA868" s="139"/>
      <c r="AB868" s="139"/>
      <c r="AC868" s="139"/>
      <c r="AD868" s="139"/>
      <c r="AE868" s="139"/>
      <c r="AF868" s="139"/>
      <c r="AG868" s="139"/>
      <c r="AH868" s="139"/>
      <c r="AI868" s="139"/>
      <c r="AJ868" s="139"/>
      <c r="AK868" s="139"/>
      <c r="AL868" s="139"/>
      <c r="AM868" s="139"/>
      <c r="AN868" s="139"/>
      <c r="AO868" s="139"/>
      <c r="AP868" s="139"/>
      <c r="AQ868" s="139"/>
    </row>
    <row r="869" spans="1:43" ht="12.75" customHeight="1">
      <c r="A869" s="139"/>
      <c r="B869" s="139"/>
      <c r="C869" s="139"/>
      <c r="D869" s="139"/>
      <c r="E869" s="139"/>
      <c r="F869" s="139"/>
      <c r="G869" s="139"/>
      <c r="H869" s="139"/>
      <c r="I869" s="139"/>
      <c r="J869" s="139"/>
      <c r="K869" s="139"/>
      <c r="L869" s="139"/>
      <c r="M869" s="139"/>
      <c r="N869" s="139"/>
      <c r="O869" s="139"/>
      <c r="P869" s="139"/>
      <c r="Q869" s="139"/>
      <c r="R869" s="139"/>
      <c r="S869" s="139"/>
      <c r="T869" s="139"/>
      <c r="U869" s="139"/>
      <c r="V869" s="139"/>
      <c r="W869" s="139"/>
      <c r="X869" s="139"/>
      <c r="Y869" s="139"/>
      <c r="Z869" s="139"/>
      <c r="AA869" s="139"/>
      <c r="AB869" s="139"/>
      <c r="AC869" s="139"/>
      <c r="AD869" s="139"/>
      <c r="AE869" s="139"/>
      <c r="AF869" s="139"/>
      <c r="AG869" s="139"/>
      <c r="AH869" s="139"/>
      <c r="AI869" s="139"/>
      <c r="AJ869" s="139"/>
      <c r="AK869" s="139"/>
      <c r="AL869" s="139"/>
      <c r="AM869" s="139"/>
      <c r="AN869" s="139"/>
      <c r="AO869" s="139"/>
      <c r="AP869" s="139"/>
      <c r="AQ869" s="139"/>
    </row>
    <row r="870" spans="1:43" ht="12.75" customHeight="1">
      <c r="A870" s="139"/>
      <c r="B870" s="139"/>
      <c r="C870" s="139"/>
      <c r="D870" s="139"/>
      <c r="E870" s="139"/>
      <c r="F870" s="139"/>
      <c r="G870" s="139"/>
      <c r="H870" s="139"/>
      <c r="I870" s="139"/>
      <c r="J870" s="139"/>
      <c r="K870" s="139"/>
      <c r="L870" s="139"/>
      <c r="M870" s="139"/>
      <c r="N870" s="139"/>
      <c r="O870" s="139"/>
      <c r="P870" s="139"/>
      <c r="Q870" s="139"/>
      <c r="R870" s="139"/>
      <c r="S870" s="139"/>
      <c r="T870" s="139"/>
      <c r="U870" s="139"/>
      <c r="V870" s="139"/>
      <c r="W870" s="139"/>
      <c r="X870" s="139"/>
      <c r="Y870" s="139"/>
      <c r="Z870" s="139"/>
      <c r="AA870" s="139"/>
      <c r="AB870" s="139"/>
      <c r="AC870" s="139"/>
      <c r="AD870" s="139"/>
      <c r="AE870" s="139"/>
      <c r="AF870" s="139"/>
      <c r="AG870" s="139"/>
      <c r="AH870" s="139"/>
      <c r="AI870" s="139"/>
      <c r="AJ870" s="139"/>
      <c r="AK870" s="139"/>
      <c r="AL870" s="139"/>
      <c r="AM870" s="139"/>
      <c r="AN870" s="139"/>
      <c r="AO870" s="139"/>
      <c r="AP870" s="139"/>
      <c r="AQ870" s="139"/>
    </row>
    <row r="871" spans="1:43" ht="12.75" customHeight="1">
      <c r="A871" s="139"/>
      <c r="B871" s="139"/>
      <c r="C871" s="139"/>
      <c r="D871" s="139"/>
      <c r="E871" s="139"/>
      <c r="F871" s="139"/>
      <c r="G871" s="139"/>
      <c r="H871" s="139"/>
      <c r="I871" s="139"/>
      <c r="J871" s="139"/>
      <c r="K871" s="139"/>
      <c r="L871" s="139"/>
      <c r="M871" s="139"/>
      <c r="N871" s="139"/>
      <c r="O871" s="139"/>
      <c r="P871" s="139"/>
      <c r="Q871" s="139"/>
      <c r="R871" s="139"/>
      <c r="S871" s="139"/>
      <c r="T871" s="139"/>
      <c r="U871" s="139"/>
      <c r="V871" s="139"/>
      <c r="W871" s="139"/>
      <c r="X871" s="139"/>
      <c r="Y871" s="139"/>
      <c r="Z871" s="139"/>
      <c r="AA871" s="139"/>
      <c r="AB871" s="139"/>
      <c r="AC871" s="139"/>
      <c r="AD871" s="139"/>
      <c r="AE871" s="139"/>
      <c r="AF871" s="139"/>
      <c r="AG871" s="139"/>
      <c r="AH871" s="139"/>
      <c r="AI871" s="139"/>
      <c r="AJ871" s="139"/>
      <c r="AK871" s="139"/>
      <c r="AL871" s="139"/>
      <c r="AM871" s="139"/>
      <c r="AN871" s="139"/>
      <c r="AO871" s="139"/>
      <c r="AP871" s="139"/>
      <c r="AQ871" s="139"/>
    </row>
    <row r="872" spans="1:43" ht="12.75" customHeight="1">
      <c r="A872" s="139"/>
      <c r="B872" s="139"/>
      <c r="C872" s="139"/>
      <c r="D872" s="139"/>
      <c r="E872" s="139"/>
      <c r="F872" s="139"/>
      <c r="G872" s="139"/>
      <c r="H872" s="139"/>
      <c r="I872" s="139"/>
      <c r="J872" s="139"/>
      <c r="K872" s="139"/>
      <c r="L872" s="139"/>
      <c r="M872" s="139"/>
      <c r="N872" s="139"/>
      <c r="O872" s="139"/>
      <c r="P872" s="139"/>
      <c r="Q872" s="139"/>
      <c r="R872" s="139"/>
      <c r="S872" s="139"/>
      <c r="T872" s="139"/>
      <c r="U872" s="139"/>
      <c r="V872" s="139"/>
      <c r="W872" s="139"/>
      <c r="X872" s="139"/>
      <c r="Y872" s="139"/>
      <c r="Z872" s="139"/>
      <c r="AA872" s="139"/>
      <c r="AB872" s="139"/>
      <c r="AC872" s="139"/>
      <c r="AD872" s="139"/>
      <c r="AE872" s="139"/>
      <c r="AF872" s="139"/>
      <c r="AG872" s="139"/>
      <c r="AH872" s="139"/>
      <c r="AI872" s="139"/>
      <c r="AJ872" s="139"/>
      <c r="AK872" s="139"/>
      <c r="AL872" s="139"/>
      <c r="AM872" s="139"/>
      <c r="AN872" s="139"/>
      <c r="AO872" s="139"/>
      <c r="AP872" s="139"/>
      <c r="AQ872" s="139"/>
    </row>
    <row r="873" spans="1:43" ht="12.75" customHeight="1">
      <c r="A873" s="139"/>
      <c r="B873" s="139"/>
      <c r="C873" s="139"/>
      <c r="D873" s="139"/>
      <c r="E873" s="139"/>
      <c r="F873" s="139"/>
      <c r="G873" s="139"/>
      <c r="H873" s="139"/>
      <c r="I873" s="139"/>
      <c r="J873" s="139"/>
      <c r="K873" s="139"/>
      <c r="L873" s="139"/>
      <c r="M873" s="139"/>
      <c r="N873" s="139"/>
      <c r="O873" s="139"/>
      <c r="P873" s="139"/>
      <c r="Q873" s="139"/>
      <c r="R873" s="139"/>
      <c r="S873" s="139"/>
      <c r="T873" s="139"/>
      <c r="U873" s="139"/>
      <c r="V873" s="139"/>
      <c r="W873" s="139"/>
      <c r="X873" s="139"/>
      <c r="Y873" s="139"/>
      <c r="Z873" s="139"/>
      <c r="AA873" s="139"/>
      <c r="AB873" s="139"/>
      <c r="AC873" s="139"/>
      <c r="AD873" s="139"/>
      <c r="AE873" s="139"/>
      <c r="AF873" s="139"/>
      <c r="AG873" s="139"/>
      <c r="AH873" s="139"/>
      <c r="AI873" s="139"/>
      <c r="AJ873" s="139"/>
      <c r="AK873" s="139"/>
      <c r="AL873" s="139"/>
      <c r="AM873" s="139"/>
      <c r="AN873" s="139"/>
      <c r="AO873" s="139"/>
      <c r="AP873" s="139"/>
      <c r="AQ873" s="139"/>
    </row>
    <row r="874" spans="1:43" ht="12.75" customHeight="1">
      <c r="A874" s="139"/>
      <c r="B874" s="139"/>
      <c r="C874" s="139"/>
      <c r="D874" s="139"/>
      <c r="E874" s="139"/>
      <c r="F874" s="139"/>
      <c r="G874" s="139"/>
      <c r="H874" s="139"/>
      <c r="I874" s="139"/>
      <c r="J874" s="139"/>
      <c r="K874" s="139"/>
      <c r="L874" s="139"/>
      <c r="M874" s="139"/>
      <c r="N874" s="139"/>
      <c r="O874" s="139"/>
      <c r="P874" s="139"/>
      <c r="Q874" s="139"/>
      <c r="R874" s="139"/>
      <c r="S874" s="139"/>
      <c r="T874" s="139"/>
      <c r="U874" s="139"/>
      <c r="V874" s="139"/>
      <c r="W874" s="139"/>
      <c r="X874" s="139"/>
      <c r="Y874" s="139"/>
      <c r="Z874" s="139"/>
      <c r="AA874" s="139"/>
      <c r="AB874" s="139"/>
      <c r="AC874" s="139"/>
      <c r="AD874" s="139"/>
      <c r="AE874" s="139"/>
      <c r="AF874" s="139"/>
      <c r="AG874" s="139"/>
      <c r="AH874" s="139"/>
      <c r="AI874" s="139"/>
      <c r="AJ874" s="139"/>
      <c r="AK874" s="139"/>
      <c r="AL874" s="139"/>
      <c r="AM874" s="139"/>
      <c r="AN874" s="139"/>
      <c r="AO874" s="139"/>
      <c r="AP874" s="139"/>
      <c r="AQ874" s="139"/>
    </row>
    <row r="875" spans="1:43" ht="12.75" customHeight="1">
      <c r="A875" s="139"/>
      <c r="B875" s="139"/>
      <c r="C875" s="139"/>
      <c r="D875" s="139"/>
      <c r="E875" s="139"/>
      <c r="F875" s="139"/>
      <c r="G875" s="139"/>
      <c r="H875" s="139"/>
      <c r="I875" s="139"/>
      <c r="J875" s="139"/>
      <c r="K875" s="139"/>
      <c r="L875" s="139"/>
      <c r="M875" s="139"/>
      <c r="N875" s="139"/>
      <c r="O875" s="139"/>
      <c r="P875" s="139"/>
      <c r="Q875" s="139"/>
      <c r="R875" s="139"/>
      <c r="S875" s="139"/>
      <c r="T875" s="139"/>
      <c r="U875" s="139"/>
      <c r="V875" s="139"/>
      <c r="W875" s="139"/>
      <c r="X875" s="139"/>
      <c r="Y875" s="139"/>
      <c r="Z875" s="139"/>
      <c r="AA875" s="139"/>
      <c r="AB875" s="139"/>
      <c r="AC875" s="139"/>
      <c r="AD875" s="139"/>
      <c r="AE875" s="139"/>
      <c r="AF875" s="139"/>
      <c r="AG875" s="139"/>
      <c r="AH875" s="139"/>
      <c r="AI875" s="139"/>
      <c r="AJ875" s="139"/>
      <c r="AK875" s="139"/>
      <c r="AL875" s="139"/>
      <c r="AM875" s="139"/>
      <c r="AN875" s="139"/>
      <c r="AO875" s="139"/>
      <c r="AP875" s="139"/>
      <c r="AQ875" s="139"/>
    </row>
    <row r="876" spans="1:43" ht="12.75" customHeight="1">
      <c r="A876" s="139"/>
      <c r="B876" s="139"/>
      <c r="C876" s="139"/>
      <c r="D876" s="139"/>
      <c r="E876" s="139"/>
      <c r="F876" s="139"/>
      <c r="G876" s="139"/>
      <c r="H876" s="139"/>
      <c r="I876" s="139"/>
      <c r="J876" s="139"/>
      <c r="K876" s="139"/>
      <c r="L876" s="139"/>
      <c r="M876" s="139"/>
      <c r="N876" s="139"/>
      <c r="O876" s="139"/>
      <c r="P876" s="139"/>
      <c r="Q876" s="139"/>
      <c r="R876" s="139"/>
      <c r="S876" s="139"/>
      <c r="T876" s="139"/>
      <c r="U876" s="139"/>
      <c r="V876" s="139"/>
      <c r="W876" s="139"/>
      <c r="X876" s="139"/>
      <c r="Y876" s="139"/>
      <c r="Z876" s="139"/>
      <c r="AA876" s="139"/>
      <c r="AB876" s="139"/>
      <c r="AC876" s="139"/>
      <c r="AD876" s="139"/>
      <c r="AE876" s="139"/>
      <c r="AF876" s="139"/>
      <c r="AG876" s="139"/>
      <c r="AH876" s="139"/>
      <c r="AI876" s="139"/>
      <c r="AJ876" s="139"/>
      <c r="AK876" s="139"/>
      <c r="AL876" s="139"/>
      <c r="AM876" s="139"/>
      <c r="AN876" s="139"/>
      <c r="AO876" s="139"/>
      <c r="AP876" s="139"/>
      <c r="AQ876" s="139"/>
    </row>
    <row r="877" spans="1:43" ht="12.75" customHeight="1">
      <c r="A877" s="139"/>
      <c r="B877" s="139"/>
      <c r="C877" s="139"/>
      <c r="D877" s="139"/>
      <c r="E877" s="139"/>
      <c r="F877" s="139"/>
      <c r="G877" s="139"/>
      <c r="H877" s="139"/>
      <c r="I877" s="139"/>
      <c r="J877" s="139"/>
      <c r="K877" s="139"/>
      <c r="L877" s="139"/>
      <c r="M877" s="139"/>
      <c r="N877" s="139"/>
      <c r="O877" s="139"/>
      <c r="P877" s="139"/>
      <c r="Q877" s="139"/>
      <c r="R877" s="139"/>
      <c r="S877" s="139"/>
      <c r="T877" s="139"/>
      <c r="U877" s="139"/>
      <c r="V877" s="139"/>
      <c r="W877" s="139"/>
      <c r="X877" s="139"/>
      <c r="Y877" s="139"/>
      <c r="Z877" s="139"/>
      <c r="AA877" s="139"/>
      <c r="AB877" s="139"/>
      <c r="AC877" s="139"/>
      <c r="AD877" s="139"/>
      <c r="AE877" s="139"/>
      <c r="AF877" s="139"/>
      <c r="AG877" s="139"/>
      <c r="AH877" s="139"/>
      <c r="AI877" s="139"/>
      <c r="AJ877" s="139"/>
      <c r="AK877" s="139"/>
      <c r="AL877" s="139"/>
      <c r="AM877" s="139"/>
      <c r="AN877" s="139"/>
      <c r="AO877" s="139"/>
      <c r="AP877" s="139"/>
      <c r="AQ877" s="139"/>
    </row>
    <row r="878" spans="1:43" ht="12.75" customHeight="1">
      <c r="A878" s="139"/>
      <c r="B878" s="139"/>
      <c r="C878" s="139"/>
      <c r="D878" s="139"/>
      <c r="E878" s="139"/>
      <c r="F878" s="139"/>
      <c r="G878" s="139"/>
      <c r="H878" s="139"/>
      <c r="I878" s="139"/>
      <c r="J878" s="139"/>
      <c r="K878" s="139"/>
      <c r="L878" s="139"/>
      <c r="M878" s="139"/>
      <c r="N878" s="139"/>
      <c r="O878" s="139"/>
      <c r="P878" s="139"/>
      <c r="Q878" s="139"/>
      <c r="R878" s="139"/>
      <c r="S878" s="139"/>
      <c r="T878" s="139"/>
      <c r="U878" s="139"/>
      <c r="V878" s="139"/>
      <c r="W878" s="139"/>
      <c r="X878" s="139"/>
      <c r="Y878" s="139"/>
      <c r="Z878" s="139"/>
      <c r="AA878" s="139"/>
      <c r="AB878" s="139"/>
      <c r="AC878" s="139"/>
      <c r="AD878" s="139"/>
      <c r="AE878" s="139"/>
      <c r="AF878" s="139"/>
      <c r="AG878" s="139"/>
      <c r="AH878" s="139"/>
      <c r="AI878" s="139"/>
      <c r="AJ878" s="139"/>
      <c r="AK878" s="139"/>
      <c r="AL878" s="139"/>
      <c r="AM878" s="139"/>
      <c r="AN878" s="139"/>
      <c r="AO878" s="139"/>
      <c r="AP878" s="139"/>
      <c r="AQ878" s="139"/>
    </row>
    <row r="879" spans="1:43" ht="12.75" customHeight="1">
      <c r="A879" s="139"/>
      <c r="B879" s="139"/>
      <c r="C879" s="139"/>
      <c r="D879" s="139"/>
      <c r="E879" s="139"/>
      <c r="F879" s="139"/>
      <c r="G879" s="139"/>
      <c r="H879" s="139"/>
      <c r="I879" s="139"/>
      <c r="J879" s="139"/>
      <c r="K879" s="139"/>
      <c r="L879" s="139"/>
      <c r="M879" s="139"/>
      <c r="N879" s="139"/>
      <c r="O879" s="139"/>
      <c r="P879" s="139"/>
      <c r="Q879" s="139"/>
      <c r="R879" s="139"/>
      <c r="S879" s="139"/>
      <c r="T879" s="139"/>
      <c r="U879" s="139"/>
      <c r="V879" s="139"/>
      <c r="W879" s="139"/>
      <c r="X879" s="139"/>
      <c r="Y879" s="139"/>
      <c r="Z879" s="139"/>
      <c r="AA879" s="139"/>
      <c r="AB879" s="139"/>
      <c r="AC879" s="139"/>
      <c r="AD879" s="139"/>
      <c r="AE879" s="139"/>
      <c r="AF879" s="139"/>
      <c r="AG879" s="139"/>
      <c r="AH879" s="139"/>
      <c r="AI879" s="139"/>
      <c r="AJ879" s="139"/>
      <c r="AK879" s="139"/>
      <c r="AL879" s="139"/>
      <c r="AM879" s="139"/>
      <c r="AN879" s="139"/>
      <c r="AO879" s="139"/>
      <c r="AP879" s="139"/>
      <c r="AQ879" s="139"/>
    </row>
    <row r="880" spans="1:43" ht="12.75" customHeight="1">
      <c r="A880" s="139"/>
      <c r="B880" s="139"/>
      <c r="C880" s="139"/>
      <c r="D880" s="139"/>
      <c r="E880" s="139"/>
      <c r="F880" s="139"/>
      <c r="G880" s="139"/>
      <c r="H880" s="139"/>
      <c r="I880" s="139"/>
      <c r="J880" s="139"/>
      <c r="K880" s="139"/>
      <c r="L880" s="139"/>
      <c r="M880" s="139"/>
      <c r="N880" s="139"/>
      <c r="O880" s="139"/>
      <c r="P880" s="139"/>
      <c r="Q880" s="139"/>
      <c r="R880" s="139"/>
      <c r="S880" s="139"/>
      <c r="T880" s="139"/>
      <c r="U880" s="139"/>
      <c r="V880" s="139"/>
      <c r="W880" s="139"/>
      <c r="X880" s="139"/>
      <c r="Y880" s="139"/>
      <c r="Z880" s="139"/>
      <c r="AA880" s="139"/>
      <c r="AB880" s="139"/>
      <c r="AC880" s="139"/>
      <c r="AD880" s="139"/>
      <c r="AE880" s="139"/>
      <c r="AF880" s="139"/>
      <c r="AG880" s="139"/>
      <c r="AH880" s="139"/>
      <c r="AI880" s="139"/>
      <c r="AJ880" s="139"/>
      <c r="AK880" s="139"/>
      <c r="AL880" s="139"/>
      <c r="AM880" s="139"/>
      <c r="AN880" s="139"/>
      <c r="AO880" s="139"/>
      <c r="AP880" s="139"/>
      <c r="AQ880" s="139"/>
    </row>
    <row r="881" spans="1:43" ht="12.75" customHeight="1">
      <c r="A881" s="139"/>
      <c r="B881" s="139"/>
      <c r="C881" s="139"/>
      <c r="D881" s="139"/>
      <c r="E881" s="139"/>
      <c r="F881" s="139"/>
      <c r="G881" s="139"/>
      <c r="H881" s="139"/>
      <c r="I881" s="139"/>
      <c r="J881" s="139"/>
      <c r="K881" s="139"/>
      <c r="L881" s="139"/>
      <c r="M881" s="139"/>
      <c r="N881" s="139"/>
      <c r="O881" s="139"/>
      <c r="P881" s="139"/>
      <c r="Q881" s="139"/>
      <c r="R881" s="139"/>
      <c r="S881" s="139"/>
      <c r="T881" s="139"/>
      <c r="U881" s="139"/>
      <c r="V881" s="139"/>
      <c r="W881" s="139"/>
      <c r="X881" s="139"/>
      <c r="Y881" s="139"/>
      <c r="Z881" s="139"/>
      <c r="AA881" s="139"/>
      <c r="AB881" s="139"/>
      <c r="AC881" s="139"/>
      <c r="AD881" s="139"/>
      <c r="AE881" s="139"/>
      <c r="AF881" s="139"/>
      <c r="AG881" s="139"/>
      <c r="AH881" s="139"/>
      <c r="AI881" s="139"/>
      <c r="AJ881" s="139"/>
      <c r="AK881" s="139"/>
      <c r="AL881" s="139"/>
      <c r="AM881" s="139"/>
      <c r="AN881" s="139"/>
      <c r="AO881" s="139"/>
      <c r="AP881" s="139"/>
      <c r="AQ881" s="139"/>
    </row>
    <row r="882" spans="1:43" ht="12.75" customHeight="1">
      <c r="A882" s="139"/>
      <c r="B882" s="139"/>
      <c r="C882" s="139"/>
      <c r="D882" s="139"/>
      <c r="E882" s="139"/>
      <c r="F882" s="139"/>
      <c r="G882" s="139"/>
      <c r="H882" s="139"/>
      <c r="I882" s="139"/>
      <c r="J882" s="139"/>
      <c r="K882" s="139"/>
      <c r="L882" s="139"/>
      <c r="M882" s="139"/>
      <c r="N882" s="139"/>
      <c r="O882" s="139"/>
      <c r="P882" s="139"/>
      <c r="Q882" s="139"/>
      <c r="R882" s="139"/>
      <c r="S882" s="139"/>
      <c r="T882" s="139"/>
      <c r="U882" s="139"/>
      <c r="V882" s="139"/>
      <c r="W882" s="139"/>
      <c r="X882" s="139"/>
      <c r="Y882" s="139"/>
      <c r="Z882" s="139"/>
      <c r="AA882" s="139"/>
      <c r="AB882" s="139"/>
      <c r="AC882" s="139"/>
      <c r="AD882" s="139"/>
      <c r="AE882" s="139"/>
      <c r="AF882" s="139"/>
      <c r="AG882" s="139"/>
      <c r="AH882" s="139"/>
      <c r="AI882" s="139"/>
      <c r="AJ882" s="139"/>
      <c r="AK882" s="139"/>
      <c r="AL882" s="139"/>
      <c r="AM882" s="139"/>
      <c r="AN882" s="139"/>
      <c r="AO882" s="139"/>
      <c r="AP882" s="139"/>
      <c r="AQ882" s="139"/>
    </row>
    <row r="883" spans="1:43" ht="12.75" customHeight="1">
      <c r="A883" s="139"/>
      <c r="B883" s="139"/>
      <c r="C883" s="139"/>
      <c r="D883" s="139"/>
      <c r="E883" s="139"/>
      <c r="F883" s="139"/>
      <c r="G883" s="139"/>
      <c r="H883" s="139"/>
      <c r="I883" s="139"/>
      <c r="J883" s="139"/>
      <c r="K883" s="139"/>
      <c r="L883" s="139"/>
      <c r="M883" s="139"/>
      <c r="N883" s="139"/>
      <c r="O883" s="139"/>
      <c r="P883" s="139"/>
      <c r="Q883" s="139"/>
      <c r="R883" s="139"/>
      <c r="S883" s="139"/>
      <c r="T883" s="139"/>
      <c r="U883" s="139"/>
      <c r="V883" s="139"/>
      <c r="W883" s="139"/>
      <c r="X883" s="139"/>
      <c r="Y883" s="139"/>
      <c r="Z883" s="139"/>
      <c r="AA883" s="139"/>
      <c r="AB883" s="139"/>
      <c r="AC883" s="139"/>
      <c r="AD883" s="139"/>
      <c r="AE883" s="139"/>
      <c r="AF883" s="139"/>
      <c r="AG883" s="139"/>
      <c r="AH883" s="139"/>
      <c r="AI883" s="139"/>
      <c r="AJ883" s="139"/>
      <c r="AK883" s="139"/>
      <c r="AL883" s="139"/>
      <c r="AM883" s="139"/>
      <c r="AN883" s="139"/>
      <c r="AO883" s="139"/>
      <c r="AP883" s="139"/>
      <c r="AQ883" s="139"/>
    </row>
    <row r="884" spans="1:43" ht="12.75" customHeight="1">
      <c r="A884" s="139"/>
      <c r="B884" s="139"/>
      <c r="C884" s="139"/>
      <c r="D884" s="139"/>
      <c r="E884" s="139"/>
      <c r="F884" s="139"/>
      <c r="G884" s="139"/>
      <c r="H884" s="139"/>
      <c r="I884" s="139"/>
      <c r="J884" s="139"/>
      <c r="K884" s="139"/>
      <c r="L884" s="139"/>
      <c r="M884" s="139"/>
      <c r="N884" s="139"/>
      <c r="O884" s="139"/>
      <c r="P884" s="139"/>
      <c r="Q884" s="139"/>
      <c r="R884" s="139"/>
      <c r="S884" s="139"/>
      <c r="T884" s="139"/>
      <c r="U884" s="139"/>
      <c r="V884" s="139"/>
      <c r="W884" s="139"/>
      <c r="X884" s="139"/>
      <c r="Y884" s="139"/>
      <c r="Z884" s="139"/>
      <c r="AA884" s="139"/>
      <c r="AB884" s="139"/>
      <c r="AC884" s="139"/>
      <c r="AD884" s="139"/>
      <c r="AE884" s="139"/>
      <c r="AF884" s="139"/>
      <c r="AG884" s="139"/>
      <c r="AH884" s="139"/>
      <c r="AI884" s="139"/>
      <c r="AJ884" s="139"/>
      <c r="AK884" s="139"/>
      <c r="AL884" s="139"/>
      <c r="AM884" s="139"/>
      <c r="AN884" s="139"/>
      <c r="AO884" s="139"/>
      <c r="AP884" s="139"/>
      <c r="AQ884" s="139"/>
    </row>
    <row r="885" spans="1:43" ht="12.75" customHeight="1">
      <c r="A885" s="139"/>
      <c r="B885" s="139"/>
      <c r="C885" s="139"/>
      <c r="D885" s="139"/>
      <c r="E885" s="139"/>
      <c r="F885" s="139"/>
      <c r="G885" s="139"/>
      <c r="H885" s="139"/>
      <c r="I885" s="139"/>
      <c r="J885" s="139"/>
      <c r="K885" s="139"/>
      <c r="L885" s="139"/>
      <c r="M885" s="139"/>
      <c r="N885" s="139"/>
      <c r="O885" s="139"/>
      <c r="P885" s="139"/>
      <c r="Q885" s="139"/>
      <c r="R885" s="139"/>
      <c r="S885" s="139"/>
      <c r="T885" s="139"/>
      <c r="U885" s="139"/>
      <c r="V885" s="139"/>
      <c r="W885" s="139"/>
      <c r="X885" s="139"/>
      <c r="Y885" s="139"/>
      <c r="Z885" s="139"/>
      <c r="AA885" s="139"/>
      <c r="AB885" s="139"/>
      <c r="AC885" s="139"/>
      <c r="AD885" s="139"/>
      <c r="AE885" s="139"/>
      <c r="AF885" s="139"/>
      <c r="AG885" s="139"/>
      <c r="AH885" s="139"/>
      <c r="AI885" s="139"/>
      <c r="AJ885" s="139"/>
      <c r="AK885" s="139"/>
      <c r="AL885" s="139"/>
      <c r="AM885" s="139"/>
      <c r="AN885" s="139"/>
      <c r="AO885" s="139"/>
      <c r="AP885" s="139"/>
      <c r="AQ885" s="139"/>
    </row>
    <row r="886" spans="1:43" ht="12.75" customHeight="1">
      <c r="A886" s="139"/>
      <c r="B886" s="139"/>
      <c r="C886" s="139"/>
      <c r="D886" s="139"/>
      <c r="E886" s="139"/>
      <c r="F886" s="139"/>
      <c r="G886" s="139"/>
      <c r="H886" s="139"/>
      <c r="I886" s="139"/>
      <c r="J886" s="139"/>
      <c r="K886" s="139"/>
      <c r="L886" s="139"/>
      <c r="M886" s="139"/>
      <c r="N886" s="139"/>
      <c r="O886" s="139"/>
      <c r="P886" s="139"/>
      <c r="Q886" s="139"/>
      <c r="R886" s="139"/>
      <c r="S886" s="139"/>
      <c r="T886" s="139"/>
      <c r="U886" s="139"/>
      <c r="V886" s="139"/>
      <c r="W886" s="139"/>
      <c r="X886" s="139"/>
      <c r="Y886" s="139"/>
      <c r="Z886" s="139"/>
      <c r="AA886" s="139"/>
      <c r="AB886" s="139"/>
      <c r="AC886" s="139"/>
      <c r="AD886" s="139"/>
      <c r="AE886" s="139"/>
      <c r="AF886" s="139"/>
      <c r="AG886" s="139"/>
      <c r="AH886" s="139"/>
      <c r="AI886" s="139"/>
      <c r="AJ886" s="139"/>
      <c r="AK886" s="139"/>
      <c r="AL886" s="139"/>
      <c r="AM886" s="139"/>
      <c r="AN886" s="139"/>
      <c r="AO886" s="139"/>
      <c r="AP886" s="139"/>
      <c r="AQ886" s="139"/>
    </row>
    <row r="887" spans="1:43" ht="12.75" customHeight="1">
      <c r="A887" s="139"/>
      <c r="B887" s="139"/>
      <c r="C887" s="139"/>
      <c r="D887" s="139"/>
      <c r="E887" s="139"/>
      <c r="F887" s="139"/>
      <c r="G887" s="139"/>
      <c r="H887" s="139"/>
      <c r="I887" s="139"/>
      <c r="J887" s="139"/>
      <c r="K887" s="139"/>
      <c r="L887" s="139"/>
      <c r="M887" s="139"/>
      <c r="N887" s="139"/>
      <c r="O887" s="139"/>
      <c r="P887" s="139"/>
      <c r="Q887" s="139"/>
      <c r="R887" s="139"/>
      <c r="S887" s="139"/>
      <c r="T887" s="139"/>
      <c r="U887" s="139"/>
      <c r="V887" s="139"/>
      <c r="W887" s="139"/>
      <c r="X887" s="139"/>
      <c r="Y887" s="139"/>
      <c r="Z887" s="139"/>
      <c r="AA887" s="139"/>
      <c r="AB887" s="139"/>
      <c r="AC887" s="139"/>
      <c r="AD887" s="139"/>
      <c r="AE887" s="139"/>
      <c r="AF887" s="139"/>
      <c r="AG887" s="139"/>
      <c r="AH887" s="139"/>
      <c r="AI887" s="139"/>
      <c r="AJ887" s="139"/>
      <c r="AK887" s="139"/>
      <c r="AL887" s="139"/>
      <c r="AM887" s="139"/>
      <c r="AN887" s="139"/>
      <c r="AO887" s="139"/>
      <c r="AP887" s="139"/>
      <c r="AQ887" s="139"/>
    </row>
    <row r="888" spans="1:43" ht="12.75" customHeight="1">
      <c r="A888" s="139"/>
      <c r="B888" s="139"/>
      <c r="C888" s="139"/>
      <c r="D888" s="139"/>
      <c r="E888" s="139"/>
      <c r="F888" s="139"/>
      <c r="G888" s="139"/>
      <c r="H888" s="139"/>
      <c r="I888" s="139"/>
      <c r="J888" s="139"/>
      <c r="K888" s="139"/>
      <c r="L888" s="139"/>
      <c r="M888" s="139"/>
      <c r="N888" s="139"/>
      <c r="O888" s="139"/>
      <c r="P888" s="139"/>
      <c r="Q888" s="139"/>
      <c r="R888" s="139"/>
      <c r="S888" s="139"/>
      <c r="T888" s="139"/>
      <c r="U888" s="139"/>
      <c r="V888" s="139"/>
      <c r="W888" s="139"/>
      <c r="X888" s="139"/>
      <c r="Y888" s="139"/>
      <c r="Z888" s="139"/>
      <c r="AA888" s="139"/>
      <c r="AB888" s="139"/>
      <c r="AC888" s="139"/>
      <c r="AD888" s="139"/>
      <c r="AE888" s="139"/>
      <c r="AF888" s="139"/>
      <c r="AG888" s="139"/>
      <c r="AH888" s="139"/>
      <c r="AI888" s="139"/>
      <c r="AJ888" s="139"/>
      <c r="AK888" s="139"/>
      <c r="AL888" s="139"/>
      <c r="AM888" s="139"/>
      <c r="AN888" s="139"/>
      <c r="AO888" s="139"/>
      <c r="AP888" s="139"/>
      <c r="AQ888" s="139"/>
    </row>
    <row r="889" spans="1:43" ht="12.75" customHeight="1">
      <c r="A889" s="139"/>
      <c r="B889" s="139"/>
      <c r="C889" s="139"/>
      <c r="D889" s="139"/>
      <c r="E889" s="139"/>
      <c r="F889" s="139"/>
      <c r="G889" s="139"/>
      <c r="H889" s="139"/>
      <c r="I889" s="139"/>
      <c r="J889" s="139"/>
      <c r="K889" s="139"/>
      <c r="L889" s="139"/>
      <c r="M889" s="139"/>
      <c r="N889" s="139"/>
      <c r="O889" s="139"/>
      <c r="P889" s="139"/>
      <c r="Q889" s="139"/>
      <c r="R889" s="139"/>
      <c r="S889" s="139"/>
      <c r="T889" s="139"/>
      <c r="U889" s="139"/>
      <c r="V889" s="139"/>
      <c r="W889" s="139"/>
      <c r="X889" s="139"/>
      <c r="Y889" s="139"/>
      <c r="Z889" s="139"/>
      <c r="AA889" s="139"/>
      <c r="AB889" s="139"/>
      <c r="AC889" s="139"/>
      <c r="AD889" s="139"/>
      <c r="AE889" s="139"/>
      <c r="AF889" s="139"/>
      <c r="AG889" s="139"/>
      <c r="AH889" s="139"/>
      <c r="AI889" s="139"/>
      <c r="AJ889" s="139"/>
      <c r="AK889" s="139"/>
      <c r="AL889" s="139"/>
      <c r="AM889" s="139"/>
      <c r="AN889" s="139"/>
      <c r="AO889" s="139"/>
      <c r="AP889" s="139"/>
      <c r="AQ889" s="139"/>
    </row>
    <row r="890" spans="1:43" ht="12.75" customHeight="1">
      <c r="A890" s="139"/>
      <c r="B890" s="139"/>
      <c r="C890" s="139"/>
      <c r="D890" s="139"/>
      <c r="E890" s="139"/>
      <c r="F890" s="139"/>
      <c r="G890" s="139"/>
      <c r="H890" s="139"/>
      <c r="I890" s="139"/>
      <c r="J890" s="139"/>
      <c r="K890" s="139"/>
      <c r="L890" s="139"/>
      <c r="M890" s="139"/>
      <c r="N890" s="139"/>
      <c r="O890" s="139"/>
      <c r="P890" s="139"/>
      <c r="Q890" s="139"/>
      <c r="R890" s="139"/>
      <c r="S890" s="139"/>
      <c r="T890" s="139"/>
      <c r="U890" s="139"/>
      <c r="V890" s="139"/>
      <c r="W890" s="139"/>
      <c r="X890" s="139"/>
      <c r="Y890" s="139"/>
      <c r="Z890" s="139"/>
      <c r="AA890" s="139"/>
      <c r="AB890" s="139"/>
      <c r="AC890" s="139"/>
      <c r="AD890" s="139"/>
      <c r="AE890" s="139"/>
      <c r="AF890" s="139"/>
      <c r="AG890" s="139"/>
      <c r="AH890" s="139"/>
      <c r="AI890" s="139"/>
      <c r="AJ890" s="139"/>
      <c r="AK890" s="139"/>
      <c r="AL890" s="139"/>
      <c r="AM890" s="139"/>
      <c r="AN890" s="139"/>
      <c r="AO890" s="139"/>
      <c r="AP890" s="139"/>
      <c r="AQ890" s="139"/>
    </row>
    <row r="891" spans="1:43" ht="12.75" customHeight="1">
      <c r="A891" s="139"/>
      <c r="B891" s="139"/>
      <c r="C891" s="139"/>
      <c r="D891" s="139"/>
      <c r="E891" s="139"/>
      <c r="F891" s="139"/>
      <c r="G891" s="139"/>
      <c r="H891" s="139"/>
      <c r="I891" s="139"/>
      <c r="J891" s="139"/>
      <c r="K891" s="139"/>
      <c r="L891" s="139"/>
      <c r="M891" s="139"/>
      <c r="N891" s="139"/>
      <c r="O891" s="139"/>
      <c r="P891" s="139"/>
      <c r="Q891" s="139"/>
      <c r="R891" s="139"/>
      <c r="S891" s="139"/>
      <c r="T891" s="139"/>
      <c r="U891" s="139"/>
      <c r="V891" s="139"/>
      <c r="W891" s="139"/>
      <c r="X891" s="139"/>
      <c r="Y891" s="139"/>
      <c r="Z891" s="139"/>
      <c r="AA891" s="139"/>
      <c r="AB891" s="139"/>
      <c r="AC891" s="139"/>
      <c r="AD891" s="139"/>
      <c r="AE891" s="139"/>
      <c r="AF891" s="139"/>
      <c r="AG891" s="139"/>
      <c r="AH891" s="139"/>
      <c r="AI891" s="139"/>
      <c r="AJ891" s="139"/>
      <c r="AK891" s="139"/>
      <c r="AL891" s="139"/>
      <c r="AM891" s="139"/>
      <c r="AN891" s="139"/>
      <c r="AO891" s="139"/>
      <c r="AP891" s="139"/>
      <c r="AQ891" s="139"/>
    </row>
    <row r="892" spans="1:43" ht="12.75" customHeight="1">
      <c r="A892" s="139"/>
      <c r="B892" s="139"/>
      <c r="C892" s="139"/>
      <c r="D892" s="139"/>
      <c r="E892" s="139"/>
      <c r="F892" s="139"/>
      <c r="G892" s="139"/>
      <c r="H892" s="139"/>
      <c r="I892" s="139"/>
      <c r="J892" s="139"/>
      <c r="K892" s="139"/>
      <c r="L892" s="139"/>
      <c r="M892" s="139"/>
      <c r="N892" s="139"/>
      <c r="O892" s="139"/>
      <c r="P892" s="139"/>
      <c r="Q892" s="139"/>
      <c r="R892" s="139"/>
      <c r="S892" s="139"/>
      <c r="T892" s="139"/>
      <c r="U892" s="139"/>
      <c r="V892" s="139"/>
      <c r="W892" s="139"/>
      <c r="X892" s="139"/>
      <c r="Y892" s="139"/>
      <c r="Z892" s="139"/>
      <c r="AA892" s="139"/>
      <c r="AB892" s="139"/>
      <c r="AC892" s="139"/>
      <c r="AD892" s="139"/>
      <c r="AE892" s="139"/>
      <c r="AF892" s="139"/>
      <c r="AG892" s="139"/>
      <c r="AH892" s="139"/>
      <c r="AI892" s="139"/>
      <c r="AJ892" s="139"/>
      <c r="AK892" s="139"/>
      <c r="AL892" s="139"/>
      <c r="AM892" s="139"/>
      <c r="AN892" s="139"/>
      <c r="AO892" s="139"/>
      <c r="AP892" s="139"/>
      <c r="AQ892" s="139"/>
    </row>
    <row r="893" spans="1:43" ht="12.75" customHeight="1">
      <c r="A893" s="139"/>
      <c r="B893" s="139"/>
      <c r="C893" s="139"/>
      <c r="D893" s="139"/>
      <c r="E893" s="139"/>
      <c r="F893" s="139"/>
      <c r="G893" s="139"/>
      <c r="H893" s="139"/>
      <c r="I893" s="139"/>
      <c r="J893" s="139"/>
      <c r="K893" s="139"/>
      <c r="L893" s="139"/>
      <c r="M893" s="139"/>
      <c r="N893" s="139"/>
      <c r="O893" s="139"/>
      <c r="P893" s="139"/>
      <c r="Q893" s="139"/>
      <c r="R893" s="139"/>
      <c r="S893" s="139"/>
      <c r="T893" s="139"/>
      <c r="U893" s="139"/>
      <c r="V893" s="139"/>
      <c r="W893" s="139"/>
      <c r="X893" s="139"/>
      <c r="Y893" s="139"/>
      <c r="Z893" s="139"/>
      <c r="AA893" s="139"/>
      <c r="AB893" s="139"/>
      <c r="AC893" s="139"/>
      <c r="AD893" s="139"/>
      <c r="AE893" s="139"/>
      <c r="AF893" s="139"/>
      <c r="AG893" s="139"/>
      <c r="AH893" s="139"/>
      <c r="AI893" s="139"/>
      <c r="AJ893" s="139"/>
      <c r="AK893" s="139"/>
      <c r="AL893" s="139"/>
      <c r="AM893" s="139"/>
      <c r="AN893" s="139"/>
      <c r="AO893" s="139"/>
      <c r="AP893" s="139"/>
      <c r="AQ893" s="139"/>
    </row>
    <row r="894" spans="1:43" ht="12.75" customHeight="1">
      <c r="A894" s="139"/>
      <c r="B894" s="139"/>
      <c r="C894" s="139"/>
      <c r="D894" s="139"/>
      <c r="E894" s="139"/>
      <c r="F894" s="139"/>
      <c r="G894" s="139"/>
      <c r="H894" s="139"/>
      <c r="I894" s="139"/>
      <c r="J894" s="139"/>
      <c r="K894" s="139"/>
      <c r="L894" s="139"/>
      <c r="M894" s="139"/>
      <c r="N894" s="139"/>
      <c r="O894" s="139"/>
      <c r="P894" s="139"/>
      <c r="Q894" s="139"/>
      <c r="R894" s="139"/>
      <c r="S894" s="139"/>
      <c r="T894" s="139"/>
      <c r="U894" s="139"/>
      <c r="V894" s="139"/>
      <c r="W894" s="139"/>
      <c r="X894" s="139"/>
      <c r="Y894" s="139"/>
      <c r="Z894" s="139"/>
      <c r="AA894" s="139"/>
      <c r="AB894" s="139"/>
      <c r="AC894" s="139"/>
      <c r="AD894" s="139"/>
      <c r="AE894" s="139"/>
      <c r="AF894" s="139"/>
      <c r="AG894" s="139"/>
      <c r="AH894" s="139"/>
      <c r="AI894" s="139"/>
      <c r="AJ894" s="139"/>
      <c r="AK894" s="139"/>
      <c r="AL894" s="139"/>
      <c r="AM894" s="139"/>
      <c r="AN894" s="139"/>
      <c r="AO894" s="139"/>
      <c r="AP894" s="139"/>
      <c r="AQ894" s="139"/>
    </row>
    <row r="895" spans="1:43" ht="12.75" customHeight="1">
      <c r="A895" s="139"/>
      <c r="B895" s="139"/>
      <c r="C895" s="139"/>
      <c r="D895" s="139"/>
      <c r="E895" s="139"/>
      <c r="F895" s="139"/>
      <c r="G895" s="139"/>
      <c r="H895" s="139"/>
      <c r="I895" s="139"/>
      <c r="J895" s="139"/>
      <c r="K895" s="139"/>
      <c r="L895" s="139"/>
      <c r="M895" s="139"/>
      <c r="N895" s="139"/>
      <c r="O895" s="139"/>
      <c r="P895" s="139"/>
      <c r="Q895" s="139"/>
      <c r="R895" s="139"/>
      <c r="S895" s="139"/>
      <c r="T895" s="139"/>
      <c r="U895" s="139"/>
      <c r="V895" s="139"/>
      <c r="W895" s="139"/>
      <c r="X895" s="139"/>
      <c r="Y895" s="139"/>
      <c r="Z895" s="139"/>
      <c r="AA895" s="139"/>
      <c r="AB895" s="139"/>
      <c r="AC895" s="139"/>
      <c r="AD895" s="139"/>
      <c r="AE895" s="139"/>
      <c r="AF895" s="139"/>
      <c r="AG895" s="139"/>
      <c r="AH895" s="139"/>
      <c r="AI895" s="139"/>
      <c r="AJ895" s="139"/>
      <c r="AK895" s="139"/>
      <c r="AL895" s="139"/>
      <c r="AM895" s="139"/>
      <c r="AN895" s="139"/>
      <c r="AO895" s="139"/>
      <c r="AP895" s="139"/>
      <c r="AQ895" s="139"/>
    </row>
    <row r="896" spans="1:43" ht="12.75" customHeight="1">
      <c r="A896" s="139"/>
      <c r="B896" s="139"/>
      <c r="C896" s="139"/>
      <c r="D896" s="139"/>
      <c r="E896" s="139"/>
      <c r="F896" s="139"/>
      <c r="G896" s="139"/>
      <c r="H896" s="139"/>
      <c r="I896" s="139"/>
      <c r="J896" s="139"/>
      <c r="K896" s="139"/>
      <c r="L896" s="139"/>
      <c r="M896" s="139"/>
      <c r="N896" s="139"/>
      <c r="O896" s="139"/>
      <c r="P896" s="139"/>
      <c r="Q896" s="139"/>
      <c r="R896" s="139"/>
      <c r="S896" s="139"/>
      <c r="T896" s="139"/>
      <c r="U896" s="139"/>
      <c r="V896" s="139"/>
      <c r="W896" s="139"/>
      <c r="X896" s="139"/>
      <c r="Y896" s="139"/>
      <c r="Z896" s="139"/>
      <c r="AA896" s="139"/>
      <c r="AB896" s="139"/>
      <c r="AC896" s="139"/>
      <c r="AD896" s="139"/>
      <c r="AE896" s="139"/>
      <c r="AF896" s="139"/>
      <c r="AG896" s="139"/>
      <c r="AH896" s="139"/>
      <c r="AI896" s="139"/>
      <c r="AJ896" s="139"/>
      <c r="AK896" s="139"/>
      <c r="AL896" s="139"/>
      <c r="AM896" s="139"/>
      <c r="AN896" s="139"/>
      <c r="AO896" s="139"/>
      <c r="AP896" s="139"/>
      <c r="AQ896" s="139"/>
    </row>
    <row r="897" spans="1:43" ht="12.75" customHeight="1">
      <c r="A897" s="139"/>
      <c r="B897" s="139"/>
      <c r="C897" s="139"/>
      <c r="D897" s="139"/>
      <c r="E897" s="139"/>
      <c r="F897" s="139"/>
      <c r="G897" s="139"/>
      <c r="H897" s="139"/>
      <c r="I897" s="139"/>
      <c r="J897" s="139"/>
      <c r="K897" s="139"/>
      <c r="L897" s="139"/>
      <c r="M897" s="139"/>
      <c r="N897" s="139"/>
      <c r="O897" s="139"/>
      <c r="P897" s="139"/>
      <c r="Q897" s="139"/>
      <c r="R897" s="139"/>
      <c r="S897" s="139"/>
      <c r="T897" s="139"/>
      <c r="U897" s="139"/>
      <c r="V897" s="139"/>
      <c r="W897" s="139"/>
      <c r="X897" s="139"/>
      <c r="Y897" s="139"/>
      <c r="Z897" s="139"/>
      <c r="AA897" s="139"/>
      <c r="AB897" s="139"/>
      <c r="AC897" s="139"/>
      <c r="AD897" s="139"/>
      <c r="AE897" s="139"/>
      <c r="AF897" s="139"/>
      <c r="AG897" s="139"/>
      <c r="AH897" s="139"/>
      <c r="AI897" s="139"/>
      <c r="AJ897" s="139"/>
      <c r="AK897" s="139"/>
      <c r="AL897" s="139"/>
      <c r="AM897" s="139"/>
      <c r="AN897" s="139"/>
      <c r="AO897" s="139"/>
      <c r="AP897" s="139"/>
      <c r="AQ897" s="139"/>
    </row>
    <row r="898" spans="1:43" ht="12.75" customHeight="1">
      <c r="A898" s="139"/>
      <c r="B898" s="139"/>
      <c r="C898" s="139"/>
      <c r="D898" s="139"/>
      <c r="E898" s="139"/>
      <c r="F898" s="139"/>
      <c r="G898" s="139"/>
      <c r="H898" s="139"/>
      <c r="I898" s="139"/>
      <c r="J898" s="139"/>
      <c r="K898" s="139"/>
      <c r="L898" s="139"/>
      <c r="M898" s="139"/>
      <c r="N898" s="139"/>
      <c r="O898" s="139"/>
      <c r="P898" s="139"/>
      <c r="Q898" s="139"/>
      <c r="R898" s="139"/>
      <c r="S898" s="139"/>
      <c r="T898" s="139"/>
      <c r="U898" s="139"/>
      <c r="V898" s="139"/>
      <c r="W898" s="139"/>
      <c r="X898" s="139"/>
      <c r="Y898" s="139"/>
      <c r="Z898" s="139"/>
      <c r="AA898" s="139"/>
      <c r="AB898" s="139"/>
      <c r="AC898" s="139"/>
      <c r="AD898" s="139"/>
      <c r="AE898" s="139"/>
      <c r="AF898" s="139"/>
      <c r="AG898" s="139"/>
      <c r="AH898" s="139"/>
      <c r="AI898" s="139"/>
      <c r="AJ898" s="139"/>
      <c r="AK898" s="139"/>
      <c r="AL898" s="139"/>
      <c r="AM898" s="139"/>
      <c r="AN898" s="139"/>
      <c r="AO898" s="139"/>
      <c r="AP898" s="139"/>
      <c r="AQ898" s="139"/>
    </row>
    <row r="899" spans="1:43" ht="12.75" customHeight="1">
      <c r="A899" s="139"/>
      <c r="B899" s="139"/>
      <c r="C899" s="139"/>
      <c r="D899" s="139"/>
      <c r="E899" s="139"/>
      <c r="F899" s="139"/>
      <c r="G899" s="139"/>
      <c r="H899" s="139"/>
      <c r="I899" s="139"/>
      <c r="J899" s="139"/>
      <c r="K899" s="139"/>
      <c r="L899" s="139"/>
      <c r="M899" s="139"/>
      <c r="N899" s="139"/>
      <c r="O899" s="139"/>
      <c r="P899" s="139"/>
      <c r="Q899" s="139"/>
      <c r="R899" s="139"/>
      <c r="S899" s="139"/>
      <c r="T899" s="139"/>
      <c r="U899" s="139"/>
      <c r="V899" s="139"/>
      <c r="W899" s="139"/>
      <c r="X899" s="139"/>
      <c r="Y899" s="139"/>
      <c r="Z899" s="139"/>
      <c r="AA899" s="139"/>
      <c r="AB899" s="139"/>
      <c r="AC899" s="139"/>
      <c r="AD899" s="139"/>
      <c r="AE899" s="139"/>
      <c r="AF899" s="139"/>
      <c r="AG899" s="139"/>
      <c r="AH899" s="139"/>
      <c r="AI899" s="139"/>
      <c r="AJ899" s="139"/>
      <c r="AK899" s="139"/>
      <c r="AL899" s="139"/>
      <c r="AM899" s="139"/>
      <c r="AN899" s="139"/>
      <c r="AO899" s="139"/>
      <c r="AP899" s="139"/>
      <c r="AQ899" s="139"/>
    </row>
    <row r="900" spans="1:43" ht="12.75" customHeight="1">
      <c r="A900" s="139"/>
      <c r="B900" s="139"/>
      <c r="C900" s="139"/>
      <c r="D900" s="139"/>
      <c r="E900" s="139"/>
      <c r="F900" s="139"/>
      <c r="G900" s="139"/>
      <c r="H900" s="139"/>
      <c r="I900" s="139"/>
      <c r="J900" s="139"/>
      <c r="K900" s="139"/>
      <c r="L900" s="139"/>
      <c r="M900" s="139"/>
      <c r="N900" s="139"/>
      <c r="O900" s="139"/>
      <c r="P900" s="139"/>
      <c r="Q900" s="139"/>
      <c r="R900" s="139"/>
      <c r="S900" s="139"/>
      <c r="T900" s="139"/>
      <c r="U900" s="139"/>
      <c r="V900" s="139"/>
      <c r="W900" s="139"/>
      <c r="X900" s="139"/>
      <c r="Y900" s="139"/>
      <c r="Z900" s="139"/>
      <c r="AA900" s="139"/>
      <c r="AB900" s="139"/>
      <c r="AC900" s="139"/>
      <c r="AD900" s="139"/>
      <c r="AE900" s="139"/>
      <c r="AF900" s="139"/>
      <c r="AG900" s="139"/>
      <c r="AH900" s="139"/>
      <c r="AI900" s="139"/>
      <c r="AJ900" s="139"/>
      <c r="AK900" s="139"/>
      <c r="AL900" s="139"/>
      <c r="AM900" s="139"/>
      <c r="AN900" s="139"/>
      <c r="AO900" s="139"/>
      <c r="AP900" s="139"/>
      <c r="AQ900" s="139"/>
    </row>
    <row r="901" spans="1:43" ht="12.75" customHeight="1">
      <c r="A901" s="139"/>
      <c r="B901" s="139"/>
      <c r="C901" s="139"/>
      <c r="D901" s="139"/>
      <c r="E901" s="139"/>
      <c r="F901" s="139"/>
      <c r="G901" s="139"/>
      <c r="H901" s="139"/>
      <c r="I901" s="139"/>
      <c r="J901" s="139"/>
      <c r="K901" s="139"/>
      <c r="L901" s="139"/>
      <c r="M901" s="139"/>
      <c r="N901" s="139"/>
      <c r="O901" s="139"/>
      <c r="P901" s="139"/>
      <c r="Q901" s="139"/>
      <c r="R901" s="139"/>
      <c r="S901" s="139"/>
      <c r="T901" s="139"/>
      <c r="U901" s="139"/>
      <c r="V901" s="139"/>
      <c r="W901" s="139"/>
      <c r="X901" s="139"/>
      <c r="Y901" s="139"/>
      <c r="Z901" s="139"/>
      <c r="AA901" s="139"/>
      <c r="AB901" s="139"/>
      <c r="AC901" s="139"/>
      <c r="AD901" s="139"/>
      <c r="AE901" s="139"/>
      <c r="AF901" s="139"/>
      <c r="AG901" s="139"/>
      <c r="AH901" s="139"/>
      <c r="AI901" s="139"/>
      <c r="AJ901" s="139"/>
      <c r="AK901" s="139"/>
      <c r="AL901" s="139"/>
      <c r="AM901" s="139"/>
      <c r="AN901" s="139"/>
      <c r="AO901" s="139"/>
      <c r="AP901" s="139"/>
      <c r="AQ901" s="139"/>
    </row>
    <row r="902" spans="1:43" ht="12.75" customHeight="1">
      <c r="A902" s="139"/>
      <c r="B902" s="139"/>
      <c r="C902" s="139"/>
      <c r="D902" s="139"/>
      <c r="E902" s="139"/>
      <c r="F902" s="139"/>
      <c r="G902" s="139"/>
      <c r="H902" s="139"/>
      <c r="I902" s="139"/>
      <c r="J902" s="139"/>
      <c r="K902" s="139"/>
      <c r="L902" s="139"/>
      <c r="M902" s="139"/>
      <c r="N902" s="139"/>
      <c r="O902" s="139"/>
      <c r="P902" s="139"/>
      <c r="Q902" s="139"/>
      <c r="R902" s="139"/>
      <c r="S902" s="139"/>
      <c r="T902" s="139"/>
      <c r="U902" s="139"/>
      <c r="V902" s="139"/>
      <c r="W902" s="139"/>
      <c r="X902" s="139"/>
      <c r="Y902" s="139"/>
      <c r="Z902" s="139"/>
      <c r="AA902" s="139"/>
      <c r="AB902" s="139"/>
      <c r="AC902" s="139"/>
      <c r="AD902" s="139"/>
      <c r="AE902" s="139"/>
      <c r="AF902" s="139"/>
      <c r="AG902" s="139"/>
      <c r="AH902" s="139"/>
      <c r="AI902" s="139"/>
      <c r="AJ902" s="139"/>
      <c r="AK902" s="139"/>
      <c r="AL902" s="139"/>
      <c r="AM902" s="139"/>
      <c r="AN902" s="139"/>
      <c r="AO902" s="139"/>
      <c r="AP902" s="139"/>
      <c r="AQ902" s="139"/>
    </row>
    <row r="903" spans="1:43" ht="12.75" customHeight="1">
      <c r="A903" s="139"/>
      <c r="B903" s="139"/>
      <c r="C903" s="139"/>
      <c r="D903" s="139"/>
      <c r="E903" s="139"/>
      <c r="F903" s="139"/>
      <c r="G903" s="139"/>
      <c r="H903" s="139"/>
      <c r="I903" s="139"/>
      <c r="J903" s="139"/>
      <c r="K903" s="139"/>
      <c r="L903" s="139"/>
      <c r="M903" s="139"/>
      <c r="N903" s="139"/>
      <c r="O903" s="139"/>
      <c r="P903" s="139"/>
      <c r="Q903" s="139"/>
      <c r="R903" s="139"/>
      <c r="S903" s="139"/>
      <c r="T903" s="139"/>
      <c r="U903" s="139"/>
      <c r="V903" s="139"/>
      <c r="W903" s="139"/>
      <c r="X903" s="139"/>
      <c r="Y903" s="139"/>
      <c r="Z903" s="139"/>
      <c r="AA903" s="139"/>
      <c r="AB903" s="139"/>
      <c r="AC903" s="139"/>
      <c r="AD903" s="139"/>
      <c r="AE903" s="139"/>
      <c r="AF903" s="139"/>
      <c r="AG903" s="139"/>
      <c r="AH903" s="139"/>
      <c r="AI903" s="139"/>
      <c r="AJ903" s="139"/>
      <c r="AK903" s="139"/>
      <c r="AL903" s="139"/>
      <c r="AM903" s="139"/>
      <c r="AN903" s="139"/>
      <c r="AO903" s="139"/>
      <c r="AP903" s="139"/>
      <c r="AQ903" s="139"/>
    </row>
    <row r="904" spans="1:43" ht="12.75" customHeight="1">
      <c r="A904" s="139"/>
      <c r="B904" s="139"/>
      <c r="C904" s="139"/>
      <c r="D904" s="139"/>
      <c r="E904" s="139"/>
      <c r="F904" s="139"/>
      <c r="G904" s="139"/>
      <c r="H904" s="139"/>
      <c r="I904" s="139"/>
      <c r="J904" s="139"/>
      <c r="K904" s="139"/>
      <c r="L904" s="139"/>
      <c r="M904" s="139"/>
      <c r="N904" s="139"/>
      <c r="O904" s="139"/>
      <c r="P904" s="139"/>
      <c r="Q904" s="139"/>
      <c r="R904" s="139"/>
      <c r="S904" s="139"/>
      <c r="T904" s="139"/>
      <c r="U904" s="139"/>
      <c r="V904" s="139"/>
      <c r="W904" s="139"/>
      <c r="X904" s="139"/>
      <c r="Y904" s="139"/>
      <c r="Z904" s="139"/>
      <c r="AA904" s="139"/>
      <c r="AB904" s="139"/>
      <c r="AC904" s="139"/>
      <c r="AD904" s="139"/>
      <c r="AE904" s="139"/>
      <c r="AF904" s="139"/>
      <c r="AG904" s="139"/>
      <c r="AH904" s="139"/>
      <c r="AI904" s="139"/>
      <c r="AJ904" s="139"/>
      <c r="AK904" s="139"/>
      <c r="AL904" s="139"/>
      <c r="AM904" s="139"/>
      <c r="AN904" s="139"/>
      <c r="AO904" s="139"/>
      <c r="AP904" s="139"/>
      <c r="AQ904" s="139"/>
    </row>
    <row r="905" spans="1:43" ht="12.75" customHeight="1">
      <c r="A905" s="139"/>
      <c r="B905" s="139"/>
      <c r="C905" s="139"/>
      <c r="D905" s="139"/>
      <c r="E905" s="139"/>
      <c r="F905" s="139"/>
      <c r="G905" s="139"/>
      <c r="H905" s="139"/>
      <c r="I905" s="139"/>
      <c r="J905" s="139"/>
      <c r="K905" s="139"/>
      <c r="L905" s="139"/>
      <c r="M905" s="139"/>
      <c r="N905" s="139"/>
      <c r="O905" s="139"/>
      <c r="P905" s="139"/>
      <c r="Q905" s="139"/>
      <c r="R905" s="139"/>
      <c r="S905" s="139"/>
      <c r="T905" s="139"/>
      <c r="U905" s="139"/>
      <c r="V905" s="139"/>
      <c r="W905" s="139"/>
      <c r="X905" s="139"/>
      <c r="Y905" s="139"/>
      <c r="Z905" s="139"/>
      <c r="AA905" s="139"/>
      <c r="AB905" s="139"/>
      <c r="AC905" s="139"/>
      <c r="AD905" s="139"/>
      <c r="AE905" s="139"/>
      <c r="AF905" s="139"/>
      <c r="AG905" s="139"/>
      <c r="AH905" s="139"/>
      <c r="AI905" s="139"/>
      <c r="AJ905" s="139"/>
      <c r="AK905" s="139"/>
      <c r="AL905" s="139"/>
      <c r="AM905" s="139"/>
      <c r="AN905" s="139"/>
      <c r="AO905" s="139"/>
      <c r="AP905" s="139"/>
      <c r="AQ905" s="139"/>
    </row>
    <row r="906" spans="1:43" ht="12.75" customHeight="1">
      <c r="A906" s="139"/>
      <c r="B906" s="139"/>
      <c r="C906" s="139"/>
      <c r="D906" s="139"/>
      <c r="E906" s="139"/>
      <c r="F906" s="139"/>
      <c r="G906" s="139"/>
      <c r="H906" s="139"/>
      <c r="I906" s="139"/>
      <c r="J906" s="139"/>
      <c r="K906" s="139"/>
      <c r="L906" s="139"/>
      <c r="M906" s="139"/>
      <c r="N906" s="139"/>
      <c r="O906" s="139"/>
      <c r="P906" s="139"/>
      <c r="Q906" s="139"/>
      <c r="R906" s="139"/>
      <c r="S906" s="139"/>
      <c r="T906" s="139"/>
      <c r="U906" s="139"/>
      <c r="V906" s="139"/>
      <c r="W906" s="139"/>
      <c r="X906" s="139"/>
      <c r="Y906" s="139"/>
      <c r="Z906" s="139"/>
      <c r="AA906" s="139"/>
      <c r="AB906" s="139"/>
      <c r="AC906" s="139"/>
      <c r="AD906" s="139"/>
      <c r="AE906" s="139"/>
      <c r="AF906" s="139"/>
      <c r="AG906" s="139"/>
      <c r="AH906" s="139"/>
      <c r="AI906" s="139"/>
      <c r="AJ906" s="139"/>
      <c r="AK906" s="139"/>
      <c r="AL906" s="139"/>
      <c r="AM906" s="139"/>
      <c r="AN906" s="139"/>
      <c r="AO906" s="139"/>
      <c r="AP906" s="139"/>
      <c r="AQ906" s="139"/>
    </row>
    <row r="907" spans="1:43" ht="12.75" customHeight="1">
      <c r="A907" s="139"/>
      <c r="B907" s="139"/>
      <c r="C907" s="139"/>
      <c r="D907" s="139"/>
      <c r="E907" s="139"/>
      <c r="F907" s="139"/>
      <c r="G907" s="139"/>
      <c r="H907" s="139"/>
      <c r="I907" s="139"/>
      <c r="J907" s="139"/>
      <c r="K907" s="139"/>
      <c r="L907" s="139"/>
      <c r="M907" s="139"/>
      <c r="N907" s="139"/>
      <c r="O907" s="139"/>
      <c r="P907" s="139"/>
      <c r="Q907" s="139"/>
      <c r="R907" s="139"/>
      <c r="S907" s="139"/>
      <c r="T907" s="139"/>
      <c r="U907" s="139"/>
      <c r="V907" s="139"/>
      <c r="W907" s="139"/>
      <c r="X907" s="139"/>
      <c r="Y907" s="139"/>
      <c r="Z907" s="139"/>
      <c r="AA907" s="139"/>
      <c r="AB907" s="139"/>
      <c r="AC907" s="139"/>
      <c r="AD907" s="139"/>
      <c r="AE907" s="139"/>
      <c r="AF907" s="139"/>
      <c r="AG907" s="139"/>
      <c r="AH907" s="139"/>
      <c r="AI907" s="139"/>
      <c r="AJ907" s="139"/>
      <c r="AK907" s="139"/>
      <c r="AL907" s="139"/>
      <c r="AM907" s="139"/>
      <c r="AN907" s="139"/>
      <c r="AO907" s="139"/>
      <c r="AP907" s="139"/>
      <c r="AQ907" s="139"/>
    </row>
    <row r="908" spans="1:43" ht="12.75" customHeight="1">
      <c r="A908" s="139"/>
      <c r="B908" s="139"/>
      <c r="C908" s="139"/>
      <c r="D908" s="139"/>
      <c r="E908" s="139"/>
      <c r="F908" s="139"/>
      <c r="G908" s="139"/>
      <c r="H908" s="139"/>
      <c r="I908" s="139"/>
      <c r="J908" s="139"/>
      <c r="K908" s="139"/>
      <c r="L908" s="139"/>
      <c r="M908" s="139"/>
      <c r="N908" s="139"/>
      <c r="O908" s="139"/>
      <c r="P908" s="139"/>
      <c r="Q908" s="139"/>
      <c r="R908" s="139"/>
      <c r="S908" s="139"/>
      <c r="T908" s="139"/>
      <c r="U908" s="139"/>
      <c r="V908" s="139"/>
      <c r="W908" s="139"/>
      <c r="X908" s="139"/>
      <c r="Y908" s="139"/>
      <c r="Z908" s="139"/>
      <c r="AA908" s="139"/>
      <c r="AB908" s="139"/>
      <c r="AC908" s="139"/>
      <c r="AD908" s="139"/>
      <c r="AE908" s="139"/>
      <c r="AF908" s="139"/>
      <c r="AG908" s="139"/>
      <c r="AH908" s="139"/>
      <c r="AI908" s="139"/>
      <c r="AJ908" s="139"/>
      <c r="AK908" s="139"/>
      <c r="AL908" s="139"/>
      <c r="AM908" s="139"/>
      <c r="AN908" s="139"/>
      <c r="AO908" s="139"/>
      <c r="AP908" s="139"/>
      <c r="AQ908" s="139"/>
    </row>
    <row r="909" spans="1:43" ht="12.75" customHeight="1">
      <c r="A909" s="139"/>
      <c r="B909" s="139"/>
      <c r="C909" s="139"/>
      <c r="D909" s="139"/>
      <c r="E909" s="139"/>
      <c r="F909" s="139"/>
      <c r="G909" s="139"/>
      <c r="H909" s="139"/>
      <c r="I909" s="139"/>
      <c r="J909" s="139"/>
      <c r="K909" s="139"/>
      <c r="L909" s="139"/>
      <c r="M909" s="139"/>
      <c r="N909" s="139"/>
      <c r="O909" s="139"/>
      <c r="P909" s="139"/>
      <c r="Q909" s="139"/>
      <c r="R909" s="139"/>
      <c r="S909" s="139"/>
      <c r="T909" s="139"/>
      <c r="U909" s="139"/>
      <c r="V909" s="139"/>
      <c r="W909" s="139"/>
      <c r="X909" s="139"/>
      <c r="Y909" s="139"/>
      <c r="Z909" s="139"/>
      <c r="AA909" s="139"/>
      <c r="AB909" s="139"/>
      <c r="AC909" s="139"/>
      <c r="AD909" s="139"/>
      <c r="AE909" s="139"/>
      <c r="AF909" s="139"/>
      <c r="AG909" s="139"/>
      <c r="AH909" s="139"/>
      <c r="AI909" s="139"/>
      <c r="AJ909" s="139"/>
      <c r="AK909" s="139"/>
      <c r="AL909" s="139"/>
      <c r="AM909" s="139"/>
      <c r="AN909" s="139"/>
      <c r="AO909" s="139"/>
      <c r="AP909" s="139"/>
      <c r="AQ909" s="139"/>
    </row>
    <row r="910" spans="1:43" ht="12.75" customHeight="1">
      <c r="A910" s="139"/>
      <c r="B910" s="139"/>
      <c r="C910" s="139"/>
      <c r="D910" s="139"/>
      <c r="E910" s="139"/>
      <c r="F910" s="139"/>
      <c r="G910" s="139"/>
      <c r="H910" s="139"/>
      <c r="I910" s="139"/>
      <c r="J910" s="139"/>
      <c r="K910" s="139"/>
      <c r="L910" s="139"/>
      <c r="M910" s="139"/>
      <c r="N910" s="139"/>
      <c r="O910" s="139"/>
      <c r="P910" s="139"/>
      <c r="Q910" s="139"/>
      <c r="R910" s="139"/>
      <c r="S910" s="139"/>
      <c r="T910" s="139"/>
      <c r="U910" s="139"/>
      <c r="V910" s="139"/>
      <c r="W910" s="139"/>
      <c r="X910" s="139"/>
      <c r="Y910" s="139"/>
      <c r="Z910" s="139"/>
      <c r="AA910" s="139"/>
      <c r="AB910" s="139"/>
      <c r="AC910" s="139"/>
      <c r="AD910" s="139"/>
      <c r="AE910" s="139"/>
      <c r="AF910" s="139"/>
      <c r="AG910" s="139"/>
      <c r="AH910" s="139"/>
      <c r="AI910" s="139"/>
      <c r="AJ910" s="139"/>
      <c r="AK910" s="139"/>
      <c r="AL910" s="139"/>
      <c r="AM910" s="139"/>
      <c r="AN910" s="139"/>
      <c r="AO910" s="139"/>
      <c r="AP910" s="139"/>
      <c r="AQ910" s="139"/>
    </row>
    <row r="911" spans="1:43" ht="12.75" customHeight="1">
      <c r="A911" s="139"/>
      <c r="B911" s="139"/>
      <c r="C911" s="139"/>
      <c r="D911" s="139"/>
      <c r="E911" s="139"/>
      <c r="F911" s="139"/>
      <c r="G911" s="139"/>
      <c r="H911" s="139"/>
      <c r="I911" s="139"/>
      <c r="J911" s="139"/>
      <c r="K911" s="139"/>
      <c r="L911" s="139"/>
      <c r="M911" s="139"/>
      <c r="N911" s="139"/>
      <c r="O911" s="139"/>
      <c r="P911" s="139"/>
      <c r="Q911" s="139"/>
      <c r="R911" s="139"/>
      <c r="S911" s="139"/>
      <c r="T911" s="139"/>
      <c r="U911" s="139"/>
      <c r="V911" s="139"/>
      <c r="W911" s="139"/>
      <c r="X911" s="139"/>
      <c r="Y911" s="139"/>
      <c r="Z911" s="139"/>
      <c r="AA911" s="139"/>
      <c r="AB911" s="139"/>
      <c r="AC911" s="139"/>
      <c r="AD911" s="139"/>
      <c r="AE911" s="139"/>
      <c r="AF911" s="139"/>
      <c r="AG911" s="139"/>
      <c r="AH911" s="139"/>
      <c r="AI911" s="139"/>
      <c r="AJ911" s="139"/>
      <c r="AK911" s="139"/>
      <c r="AL911" s="139"/>
      <c r="AM911" s="139"/>
      <c r="AN911" s="139"/>
      <c r="AO911" s="139"/>
      <c r="AP911" s="139"/>
      <c r="AQ911" s="139"/>
    </row>
    <row r="912" spans="1:43" ht="12.75" customHeight="1">
      <c r="A912" s="139"/>
      <c r="B912" s="139"/>
      <c r="C912" s="139"/>
      <c r="D912" s="139"/>
      <c r="E912" s="139"/>
      <c r="F912" s="139"/>
      <c r="G912" s="139"/>
      <c r="H912" s="139"/>
      <c r="I912" s="139"/>
      <c r="J912" s="139"/>
      <c r="K912" s="139"/>
      <c r="L912" s="139"/>
      <c r="M912" s="139"/>
      <c r="N912" s="139"/>
      <c r="O912" s="139"/>
      <c r="P912" s="139"/>
      <c r="Q912" s="139"/>
      <c r="R912" s="139"/>
      <c r="S912" s="139"/>
      <c r="T912" s="139"/>
      <c r="U912" s="139"/>
      <c r="V912" s="139"/>
      <c r="W912" s="139"/>
      <c r="X912" s="139"/>
      <c r="Y912" s="139"/>
      <c r="Z912" s="139"/>
      <c r="AA912" s="139"/>
      <c r="AB912" s="139"/>
      <c r="AC912" s="139"/>
      <c r="AD912" s="139"/>
      <c r="AE912" s="139"/>
      <c r="AF912" s="139"/>
      <c r="AG912" s="139"/>
      <c r="AH912" s="139"/>
      <c r="AI912" s="139"/>
      <c r="AJ912" s="139"/>
      <c r="AK912" s="139"/>
      <c r="AL912" s="139"/>
      <c r="AM912" s="139"/>
      <c r="AN912" s="139"/>
      <c r="AO912" s="139"/>
      <c r="AP912" s="139"/>
      <c r="AQ912" s="139"/>
    </row>
    <row r="913" spans="1:43" ht="12.75" customHeight="1">
      <c r="A913" s="139"/>
      <c r="B913" s="139"/>
      <c r="C913" s="139"/>
      <c r="D913" s="139"/>
      <c r="E913" s="139"/>
      <c r="F913" s="139"/>
      <c r="G913" s="139"/>
      <c r="H913" s="139"/>
      <c r="I913" s="139"/>
      <c r="J913" s="139"/>
      <c r="K913" s="139"/>
      <c r="L913" s="139"/>
      <c r="M913" s="139"/>
      <c r="N913" s="139"/>
      <c r="O913" s="139"/>
      <c r="P913" s="139"/>
      <c r="Q913" s="139"/>
      <c r="R913" s="139"/>
      <c r="S913" s="139"/>
      <c r="T913" s="139"/>
      <c r="U913" s="139"/>
      <c r="V913" s="139"/>
      <c r="W913" s="139"/>
      <c r="X913" s="139"/>
      <c r="Y913" s="139"/>
      <c r="Z913" s="139"/>
      <c r="AA913" s="139"/>
      <c r="AB913" s="139"/>
      <c r="AC913" s="139"/>
      <c r="AD913" s="139"/>
      <c r="AE913" s="139"/>
      <c r="AF913" s="139"/>
      <c r="AG913" s="139"/>
      <c r="AH913" s="139"/>
      <c r="AI913" s="139"/>
      <c r="AJ913" s="139"/>
      <c r="AK913" s="139"/>
      <c r="AL913" s="139"/>
      <c r="AM913" s="139"/>
      <c r="AN913" s="139"/>
      <c r="AO913" s="139"/>
      <c r="AP913" s="139"/>
      <c r="AQ913" s="139"/>
    </row>
    <row r="914" spans="1:43" ht="12.75" customHeight="1">
      <c r="A914" s="139"/>
      <c r="B914" s="139"/>
      <c r="C914" s="139"/>
      <c r="D914" s="139"/>
      <c r="E914" s="139"/>
      <c r="F914" s="139"/>
      <c r="G914" s="139"/>
      <c r="H914" s="139"/>
      <c r="I914" s="139"/>
      <c r="J914" s="139"/>
      <c r="K914" s="139"/>
      <c r="L914" s="139"/>
      <c r="M914" s="139"/>
      <c r="N914" s="139"/>
      <c r="O914" s="139"/>
      <c r="P914" s="139"/>
      <c r="Q914" s="139"/>
      <c r="R914" s="139"/>
      <c r="S914" s="139"/>
      <c r="T914" s="139"/>
      <c r="U914" s="139"/>
      <c r="V914" s="139"/>
      <c r="W914" s="139"/>
      <c r="X914" s="139"/>
      <c r="Y914" s="139"/>
      <c r="Z914" s="139"/>
      <c r="AA914" s="139"/>
      <c r="AB914" s="139"/>
      <c r="AC914" s="139"/>
      <c r="AD914" s="139"/>
      <c r="AE914" s="139"/>
      <c r="AF914" s="139"/>
      <c r="AG914" s="139"/>
      <c r="AH914" s="139"/>
      <c r="AI914" s="139"/>
      <c r="AJ914" s="139"/>
      <c r="AK914" s="139"/>
      <c r="AL914" s="139"/>
      <c r="AM914" s="139"/>
      <c r="AN914" s="139"/>
      <c r="AO914" s="139"/>
      <c r="AP914" s="139"/>
      <c r="AQ914" s="139"/>
    </row>
    <row r="915" spans="1:43" ht="12.75" customHeight="1">
      <c r="A915" s="139"/>
      <c r="B915" s="139"/>
      <c r="C915" s="139"/>
      <c r="D915" s="139"/>
      <c r="E915" s="139"/>
      <c r="F915" s="139"/>
      <c r="G915" s="139"/>
      <c r="H915" s="139"/>
      <c r="I915" s="139"/>
      <c r="J915" s="139"/>
      <c r="K915" s="139"/>
      <c r="L915" s="139"/>
      <c r="M915" s="139"/>
      <c r="N915" s="139"/>
      <c r="O915" s="139"/>
      <c r="P915" s="139"/>
      <c r="Q915" s="139"/>
      <c r="R915" s="139"/>
      <c r="S915" s="139"/>
      <c r="T915" s="139"/>
      <c r="U915" s="139"/>
      <c r="V915" s="139"/>
      <c r="W915" s="139"/>
      <c r="X915" s="139"/>
      <c r="Y915" s="139"/>
      <c r="Z915" s="139"/>
      <c r="AA915" s="139"/>
      <c r="AB915" s="139"/>
      <c r="AC915" s="139"/>
      <c r="AD915" s="139"/>
      <c r="AE915" s="139"/>
      <c r="AF915" s="139"/>
      <c r="AG915" s="139"/>
      <c r="AH915" s="139"/>
      <c r="AI915" s="139"/>
      <c r="AJ915" s="139"/>
      <c r="AK915" s="139"/>
      <c r="AL915" s="139"/>
      <c r="AM915" s="139"/>
      <c r="AN915" s="139"/>
      <c r="AO915" s="139"/>
      <c r="AP915" s="139"/>
      <c r="AQ915" s="139"/>
    </row>
    <row r="916" spans="1:43" ht="12.75" customHeight="1">
      <c r="A916" s="139"/>
      <c r="B916" s="139"/>
      <c r="C916" s="139"/>
      <c r="D916" s="139"/>
      <c r="E916" s="139"/>
      <c r="F916" s="139"/>
      <c r="G916" s="139"/>
      <c r="H916" s="139"/>
      <c r="I916" s="139"/>
      <c r="J916" s="139"/>
      <c r="K916" s="139"/>
      <c r="L916" s="139"/>
      <c r="M916" s="139"/>
      <c r="N916" s="139"/>
      <c r="O916" s="139"/>
      <c r="P916" s="139"/>
      <c r="Q916" s="139"/>
      <c r="R916" s="139"/>
      <c r="S916" s="139"/>
      <c r="T916" s="139"/>
      <c r="U916" s="139"/>
      <c r="V916" s="139"/>
      <c r="W916" s="139"/>
      <c r="X916" s="139"/>
      <c r="Y916" s="139"/>
      <c r="Z916" s="139"/>
      <c r="AA916" s="139"/>
      <c r="AB916" s="139"/>
      <c r="AC916" s="139"/>
      <c r="AD916" s="139"/>
      <c r="AE916" s="139"/>
      <c r="AF916" s="139"/>
      <c r="AG916" s="139"/>
      <c r="AH916" s="139"/>
      <c r="AI916" s="139"/>
      <c r="AJ916" s="139"/>
      <c r="AK916" s="139"/>
      <c r="AL916" s="139"/>
      <c r="AM916" s="139"/>
      <c r="AN916" s="139"/>
      <c r="AO916" s="139"/>
      <c r="AP916" s="139"/>
      <c r="AQ916" s="139"/>
    </row>
    <row r="917" spans="1:43" ht="12.75" customHeight="1">
      <c r="A917" s="139"/>
      <c r="B917" s="139"/>
      <c r="C917" s="139"/>
      <c r="D917" s="139"/>
      <c r="E917" s="139"/>
      <c r="F917" s="139"/>
      <c r="G917" s="139"/>
      <c r="H917" s="139"/>
      <c r="I917" s="139"/>
      <c r="J917" s="139"/>
      <c r="K917" s="139"/>
      <c r="L917" s="139"/>
      <c r="M917" s="139"/>
      <c r="N917" s="139"/>
      <c r="O917" s="139"/>
      <c r="P917" s="139"/>
      <c r="Q917" s="139"/>
      <c r="R917" s="139"/>
      <c r="S917" s="139"/>
      <c r="T917" s="139"/>
      <c r="U917" s="139"/>
      <c r="V917" s="139"/>
      <c r="W917" s="139"/>
      <c r="X917" s="139"/>
      <c r="Y917" s="139"/>
      <c r="Z917" s="139"/>
      <c r="AA917" s="139"/>
      <c r="AB917" s="139"/>
      <c r="AC917" s="139"/>
      <c r="AD917" s="139"/>
      <c r="AE917" s="139"/>
      <c r="AF917" s="139"/>
      <c r="AG917" s="139"/>
      <c r="AH917" s="139"/>
      <c r="AI917" s="139"/>
      <c r="AJ917" s="139"/>
      <c r="AK917" s="139"/>
      <c r="AL917" s="139"/>
      <c r="AM917" s="139"/>
      <c r="AN917" s="139"/>
      <c r="AO917" s="139"/>
      <c r="AP917" s="139"/>
      <c r="AQ917" s="139"/>
    </row>
    <row r="918" spans="1:43" ht="12.75" customHeight="1">
      <c r="A918" s="139"/>
      <c r="B918" s="139"/>
      <c r="C918" s="139"/>
      <c r="D918" s="139"/>
      <c r="E918" s="139"/>
      <c r="F918" s="139"/>
      <c r="G918" s="139"/>
      <c r="H918" s="139"/>
      <c r="I918" s="139"/>
      <c r="J918" s="139"/>
      <c r="K918" s="139"/>
      <c r="L918" s="139"/>
      <c r="M918" s="139"/>
      <c r="N918" s="139"/>
      <c r="O918" s="139"/>
      <c r="P918" s="139"/>
      <c r="Q918" s="139"/>
      <c r="R918" s="139"/>
      <c r="S918" s="139"/>
      <c r="T918" s="139"/>
      <c r="U918" s="139"/>
      <c r="V918" s="139"/>
      <c r="W918" s="139"/>
      <c r="X918" s="139"/>
      <c r="Y918" s="139"/>
      <c r="Z918" s="139"/>
      <c r="AA918" s="139"/>
      <c r="AB918" s="139"/>
      <c r="AC918" s="139"/>
      <c r="AD918" s="139"/>
      <c r="AE918" s="139"/>
      <c r="AF918" s="139"/>
      <c r="AG918" s="139"/>
      <c r="AH918" s="139"/>
      <c r="AI918" s="139"/>
      <c r="AJ918" s="139"/>
      <c r="AK918" s="139"/>
      <c r="AL918" s="139"/>
      <c r="AM918" s="139"/>
      <c r="AN918" s="139"/>
      <c r="AO918" s="139"/>
      <c r="AP918" s="139"/>
      <c r="AQ918" s="139"/>
    </row>
    <row r="919" spans="1:43" ht="12.75" customHeight="1">
      <c r="A919" s="139"/>
      <c r="B919" s="139"/>
      <c r="C919" s="139"/>
      <c r="D919" s="139"/>
      <c r="E919" s="139"/>
      <c r="F919" s="139"/>
      <c r="G919" s="139"/>
      <c r="H919" s="139"/>
      <c r="I919" s="139"/>
      <c r="J919" s="139"/>
      <c r="K919" s="139"/>
      <c r="L919" s="139"/>
      <c r="M919" s="139"/>
      <c r="N919" s="139"/>
      <c r="O919" s="139"/>
      <c r="P919" s="139"/>
      <c r="Q919" s="139"/>
      <c r="R919" s="139"/>
      <c r="S919" s="139"/>
      <c r="T919" s="139"/>
      <c r="U919" s="139"/>
      <c r="V919" s="139"/>
      <c r="W919" s="139"/>
      <c r="X919" s="139"/>
      <c r="Y919" s="139"/>
      <c r="Z919" s="139"/>
      <c r="AA919" s="139"/>
      <c r="AB919" s="139"/>
      <c r="AC919" s="139"/>
      <c r="AD919" s="139"/>
      <c r="AE919" s="139"/>
      <c r="AF919" s="139"/>
      <c r="AG919" s="139"/>
      <c r="AH919" s="139"/>
      <c r="AI919" s="139"/>
      <c r="AJ919" s="139"/>
      <c r="AK919" s="139"/>
      <c r="AL919" s="139"/>
      <c r="AM919" s="139"/>
      <c r="AN919" s="139"/>
      <c r="AO919" s="139"/>
      <c r="AP919" s="139"/>
      <c r="AQ919" s="139"/>
    </row>
    <row r="920" spans="1:43" ht="12.75" customHeight="1">
      <c r="A920" s="139"/>
      <c r="B920" s="139"/>
      <c r="C920" s="139"/>
      <c r="D920" s="139"/>
      <c r="E920" s="139"/>
      <c r="F920" s="139"/>
      <c r="G920" s="139"/>
      <c r="H920" s="139"/>
      <c r="I920" s="139"/>
      <c r="J920" s="139"/>
      <c r="K920" s="139"/>
      <c r="L920" s="139"/>
      <c r="M920" s="139"/>
      <c r="N920" s="139"/>
      <c r="O920" s="139"/>
      <c r="P920" s="139"/>
      <c r="Q920" s="139"/>
      <c r="R920" s="139"/>
      <c r="S920" s="139"/>
      <c r="T920" s="139"/>
      <c r="U920" s="139"/>
      <c r="V920" s="139"/>
      <c r="W920" s="139"/>
      <c r="X920" s="139"/>
      <c r="Y920" s="139"/>
      <c r="Z920" s="139"/>
      <c r="AA920" s="139"/>
      <c r="AB920" s="139"/>
      <c r="AC920" s="139"/>
      <c r="AD920" s="139"/>
      <c r="AE920" s="139"/>
      <c r="AF920" s="139"/>
      <c r="AG920" s="139"/>
      <c r="AH920" s="139"/>
      <c r="AI920" s="139"/>
      <c r="AJ920" s="139"/>
      <c r="AK920" s="139"/>
      <c r="AL920" s="139"/>
      <c r="AM920" s="139"/>
      <c r="AN920" s="139"/>
      <c r="AO920" s="139"/>
      <c r="AP920" s="139"/>
      <c r="AQ920" s="139"/>
    </row>
    <row r="921" spans="1:43" ht="12.75" customHeight="1">
      <c r="A921" s="139"/>
      <c r="B921" s="139"/>
      <c r="C921" s="139"/>
      <c r="D921" s="139"/>
      <c r="E921" s="139"/>
      <c r="F921" s="139"/>
      <c r="G921" s="139"/>
      <c r="H921" s="139"/>
      <c r="I921" s="139"/>
      <c r="J921" s="139"/>
      <c r="K921" s="139"/>
      <c r="L921" s="139"/>
      <c r="M921" s="139"/>
      <c r="N921" s="139"/>
      <c r="O921" s="139"/>
      <c r="P921" s="139"/>
      <c r="Q921" s="139"/>
      <c r="R921" s="139"/>
      <c r="S921" s="139"/>
      <c r="T921" s="139"/>
      <c r="U921" s="139"/>
      <c r="V921" s="139"/>
      <c r="W921" s="139"/>
      <c r="X921" s="139"/>
      <c r="Y921" s="139"/>
      <c r="Z921" s="139"/>
      <c r="AA921" s="139"/>
      <c r="AB921" s="139"/>
      <c r="AC921" s="139"/>
      <c r="AD921" s="139"/>
      <c r="AE921" s="139"/>
      <c r="AF921" s="139"/>
      <c r="AG921" s="139"/>
      <c r="AH921" s="139"/>
      <c r="AI921" s="139"/>
      <c r="AJ921" s="139"/>
      <c r="AK921" s="139"/>
      <c r="AL921" s="139"/>
      <c r="AM921" s="139"/>
      <c r="AN921" s="139"/>
      <c r="AO921" s="139"/>
      <c r="AP921" s="139"/>
      <c r="AQ921" s="139"/>
    </row>
    <row r="922" spans="1:43" ht="12.75" customHeight="1">
      <c r="A922" s="139"/>
      <c r="B922" s="139"/>
      <c r="C922" s="139"/>
      <c r="D922" s="139"/>
      <c r="E922" s="139"/>
      <c r="F922" s="139"/>
      <c r="G922" s="139"/>
      <c r="H922" s="139"/>
      <c r="I922" s="139"/>
      <c r="J922" s="139"/>
      <c r="K922" s="139"/>
      <c r="L922" s="139"/>
      <c r="M922" s="139"/>
      <c r="N922" s="139"/>
      <c r="O922" s="139"/>
      <c r="P922" s="139"/>
      <c r="Q922" s="139"/>
      <c r="R922" s="139"/>
      <c r="S922" s="139"/>
      <c r="T922" s="139"/>
      <c r="U922" s="139"/>
      <c r="V922" s="139"/>
      <c r="W922" s="139"/>
      <c r="X922" s="139"/>
      <c r="Y922" s="139"/>
      <c r="Z922" s="139"/>
      <c r="AA922" s="139"/>
      <c r="AB922" s="139"/>
      <c r="AC922" s="139"/>
      <c r="AD922" s="139"/>
      <c r="AE922" s="139"/>
      <c r="AF922" s="139"/>
      <c r="AG922" s="139"/>
      <c r="AH922" s="139"/>
      <c r="AI922" s="139"/>
      <c r="AJ922" s="139"/>
      <c r="AK922" s="139"/>
      <c r="AL922" s="139"/>
      <c r="AM922" s="139"/>
      <c r="AN922" s="139"/>
      <c r="AO922" s="139"/>
      <c r="AP922" s="139"/>
      <c r="AQ922" s="139"/>
    </row>
    <row r="923" spans="1:43" ht="12.75" customHeight="1">
      <c r="A923" s="139"/>
      <c r="B923" s="139"/>
      <c r="C923" s="139"/>
      <c r="D923" s="139"/>
      <c r="E923" s="139"/>
      <c r="F923" s="139"/>
      <c r="G923" s="139"/>
      <c r="H923" s="139"/>
      <c r="I923" s="139"/>
      <c r="J923" s="139"/>
      <c r="K923" s="139"/>
      <c r="L923" s="139"/>
      <c r="M923" s="139"/>
      <c r="N923" s="139"/>
      <c r="O923" s="139"/>
      <c r="P923" s="139"/>
      <c r="Q923" s="139"/>
      <c r="R923" s="139"/>
      <c r="S923" s="139"/>
      <c r="T923" s="139"/>
      <c r="U923" s="139"/>
      <c r="V923" s="139"/>
      <c r="W923" s="139"/>
      <c r="X923" s="139"/>
      <c r="Y923" s="139"/>
      <c r="Z923" s="139"/>
      <c r="AA923" s="139"/>
      <c r="AB923" s="139"/>
      <c r="AC923" s="139"/>
      <c r="AD923" s="139"/>
      <c r="AE923" s="139"/>
      <c r="AF923" s="139"/>
      <c r="AG923" s="139"/>
      <c r="AH923" s="139"/>
      <c r="AI923" s="139"/>
      <c r="AJ923" s="139"/>
      <c r="AK923" s="139"/>
      <c r="AL923" s="139"/>
      <c r="AM923" s="139"/>
      <c r="AN923" s="139"/>
      <c r="AO923" s="139"/>
      <c r="AP923" s="139"/>
      <c r="AQ923" s="139"/>
    </row>
    <row r="924" spans="1:43" ht="12.75" customHeight="1">
      <c r="A924" s="139"/>
      <c r="B924" s="139"/>
      <c r="C924" s="139"/>
      <c r="D924" s="139"/>
      <c r="E924" s="139"/>
      <c r="F924" s="139"/>
      <c r="G924" s="139"/>
      <c r="H924" s="139"/>
      <c r="I924" s="139"/>
      <c r="J924" s="139"/>
      <c r="K924" s="139"/>
      <c r="L924" s="139"/>
      <c r="M924" s="139"/>
      <c r="N924" s="139"/>
      <c r="O924" s="139"/>
      <c r="P924" s="139"/>
      <c r="Q924" s="139"/>
      <c r="R924" s="139"/>
      <c r="S924" s="139"/>
      <c r="T924" s="139"/>
      <c r="U924" s="139"/>
      <c r="V924" s="139"/>
      <c r="W924" s="139"/>
      <c r="X924" s="139"/>
      <c r="Y924" s="139"/>
      <c r="Z924" s="139"/>
      <c r="AA924" s="139"/>
      <c r="AB924" s="139"/>
      <c r="AC924" s="139"/>
      <c r="AD924" s="139"/>
      <c r="AE924" s="139"/>
      <c r="AF924" s="139"/>
      <c r="AG924" s="139"/>
      <c r="AH924" s="139"/>
      <c r="AI924" s="139"/>
      <c r="AJ924" s="139"/>
      <c r="AK924" s="139"/>
      <c r="AL924" s="139"/>
      <c r="AM924" s="139"/>
      <c r="AN924" s="139"/>
      <c r="AO924" s="139"/>
      <c r="AP924" s="139"/>
      <c r="AQ924" s="139"/>
    </row>
    <row r="925" spans="1:43" ht="12.75" customHeight="1">
      <c r="A925" s="139"/>
      <c r="B925" s="139"/>
      <c r="C925" s="139"/>
      <c r="D925" s="139"/>
      <c r="E925" s="139"/>
      <c r="F925" s="139"/>
      <c r="G925" s="139"/>
      <c r="H925" s="139"/>
      <c r="I925" s="139"/>
      <c r="J925" s="139"/>
      <c r="K925" s="139"/>
      <c r="L925" s="139"/>
      <c r="M925" s="139"/>
      <c r="N925" s="139"/>
      <c r="O925" s="139"/>
      <c r="P925" s="139"/>
      <c r="Q925" s="139"/>
      <c r="R925" s="139"/>
      <c r="S925" s="139"/>
      <c r="T925" s="139"/>
      <c r="U925" s="139"/>
      <c r="V925" s="139"/>
      <c r="W925" s="139"/>
      <c r="X925" s="139"/>
      <c r="Y925" s="139"/>
      <c r="Z925" s="139"/>
      <c r="AA925" s="139"/>
      <c r="AB925" s="139"/>
      <c r="AC925" s="139"/>
      <c r="AD925" s="139"/>
      <c r="AE925" s="139"/>
      <c r="AF925" s="139"/>
      <c r="AG925" s="139"/>
      <c r="AH925" s="139"/>
      <c r="AI925" s="139"/>
      <c r="AJ925" s="139"/>
      <c r="AK925" s="139"/>
      <c r="AL925" s="139"/>
      <c r="AM925" s="139"/>
      <c r="AN925" s="139"/>
      <c r="AO925" s="139"/>
      <c r="AP925" s="139"/>
      <c r="AQ925" s="139"/>
    </row>
    <row r="926" spans="1:43" ht="12.75" customHeight="1">
      <c r="A926" s="139"/>
      <c r="B926" s="139"/>
      <c r="C926" s="139"/>
      <c r="D926" s="139"/>
      <c r="E926" s="139"/>
      <c r="F926" s="139"/>
      <c r="G926" s="139"/>
      <c r="H926" s="139"/>
      <c r="I926" s="139"/>
      <c r="J926" s="139"/>
      <c r="K926" s="139"/>
      <c r="L926" s="139"/>
      <c r="M926" s="139"/>
      <c r="N926" s="139"/>
      <c r="O926" s="139"/>
      <c r="P926" s="139"/>
      <c r="Q926" s="139"/>
      <c r="R926" s="139"/>
      <c r="S926" s="139"/>
      <c r="T926" s="139"/>
      <c r="U926" s="139"/>
      <c r="V926" s="139"/>
      <c r="W926" s="139"/>
      <c r="X926" s="139"/>
      <c r="Y926" s="139"/>
      <c r="Z926" s="139"/>
      <c r="AA926" s="139"/>
      <c r="AB926" s="139"/>
      <c r="AC926" s="139"/>
      <c r="AD926" s="139"/>
      <c r="AE926" s="139"/>
      <c r="AF926" s="139"/>
      <c r="AG926" s="139"/>
      <c r="AH926" s="139"/>
      <c r="AI926" s="139"/>
      <c r="AJ926" s="139"/>
      <c r="AK926" s="139"/>
      <c r="AL926" s="139"/>
      <c r="AM926" s="139"/>
      <c r="AN926" s="139"/>
      <c r="AO926" s="139"/>
      <c r="AP926" s="139"/>
      <c r="AQ926" s="139"/>
    </row>
    <row r="927" spans="1:43" ht="12.75" customHeight="1">
      <c r="A927" s="139"/>
      <c r="B927" s="139"/>
      <c r="C927" s="139"/>
      <c r="D927" s="139"/>
      <c r="E927" s="139"/>
      <c r="F927" s="139"/>
      <c r="G927" s="139"/>
      <c r="H927" s="139"/>
      <c r="I927" s="139"/>
      <c r="J927" s="139"/>
      <c r="K927" s="139"/>
      <c r="L927" s="139"/>
      <c r="M927" s="139"/>
      <c r="N927" s="139"/>
      <c r="O927" s="139"/>
      <c r="P927" s="139"/>
      <c r="Q927" s="139"/>
      <c r="R927" s="139"/>
      <c r="S927" s="139"/>
      <c r="T927" s="139"/>
      <c r="U927" s="139"/>
      <c r="V927" s="139"/>
      <c r="W927" s="139"/>
      <c r="X927" s="139"/>
      <c r="Y927" s="139"/>
      <c r="Z927" s="139"/>
      <c r="AA927" s="139"/>
      <c r="AB927" s="139"/>
      <c r="AC927" s="139"/>
      <c r="AD927" s="139"/>
      <c r="AE927" s="139"/>
      <c r="AF927" s="139"/>
      <c r="AG927" s="139"/>
      <c r="AH927" s="139"/>
      <c r="AI927" s="139"/>
      <c r="AJ927" s="139"/>
      <c r="AK927" s="139"/>
      <c r="AL927" s="139"/>
      <c r="AM927" s="139"/>
      <c r="AN927" s="139"/>
      <c r="AO927" s="139"/>
      <c r="AP927" s="139"/>
      <c r="AQ927" s="139"/>
    </row>
    <row r="928" spans="1:43" ht="12.75" customHeight="1">
      <c r="A928" s="139"/>
      <c r="B928" s="139"/>
      <c r="C928" s="139"/>
      <c r="D928" s="139"/>
      <c r="E928" s="139"/>
      <c r="F928" s="139"/>
      <c r="G928" s="139"/>
      <c r="H928" s="139"/>
      <c r="I928" s="139"/>
      <c r="J928" s="139"/>
      <c r="K928" s="139"/>
      <c r="L928" s="139"/>
      <c r="M928" s="139"/>
      <c r="N928" s="139"/>
      <c r="O928" s="139"/>
      <c r="P928" s="139"/>
      <c r="Q928" s="139"/>
      <c r="R928" s="139"/>
      <c r="S928" s="139"/>
      <c r="T928" s="139"/>
      <c r="U928" s="139"/>
      <c r="V928" s="139"/>
      <c r="W928" s="139"/>
      <c r="X928" s="139"/>
      <c r="Y928" s="139"/>
      <c r="Z928" s="139"/>
      <c r="AA928" s="139"/>
      <c r="AB928" s="139"/>
      <c r="AC928" s="139"/>
      <c r="AD928" s="139"/>
      <c r="AE928" s="139"/>
      <c r="AF928" s="139"/>
      <c r="AG928" s="139"/>
      <c r="AH928" s="139"/>
      <c r="AI928" s="139"/>
      <c r="AJ928" s="139"/>
      <c r="AK928" s="139"/>
      <c r="AL928" s="139"/>
      <c r="AM928" s="139"/>
      <c r="AN928" s="139"/>
      <c r="AO928" s="139"/>
      <c r="AP928" s="139"/>
      <c r="AQ928" s="139"/>
    </row>
    <row r="929" spans="1:43" ht="12.75" customHeight="1">
      <c r="A929" s="139"/>
      <c r="B929" s="139"/>
      <c r="C929" s="139"/>
      <c r="D929" s="139"/>
      <c r="E929" s="139"/>
      <c r="F929" s="139"/>
      <c r="G929" s="139"/>
      <c r="H929" s="139"/>
      <c r="I929" s="139"/>
      <c r="J929" s="139"/>
      <c r="K929" s="139"/>
      <c r="L929" s="139"/>
      <c r="M929" s="139"/>
      <c r="N929" s="139"/>
      <c r="O929" s="139"/>
      <c r="P929" s="139"/>
      <c r="Q929" s="139"/>
      <c r="R929" s="139"/>
      <c r="S929" s="139"/>
      <c r="T929" s="139"/>
      <c r="U929" s="139"/>
      <c r="V929" s="139"/>
      <c r="W929" s="139"/>
      <c r="X929" s="139"/>
      <c r="Y929" s="139"/>
      <c r="Z929" s="139"/>
      <c r="AA929" s="139"/>
      <c r="AB929" s="139"/>
      <c r="AC929" s="139"/>
      <c r="AD929" s="139"/>
      <c r="AE929" s="139"/>
      <c r="AF929" s="139"/>
      <c r="AG929" s="139"/>
      <c r="AH929" s="139"/>
      <c r="AI929" s="139"/>
      <c r="AJ929" s="139"/>
      <c r="AK929" s="139"/>
      <c r="AL929" s="139"/>
      <c r="AM929" s="139"/>
      <c r="AN929" s="139"/>
      <c r="AO929" s="139"/>
      <c r="AP929" s="139"/>
      <c r="AQ929" s="139"/>
    </row>
    <row r="930" spans="1:43" ht="12.75" customHeight="1">
      <c r="A930" s="139"/>
      <c r="B930" s="139"/>
      <c r="C930" s="139"/>
      <c r="D930" s="139"/>
      <c r="E930" s="139"/>
      <c r="F930" s="139"/>
      <c r="G930" s="139"/>
      <c r="H930" s="139"/>
      <c r="I930" s="139"/>
      <c r="J930" s="139"/>
      <c r="K930" s="139"/>
      <c r="L930" s="139"/>
      <c r="M930" s="139"/>
      <c r="N930" s="139"/>
      <c r="O930" s="139"/>
      <c r="P930" s="139"/>
      <c r="Q930" s="139"/>
      <c r="R930" s="139"/>
      <c r="S930" s="139"/>
      <c r="T930" s="139"/>
      <c r="U930" s="139"/>
      <c r="V930" s="139"/>
      <c r="W930" s="139"/>
      <c r="X930" s="139"/>
      <c r="Y930" s="139"/>
      <c r="Z930" s="139"/>
      <c r="AA930" s="139"/>
      <c r="AB930" s="139"/>
      <c r="AC930" s="139"/>
      <c r="AD930" s="139"/>
      <c r="AE930" s="139"/>
      <c r="AF930" s="139"/>
      <c r="AG930" s="139"/>
      <c r="AH930" s="139"/>
      <c r="AI930" s="139"/>
      <c r="AJ930" s="139"/>
      <c r="AK930" s="139"/>
      <c r="AL930" s="139"/>
      <c r="AM930" s="139"/>
      <c r="AN930" s="139"/>
      <c r="AO930" s="139"/>
      <c r="AP930" s="139"/>
      <c r="AQ930" s="139"/>
    </row>
    <row r="931" spans="1:43" ht="12.75" customHeight="1">
      <c r="A931" s="139"/>
      <c r="B931" s="139"/>
      <c r="C931" s="139"/>
      <c r="D931" s="139"/>
      <c r="E931" s="139"/>
      <c r="F931" s="139"/>
      <c r="G931" s="139"/>
      <c r="H931" s="139"/>
      <c r="I931" s="139"/>
      <c r="J931" s="139"/>
      <c r="K931" s="139"/>
      <c r="L931" s="139"/>
      <c r="M931" s="139"/>
      <c r="N931" s="139"/>
      <c r="O931" s="139"/>
      <c r="P931" s="139"/>
      <c r="Q931" s="139"/>
      <c r="R931" s="139"/>
      <c r="S931" s="139"/>
      <c r="T931" s="139"/>
      <c r="U931" s="139"/>
      <c r="V931" s="139"/>
      <c r="W931" s="139"/>
      <c r="X931" s="139"/>
      <c r="Y931" s="139"/>
      <c r="Z931" s="139"/>
      <c r="AA931" s="139"/>
      <c r="AB931" s="139"/>
      <c r="AC931" s="139"/>
      <c r="AD931" s="139"/>
      <c r="AE931" s="139"/>
      <c r="AF931" s="139"/>
      <c r="AG931" s="139"/>
      <c r="AH931" s="139"/>
      <c r="AI931" s="139"/>
      <c r="AJ931" s="139"/>
      <c r="AK931" s="139"/>
      <c r="AL931" s="139"/>
      <c r="AM931" s="139"/>
      <c r="AN931" s="139"/>
      <c r="AO931" s="139"/>
      <c r="AP931" s="139"/>
      <c r="AQ931" s="139"/>
    </row>
    <row r="932" spans="1:43" ht="12.75" customHeight="1">
      <c r="A932" s="139"/>
      <c r="B932" s="139"/>
      <c r="C932" s="139"/>
      <c r="D932" s="139"/>
      <c r="E932" s="139"/>
      <c r="F932" s="139"/>
      <c r="G932" s="139"/>
      <c r="H932" s="139"/>
      <c r="I932" s="139"/>
      <c r="J932" s="139"/>
      <c r="K932" s="139"/>
      <c r="L932" s="139"/>
      <c r="M932" s="139"/>
      <c r="N932" s="139"/>
      <c r="O932" s="139"/>
      <c r="P932" s="139"/>
      <c r="Q932" s="139"/>
      <c r="R932" s="139"/>
      <c r="S932" s="139"/>
      <c r="T932" s="139"/>
      <c r="U932" s="139"/>
      <c r="V932" s="139"/>
      <c r="W932" s="139"/>
      <c r="X932" s="139"/>
      <c r="Y932" s="139"/>
      <c r="Z932" s="139"/>
      <c r="AA932" s="139"/>
      <c r="AB932" s="139"/>
      <c r="AC932" s="139"/>
      <c r="AD932" s="139"/>
      <c r="AE932" s="139"/>
      <c r="AF932" s="139"/>
      <c r="AG932" s="139"/>
      <c r="AH932" s="139"/>
      <c r="AI932" s="139"/>
      <c r="AJ932" s="139"/>
      <c r="AK932" s="139"/>
      <c r="AL932" s="139"/>
      <c r="AM932" s="139"/>
      <c r="AN932" s="139"/>
      <c r="AO932" s="139"/>
      <c r="AP932" s="139"/>
      <c r="AQ932" s="139"/>
    </row>
    <row r="933" spans="1:43" ht="12.75" customHeight="1">
      <c r="A933" s="139"/>
      <c r="B933" s="139"/>
      <c r="C933" s="139"/>
      <c r="D933" s="139"/>
      <c r="E933" s="139"/>
      <c r="F933" s="139"/>
      <c r="G933" s="139"/>
      <c r="H933" s="139"/>
      <c r="I933" s="139"/>
      <c r="J933" s="139"/>
      <c r="K933" s="139"/>
      <c r="L933" s="139"/>
      <c r="M933" s="139"/>
      <c r="N933" s="139"/>
      <c r="O933" s="139"/>
      <c r="P933" s="139"/>
      <c r="Q933" s="139"/>
      <c r="R933" s="139"/>
      <c r="S933" s="139"/>
      <c r="T933" s="139"/>
      <c r="U933" s="139"/>
      <c r="V933" s="139"/>
      <c r="W933" s="139"/>
      <c r="X933" s="139"/>
      <c r="Y933" s="139"/>
      <c r="Z933" s="139"/>
      <c r="AA933" s="139"/>
      <c r="AB933" s="139"/>
      <c r="AC933" s="139"/>
      <c r="AD933" s="139"/>
      <c r="AE933" s="139"/>
      <c r="AF933" s="139"/>
      <c r="AG933" s="139"/>
      <c r="AH933" s="139"/>
      <c r="AI933" s="139"/>
      <c r="AJ933" s="139"/>
      <c r="AK933" s="139"/>
      <c r="AL933" s="139"/>
      <c r="AM933" s="139"/>
      <c r="AN933" s="139"/>
      <c r="AO933" s="139"/>
      <c r="AP933" s="139"/>
      <c r="AQ933" s="139"/>
    </row>
    <row r="934" spans="1:43" ht="12.75" customHeight="1">
      <c r="A934" s="139"/>
      <c r="B934" s="139"/>
      <c r="C934" s="139"/>
      <c r="D934" s="139"/>
      <c r="E934" s="139"/>
      <c r="F934" s="139"/>
      <c r="G934" s="139"/>
      <c r="H934" s="139"/>
      <c r="I934" s="139"/>
      <c r="J934" s="139"/>
      <c r="K934" s="139"/>
      <c r="L934" s="139"/>
      <c r="M934" s="139"/>
      <c r="N934" s="139"/>
      <c r="O934" s="139"/>
      <c r="P934" s="139"/>
      <c r="Q934" s="139"/>
      <c r="R934" s="139"/>
      <c r="S934" s="139"/>
      <c r="T934" s="139"/>
      <c r="U934" s="139"/>
      <c r="V934" s="139"/>
      <c r="W934" s="139"/>
      <c r="X934" s="139"/>
      <c r="Y934" s="139"/>
      <c r="Z934" s="139"/>
      <c r="AA934" s="139"/>
      <c r="AB934" s="139"/>
      <c r="AC934" s="139"/>
      <c r="AD934" s="139"/>
      <c r="AE934" s="139"/>
      <c r="AF934" s="139"/>
      <c r="AG934" s="139"/>
      <c r="AH934" s="139"/>
      <c r="AI934" s="139"/>
      <c r="AJ934" s="139"/>
      <c r="AK934" s="139"/>
      <c r="AL934" s="139"/>
      <c r="AM934" s="139"/>
      <c r="AN934" s="139"/>
      <c r="AO934" s="139"/>
      <c r="AP934" s="139"/>
      <c r="AQ934" s="139"/>
    </row>
    <row r="935" spans="1:43" ht="12.75" customHeight="1">
      <c r="A935" s="139"/>
      <c r="B935" s="139"/>
      <c r="C935" s="139"/>
      <c r="D935" s="139"/>
      <c r="E935" s="139"/>
      <c r="F935" s="139"/>
      <c r="G935" s="139"/>
      <c r="H935" s="139"/>
      <c r="I935" s="139"/>
      <c r="J935" s="139"/>
      <c r="K935" s="139"/>
      <c r="L935" s="139"/>
      <c r="M935" s="139"/>
      <c r="N935" s="139"/>
      <c r="O935" s="139"/>
      <c r="P935" s="139"/>
      <c r="Q935" s="139"/>
      <c r="R935" s="139"/>
      <c r="S935" s="139"/>
      <c r="T935" s="139"/>
      <c r="U935" s="139"/>
      <c r="V935" s="139"/>
      <c r="W935" s="139"/>
      <c r="X935" s="139"/>
      <c r="Y935" s="139"/>
      <c r="Z935" s="139"/>
      <c r="AA935" s="139"/>
      <c r="AB935" s="139"/>
      <c r="AC935" s="139"/>
      <c r="AD935" s="139"/>
      <c r="AE935" s="139"/>
      <c r="AF935" s="139"/>
      <c r="AG935" s="139"/>
      <c r="AH935" s="139"/>
      <c r="AI935" s="139"/>
      <c r="AJ935" s="139"/>
      <c r="AK935" s="139"/>
      <c r="AL935" s="139"/>
      <c r="AM935" s="139"/>
      <c r="AN935" s="139"/>
      <c r="AO935" s="139"/>
      <c r="AP935" s="139"/>
      <c r="AQ935" s="139"/>
    </row>
    <row r="936" spans="1:43" ht="12.75" customHeight="1">
      <c r="A936" s="139"/>
      <c r="B936" s="139"/>
      <c r="C936" s="139"/>
      <c r="D936" s="139"/>
      <c r="E936" s="139"/>
      <c r="F936" s="139"/>
      <c r="G936" s="139"/>
      <c r="H936" s="139"/>
      <c r="I936" s="139"/>
      <c r="J936" s="139"/>
      <c r="K936" s="139"/>
      <c r="L936" s="139"/>
      <c r="M936" s="139"/>
      <c r="N936" s="139"/>
      <c r="O936" s="139"/>
      <c r="P936" s="139"/>
      <c r="Q936" s="139"/>
      <c r="R936" s="139"/>
      <c r="S936" s="139"/>
      <c r="T936" s="139"/>
      <c r="U936" s="139"/>
      <c r="V936" s="139"/>
      <c r="W936" s="139"/>
      <c r="X936" s="139"/>
      <c r="Y936" s="139"/>
      <c r="Z936" s="139"/>
      <c r="AA936" s="139"/>
      <c r="AB936" s="139"/>
      <c r="AC936" s="139"/>
      <c r="AD936" s="139"/>
      <c r="AE936" s="139"/>
      <c r="AF936" s="139"/>
      <c r="AG936" s="139"/>
      <c r="AH936" s="139"/>
      <c r="AI936" s="139"/>
      <c r="AJ936" s="139"/>
      <c r="AK936" s="139"/>
      <c r="AL936" s="139"/>
      <c r="AM936" s="139"/>
      <c r="AN936" s="139"/>
      <c r="AO936" s="139"/>
      <c r="AP936" s="139"/>
      <c r="AQ936" s="139"/>
    </row>
    <row r="937" spans="1:43" ht="12.75" customHeight="1">
      <c r="A937" s="139"/>
      <c r="B937" s="139"/>
      <c r="C937" s="139"/>
      <c r="D937" s="139"/>
      <c r="E937" s="139"/>
      <c r="F937" s="139"/>
      <c r="G937" s="139"/>
      <c r="H937" s="139"/>
      <c r="I937" s="139"/>
      <c r="J937" s="139"/>
      <c r="K937" s="139"/>
      <c r="L937" s="139"/>
      <c r="M937" s="139"/>
      <c r="N937" s="139"/>
      <c r="O937" s="139"/>
      <c r="P937" s="139"/>
      <c r="Q937" s="139"/>
      <c r="R937" s="139"/>
      <c r="S937" s="139"/>
      <c r="T937" s="139"/>
      <c r="U937" s="139"/>
      <c r="V937" s="139"/>
      <c r="W937" s="139"/>
      <c r="X937" s="139"/>
      <c r="Y937" s="139"/>
      <c r="Z937" s="139"/>
      <c r="AA937" s="139"/>
      <c r="AB937" s="139"/>
      <c r="AC937" s="139"/>
      <c r="AD937" s="139"/>
      <c r="AE937" s="139"/>
      <c r="AF937" s="139"/>
      <c r="AG937" s="139"/>
      <c r="AH937" s="139"/>
      <c r="AI937" s="139"/>
      <c r="AJ937" s="139"/>
      <c r="AK937" s="139"/>
      <c r="AL937" s="139"/>
      <c r="AM937" s="139"/>
      <c r="AN937" s="139"/>
      <c r="AO937" s="139"/>
      <c r="AP937" s="139"/>
      <c r="AQ937" s="139"/>
    </row>
    <row r="938" spans="1:43" ht="12.75" customHeight="1">
      <c r="A938" s="139"/>
      <c r="B938" s="139"/>
      <c r="C938" s="139"/>
      <c r="D938" s="139"/>
      <c r="E938" s="139"/>
      <c r="F938" s="139"/>
      <c r="G938" s="139"/>
      <c r="H938" s="139"/>
      <c r="I938" s="139"/>
      <c r="J938" s="139"/>
      <c r="K938" s="139"/>
      <c r="L938" s="139"/>
      <c r="M938" s="139"/>
      <c r="N938" s="139"/>
      <c r="O938" s="139"/>
      <c r="P938" s="139"/>
      <c r="Q938" s="139"/>
      <c r="R938" s="139"/>
      <c r="S938" s="139"/>
      <c r="T938" s="139"/>
      <c r="U938" s="139"/>
      <c r="V938" s="139"/>
      <c r="W938" s="139"/>
      <c r="X938" s="139"/>
      <c r="Y938" s="139"/>
      <c r="Z938" s="139"/>
      <c r="AA938" s="139"/>
      <c r="AB938" s="139"/>
      <c r="AC938" s="139"/>
      <c r="AD938" s="139"/>
      <c r="AE938" s="139"/>
      <c r="AF938" s="139"/>
      <c r="AG938" s="139"/>
      <c r="AH938" s="139"/>
      <c r="AI938" s="139"/>
      <c r="AJ938" s="139"/>
      <c r="AK938" s="139"/>
      <c r="AL938" s="139"/>
      <c r="AM938" s="139"/>
      <c r="AN938" s="139"/>
      <c r="AO938" s="139"/>
      <c r="AP938" s="139"/>
      <c r="AQ938" s="139"/>
    </row>
    <row r="939" spans="1:43" ht="12.75" customHeight="1">
      <c r="A939" s="139"/>
      <c r="B939" s="139"/>
      <c r="C939" s="139"/>
      <c r="D939" s="139"/>
      <c r="E939" s="139"/>
      <c r="F939" s="139"/>
      <c r="G939" s="139"/>
      <c r="H939" s="139"/>
      <c r="I939" s="139"/>
      <c r="J939" s="139"/>
      <c r="K939" s="139"/>
      <c r="L939" s="139"/>
      <c r="M939" s="139"/>
      <c r="N939" s="139"/>
      <c r="O939" s="139"/>
      <c r="P939" s="139"/>
      <c r="Q939" s="139"/>
      <c r="R939" s="139"/>
      <c r="S939" s="139"/>
      <c r="T939" s="139"/>
      <c r="U939" s="139"/>
      <c r="V939" s="139"/>
      <c r="W939" s="139"/>
      <c r="X939" s="139"/>
      <c r="Y939" s="139"/>
      <c r="Z939" s="139"/>
      <c r="AA939" s="139"/>
      <c r="AB939" s="139"/>
      <c r="AC939" s="139"/>
      <c r="AD939" s="139"/>
      <c r="AE939" s="139"/>
      <c r="AF939" s="139"/>
      <c r="AG939" s="139"/>
      <c r="AH939" s="139"/>
      <c r="AI939" s="139"/>
      <c r="AJ939" s="139"/>
      <c r="AK939" s="139"/>
      <c r="AL939" s="139"/>
      <c r="AM939" s="139"/>
      <c r="AN939" s="139"/>
      <c r="AO939" s="139"/>
      <c r="AP939" s="139"/>
      <c r="AQ939" s="139"/>
    </row>
    <row r="940" spans="1:43" ht="12.75" customHeight="1">
      <c r="A940" s="139"/>
      <c r="B940" s="139"/>
      <c r="C940" s="139"/>
      <c r="D940" s="139"/>
      <c r="E940" s="139"/>
      <c r="F940" s="139"/>
      <c r="G940" s="139"/>
      <c r="H940" s="139"/>
      <c r="I940" s="139"/>
      <c r="J940" s="139"/>
      <c r="K940" s="139"/>
      <c r="L940" s="139"/>
      <c r="M940" s="139"/>
      <c r="N940" s="139"/>
      <c r="O940" s="139"/>
      <c r="P940" s="139"/>
      <c r="Q940" s="139"/>
      <c r="R940" s="139"/>
      <c r="S940" s="139"/>
      <c r="T940" s="139"/>
      <c r="U940" s="139"/>
      <c r="V940" s="139"/>
      <c r="W940" s="139"/>
      <c r="X940" s="139"/>
      <c r="Y940" s="139"/>
      <c r="Z940" s="139"/>
      <c r="AA940" s="139"/>
      <c r="AB940" s="139"/>
      <c r="AC940" s="139"/>
      <c r="AD940" s="139"/>
      <c r="AE940" s="139"/>
      <c r="AF940" s="139"/>
      <c r="AG940" s="139"/>
      <c r="AH940" s="139"/>
      <c r="AI940" s="139"/>
      <c r="AJ940" s="139"/>
      <c r="AK940" s="139"/>
      <c r="AL940" s="139"/>
      <c r="AM940" s="139"/>
      <c r="AN940" s="139"/>
      <c r="AO940" s="139"/>
      <c r="AP940" s="139"/>
      <c r="AQ940" s="139"/>
    </row>
    <row r="941" spans="1:43" ht="12.75" customHeight="1">
      <c r="A941" s="139"/>
      <c r="B941" s="139"/>
      <c r="C941" s="139"/>
      <c r="D941" s="139"/>
      <c r="E941" s="139"/>
      <c r="F941" s="139"/>
      <c r="G941" s="139"/>
      <c r="H941" s="139"/>
      <c r="I941" s="139"/>
      <c r="J941" s="139"/>
      <c r="K941" s="139"/>
      <c r="L941" s="139"/>
      <c r="M941" s="139"/>
      <c r="N941" s="139"/>
      <c r="O941" s="139"/>
      <c r="P941" s="139"/>
      <c r="Q941" s="139"/>
      <c r="R941" s="139"/>
      <c r="S941" s="139"/>
      <c r="T941" s="139"/>
      <c r="U941" s="139"/>
      <c r="V941" s="139"/>
      <c r="W941" s="139"/>
      <c r="X941" s="139"/>
      <c r="Y941" s="139"/>
      <c r="Z941" s="139"/>
      <c r="AA941" s="139"/>
      <c r="AB941" s="139"/>
      <c r="AC941" s="139"/>
      <c r="AD941" s="139"/>
      <c r="AE941" s="139"/>
      <c r="AF941" s="139"/>
      <c r="AG941" s="139"/>
      <c r="AH941" s="139"/>
      <c r="AI941" s="139"/>
      <c r="AJ941" s="139"/>
      <c r="AK941" s="139"/>
      <c r="AL941" s="139"/>
      <c r="AM941" s="139"/>
      <c r="AN941" s="139"/>
      <c r="AO941" s="139"/>
      <c r="AP941" s="139"/>
      <c r="AQ941" s="139"/>
    </row>
    <row r="942" spans="1:43" ht="12.75" customHeight="1">
      <c r="A942" s="139"/>
      <c r="B942" s="139"/>
      <c r="C942" s="139"/>
      <c r="D942" s="139"/>
      <c r="E942" s="139"/>
      <c r="F942" s="139"/>
      <c r="G942" s="139"/>
      <c r="H942" s="139"/>
      <c r="I942" s="139"/>
      <c r="J942" s="139"/>
      <c r="K942" s="139"/>
      <c r="L942" s="139"/>
      <c r="M942" s="139"/>
      <c r="N942" s="139"/>
      <c r="O942" s="139"/>
      <c r="P942" s="139"/>
      <c r="Q942" s="139"/>
      <c r="R942" s="139"/>
      <c r="S942" s="139"/>
      <c r="T942" s="139"/>
      <c r="U942" s="139"/>
      <c r="V942" s="139"/>
      <c r="W942" s="139"/>
      <c r="X942" s="139"/>
      <c r="Y942" s="139"/>
      <c r="Z942" s="139"/>
      <c r="AA942" s="139"/>
      <c r="AB942" s="139"/>
      <c r="AC942" s="139"/>
      <c r="AD942" s="139"/>
      <c r="AE942" s="139"/>
      <c r="AF942" s="139"/>
      <c r="AG942" s="139"/>
      <c r="AH942" s="139"/>
      <c r="AI942" s="139"/>
      <c r="AJ942" s="139"/>
      <c r="AK942" s="139"/>
      <c r="AL942" s="139"/>
      <c r="AM942" s="139"/>
      <c r="AN942" s="139"/>
      <c r="AO942" s="139"/>
      <c r="AP942" s="139"/>
      <c r="AQ942" s="139"/>
    </row>
    <row r="943" spans="1:43" ht="12.75" customHeight="1">
      <c r="A943" s="139"/>
      <c r="B943" s="139"/>
      <c r="C943" s="139"/>
      <c r="D943" s="139"/>
      <c r="E943" s="139"/>
      <c r="F943" s="139"/>
      <c r="G943" s="139"/>
      <c r="H943" s="139"/>
      <c r="I943" s="139"/>
      <c r="J943" s="139"/>
      <c r="K943" s="139"/>
      <c r="L943" s="139"/>
      <c r="M943" s="139"/>
      <c r="N943" s="139"/>
      <c r="O943" s="139"/>
      <c r="P943" s="139"/>
      <c r="Q943" s="139"/>
      <c r="R943" s="139"/>
      <c r="S943" s="139"/>
      <c r="T943" s="139"/>
      <c r="U943" s="139"/>
      <c r="V943" s="139"/>
      <c r="W943" s="139"/>
      <c r="X943" s="139"/>
      <c r="Y943" s="139"/>
      <c r="Z943" s="139"/>
      <c r="AA943" s="139"/>
      <c r="AB943" s="139"/>
      <c r="AC943" s="139"/>
      <c r="AD943" s="139"/>
      <c r="AE943" s="139"/>
      <c r="AF943" s="139"/>
      <c r="AG943" s="139"/>
      <c r="AH943" s="139"/>
      <c r="AI943" s="139"/>
      <c r="AJ943" s="139"/>
      <c r="AK943" s="139"/>
      <c r="AL943" s="139"/>
      <c r="AM943" s="139"/>
      <c r="AN943" s="139"/>
      <c r="AO943" s="139"/>
      <c r="AP943" s="139"/>
      <c r="AQ943" s="139"/>
    </row>
    <row r="944" spans="1:43" ht="12.75" customHeight="1">
      <c r="A944" s="139"/>
      <c r="B944" s="139"/>
      <c r="C944" s="139"/>
      <c r="D944" s="139"/>
      <c r="E944" s="139"/>
      <c r="F944" s="139"/>
      <c r="G944" s="139"/>
      <c r="H944" s="139"/>
      <c r="I944" s="139"/>
      <c r="J944" s="139"/>
      <c r="K944" s="139"/>
      <c r="L944" s="139"/>
      <c r="M944" s="139"/>
      <c r="N944" s="139"/>
      <c r="O944" s="139"/>
      <c r="P944" s="139"/>
      <c r="Q944" s="139"/>
      <c r="R944" s="139"/>
      <c r="S944" s="139"/>
      <c r="T944" s="139"/>
      <c r="U944" s="139"/>
      <c r="V944" s="139"/>
      <c r="W944" s="139"/>
      <c r="X944" s="139"/>
      <c r="Y944" s="139"/>
      <c r="Z944" s="139"/>
      <c r="AA944" s="139"/>
      <c r="AB944" s="139"/>
      <c r="AC944" s="139"/>
      <c r="AD944" s="139"/>
      <c r="AE944" s="139"/>
      <c r="AF944" s="139"/>
      <c r="AG944" s="139"/>
      <c r="AH944" s="139"/>
      <c r="AI944" s="139"/>
      <c r="AJ944" s="139"/>
      <c r="AK944" s="139"/>
      <c r="AL944" s="139"/>
      <c r="AM944" s="139"/>
      <c r="AN944" s="139"/>
      <c r="AO944" s="139"/>
      <c r="AP944" s="139"/>
      <c r="AQ944" s="139"/>
    </row>
    <row r="945" spans="1:43" ht="12.75" customHeight="1">
      <c r="A945" s="139"/>
      <c r="B945" s="139"/>
      <c r="C945" s="139"/>
      <c r="D945" s="139"/>
      <c r="E945" s="139"/>
      <c r="F945" s="139"/>
      <c r="G945" s="139"/>
      <c r="H945" s="139"/>
      <c r="I945" s="139"/>
      <c r="J945" s="139"/>
      <c r="K945" s="139"/>
      <c r="L945" s="139"/>
      <c r="M945" s="139"/>
      <c r="N945" s="139"/>
      <c r="O945" s="139"/>
      <c r="P945" s="139"/>
      <c r="Q945" s="139"/>
      <c r="R945" s="139"/>
      <c r="S945" s="139"/>
      <c r="T945" s="139"/>
      <c r="U945" s="139"/>
      <c r="V945" s="139"/>
      <c r="W945" s="139"/>
      <c r="X945" s="139"/>
      <c r="Y945" s="139"/>
      <c r="Z945" s="139"/>
      <c r="AA945" s="139"/>
      <c r="AB945" s="139"/>
      <c r="AC945" s="139"/>
      <c r="AD945" s="139"/>
      <c r="AE945" s="139"/>
      <c r="AF945" s="139"/>
      <c r="AG945" s="139"/>
      <c r="AH945" s="139"/>
      <c r="AI945" s="139"/>
      <c r="AJ945" s="139"/>
      <c r="AK945" s="139"/>
      <c r="AL945" s="139"/>
      <c r="AM945" s="139"/>
      <c r="AN945" s="139"/>
      <c r="AO945" s="139"/>
      <c r="AP945" s="139"/>
      <c r="AQ945" s="139"/>
    </row>
    <row r="946" spans="1:43" ht="12.75" customHeight="1">
      <c r="A946" s="139"/>
      <c r="B946" s="139"/>
      <c r="C946" s="139"/>
      <c r="D946" s="139"/>
      <c r="E946" s="139"/>
      <c r="F946" s="139"/>
      <c r="G946" s="139"/>
      <c r="H946" s="139"/>
      <c r="I946" s="139"/>
      <c r="J946" s="139"/>
      <c r="K946" s="139"/>
      <c r="L946" s="139"/>
      <c r="M946" s="139"/>
      <c r="N946" s="139"/>
      <c r="O946" s="139"/>
      <c r="P946" s="139"/>
      <c r="Q946" s="139"/>
      <c r="R946" s="139"/>
      <c r="S946" s="139"/>
      <c r="T946" s="139"/>
      <c r="U946" s="139"/>
      <c r="V946" s="139"/>
      <c r="W946" s="139"/>
      <c r="X946" s="139"/>
      <c r="Y946" s="139"/>
      <c r="Z946" s="139"/>
      <c r="AA946" s="139"/>
      <c r="AB946" s="139"/>
      <c r="AC946" s="139"/>
      <c r="AD946" s="139"/>
      <c r="AE946" s="139"/>
      <c r="AF946" s="139"/>
      <c r="AG946" s="139"/>
      <c r="AH946" s="139"/>
      <c r="AI946" s="139"/>
      <c r="AJ946" s="139"/>
      <c r="AK946" s="139"/>
      <c r="AL946" s="139"/>
      <c r="AM946" s="139"/>
      <c r="AN946" s="139"/>
      <c r="AO946" s="139"/>
      <c r="AP946" s="139"/>
      <c r="AQ946" s="139"/>
    </row>
    <row r="947" spans="1:43" ht="12.75" customHeight="1">
      <c r="A947" s="139"/>
      <c r="B947" s="139"/>
      <c r="C947" s="139"/>
      <c r="D947" s="139"/>
      <c r="E947" s="139"/>
      <c r="F947" s="139"/>
      <c r="G947" s="139"/>
      <c r="H947" s="139"/>
      <c r="I947" s="139"/>
      <c r="J947" s="139"/>
      <c r="K947" s="139"/>
      <c r="L947" s="139"/>
      <c r="M947" s="139"/>
      <c r="N947" s="139"/>
      <c r="O947" s="139"/>
      <c r="P947" s="139"/>
      <c r="Q947" s="139"/>
      <c r="R947" s="139"/>
      <c r="S947" s="139"/>
      <c r="T947" s="139"/>
      <c r="U947" s="139"/>
      <c r="V947" s="139"/>
      <c r="W947" s="139"/>
      <c r="X947" s="139"/>
      <c r="Y947" s="139"/>
      <c r="Z947" s="139"/>
      <c r="AA947" s="139"/>
      <c r="AB947" s="139"/>
      <c r="AC947" s="139"/>
      <c r="AD947" s="139"/>
      <c r="AE947" s="139"/>
      <c r="AF947" s="139"/>
      <c r="AG947" s="139"/>
      <c r="AH947" s="139"/>
      <c r="AI947" s="139"/>
      <c r="AJ947" s="139"/>
      <c r="AK947" s="139"/>
      <c r="AL947" s="139"/>
      <c r="AM947" s="139"/>
      <c r="AN947" s="139"/>
      <c r="AO947" s="139"/>
      <c r="AP947" s="139"/>
      <c r="AQ947" s="139"/>
    </row>
    <row r="948" spans="1:43" ht="12.75" customHeight="1">
      <c r="A948" s="139"/>
      <c r="B948" s="139"/>
      <c r="C948" s="139"/>
      <c r="D948" s="139"/>
      <c r="E948" s="139"/>
      <c r="F948" s="139"/>
      <c r="G948" s="139"/>
      <c r="H948" s="139"/>
      <c r="I948" s="139"/>
      <c r="J948" s="139"/>
      <c r="K948" s="139"/>
      <c r="L948" s="139"/>
      <c r="M948" s="139"/>
      <c r="N948" s="139"/>
      <c r="O948" s="139"/>
      <c r="P948" s="139"/>
      <c r="Q948" s="139"/>
      <c r="R948" s="139"/>
      <c r="S948" s="139"/>
      <c r="T948" s="139"/>
      <c r="U948" s="139"/>
      <c r="V948" s="139"/>
      <c r="W948" s="139"/>
      <c r="X948" s="139"/>
      <c r="Y948" s="139"/>
      <c r="Z948" s="139"/>
      <c r="AA948" s="139"/>
      <c r="AB948" s="139"/>
      <c r="AC948" s="139"/>
      <c r="AD948" s="139"/>
      <c r="AE948" s="139"/>
      <c r="AF948" s="139"/>
      <c r="AG948" s="139"/>
      <c r="AH948" s="139"/>
      <c r="AI948" s="139"/>
      <c r="AJ948" s="139"/>
      <c r="AK948" s="139"/>
      <c r="AL948" s="139"/>
      <c r="AM948" s="139"/>
      <c r="AN948" s="139"/>
      <c r="AO948" s="139"/>
      <c r="AP948" s="139"/>
      <c r="AQ948" s="139"/>
    </row>
    <row r="949" spans="1:43" ht="12.75" customHeight="1">
      <c r="A949" s="139"/>
      <c r="B949" s="139"/>
      <c r="C949" s="139"/>
      <c r="D949" s="139"/>
      <c r="E949" s="139"/>
      <c r="F949" s="139"/>
      <c r="G949" s="139"/>
      <c r="H949" s="139"/>
      <c r="I949" s="139"/>
      <c r="J949" s="139"/>
      <c r="K949" s="139"/>
      <c r="L949" s="139"/>
      <c r="M949" s="139"/>
      <c r="N949" s="139"/>
      <c r="O949" s="139"/>
      <c r="P949" s="139"/>
      <c r="Q949" s="139"/>
      <c r="R949" s="139"/>
      <c r="S949" s="139"/>
      <c r="T949" s="139"/>
      <c r="U949" s="139"/>
      <c r="V949" s="139"/>
      <c r="W949" s="139"/>
      <c r="X949" s="139"/>
      <c r="Y949" s="139"/>
      <c r="Z949" s="139"/>
      <c r="AA949" s="139"/>
      <c r="AB949" s="139"/>
      <c r="AC949" s="139"/>
      <c r="AD949" s="139"/>
      <c r="AE949" s="139"/>
      <c r="AF949" s="139"/>
      <c r="AG949" s="139"/>
      <c r="AH949" s="139"/>
      <c r="AI949" s="139"/>
      <c r="AJ949" s="139"/>
      <c r="AK949" s="139"/>
      <c r="AL949" s="139"/>
      <c r="AM949" s="139"/>
      <c r="AN949" s="139"/>
      <c r="AO949" s="139"/>
      <c r="AP949" s="139"/>
      <c r="AQ949" s="139"/>
    </row>
    <row r="950" spans="1:43" ht="12.75" customHeight="1">
      <c r="A950" s="139"/>
      <c r="B950" s="139"/>
      <c r="C950" s="139"/>
      <c r="D950" s="139"/>
      <c r="E950" s="139"/>
      <c r="F950" s="139"/>
      <c r="G950" s="139"/>
      <c r="H950" s="139"/>
      <c r="I950" s="139"/>
      <c r="J950" s="139"/>
      <c r="K950" s="139"/>
      <c r="L950" s="139"/>
      <c r="M950" s="139"/>
      <c r="N950" s="139"/>
      <c r="O950" s="139"/>
      <c r="P950" s="139"/>
      <c r="Q950" s="139"/>
      <c r="R950" s="139"/>
      <c r="S950" s="139"/>
      <c r="T950" s="139"/>
      <c r="U950" s="139"/>
      <c r="V950" s="139"/>
      <c r="W950" s="139"/>
      <c r="X950" s="139"/>
      <c r="Y950" s="139"/>
      <c r="Z950" s="139"/>
      <c r="AA950" s="139"/>
      <c r="AB950" s="139"/>
      <c r="AC950" s="139"/>
      <c r="AD950" s="139"/>
      <c r="AE950" s="139"/>
      <c r="AF950" s="139"/>
      <c r="AG950" s="139"/>
      <c r="AH950" s="139"/>
      <c r="AI950" s="139"/>
      <c r="AJ950" s="139"/>
      <c r="AK950" s="139"/>
      <c r="AL950" s="139"/>
      <c r="AM950" s="139"/>
      <c r="AN950" s="139"/>
      <c r="AO950" s="139"/>
      <c r="AP950" s="139"/>
      <c r="AQ950" s="139"/>
    </row>
    <row r="951" spans="1:43" ht="12.75" customHeight="1">
      <c r="A951" s="139"/>
      <c r="B951" s="139"/>
      <c r="C951" s="139"/>
      <c r="D951" s="139"/>
      <c r="E951" s="139"/>
      <c r="F951" s="139"/>
      <c r="G951" s="139"/>
      <c r="H951" s="139"/>
      <c r="I951" s="139"/>
      <c r="J951" s="139"/>
      <c r="K951" s="139"/>
      <c r="L951" s="139"/>
      <c r="M951" s="139"/>
      <c r="N951" s="139"/>
      <c r="O951" s="139"/>
      <c r="P951" s="139"/>
      <c r="Q951" s="139"/>
      <c r="R951" s="139"/>
      <c r="S951" s="139"/>
      <c r="T951" s="139"/>
      <c r="U951" s="139"/>
      <c r="V951" s="139"/>
      <c r="W951" s="139"/>
      <c r="X951" s="139"/>
      <c r="Y951" s="139"/>
      <c r="Z951" s="139"/>
      <c r="AA951" s="139"/>
      <c r="AB951" s="139"/>
      <c r="AC951" s="139"/>
      <c r="AD951" s="139"/>
      <c r="AE951" s="139"/>
      <c r="AF951" s="139"/>
      <c r="AG951" s="139"/>
      <c r="AH951" s="139"/>
      <c r="AI951" s="139"/>
      <c r="AJ951" s="139"/>
      <c r="AK951" s="139"/>
      <c r="AL951" s="139"/>
      <c r="AM951" s="139"/>
      <c r="AN951" s="139"/>
      <c r="AO951" s="139"/>
      <c r="AP951" s="139"/>
      <c r="AQ951" s="139"/>
    </row>
    <row r="952" spans="1:43" ht="12.75" customHeight="1">
      <c r="A952" s="139"/>
      <c r="B952" s="139"/>
      <c r="C952" s="139"/>
      <c r="D952" s="139"/>
      <c r="E952" s="139"/>
      <c r="F952" s="139"/>
      <c r="G952" s="139"/>
      <c r="H952" s="139"/>
      <c r="I952" s="139"/>
      <c r="J952" s="139"/>
      <c r="K952" s="139"/>
      <c r="L952" s="139"/>
      <c r="M952" s="139"/>
      <c r="N952" s="139"/>
      <c r="O952" s="139"/>
      <c r="P952" s="139"/>
      <c r="Q952" s="139"/>
      <c r="R952" s="139"/>
      <c r="S952" s="139"/>
      <c r="T952" s="139"/>
      <c r="U952" s="139"/>
      <c r="V952" s="139"/>
      <c r="W952" s="139"/>
      <c r="X952" s="139"/>
      <c r="Y952" s="139"/>
      <c r="Z952" s="139"/>
      <c r="AA952" s="139"/>
      <c r="AB952" s="139"/>
      <c r="AC952" s="139"/>
      <c r="AD952" s="139"/>
      <c r="AE952" s="139"/>
      <c r="AF952" s="139"/>
      <c r="AG952" s="139"/>
      <c r="AH952" s="139"/>
      <c r="AI952" s="139"/>
      <c r="AJ952" s="139"/>
      <c r="AK952" s="139"/>
      <c r="AL952" s="139"/>
      <c r="AM952" s="139"/>
      <c r="AN952" s="139"/>
      <c r="AO952" s="139"/>
      <c r="AP952" s="139"/>
      <c r="AQ952" s="139"/>
    </row>
    <row r="953" spans="1:43" ht="12.75" customHeight="1">
      <c r="A953" s="139"/>
      <c r="B953" s="139"/>
      <c r="C953" s="139"/>
      <c r="D953" s="139"/>
      <c r="E953" s="139"/>
      <c r="F953" s="139"/>
      <c r="G953" s="139"/>
      <c r="H953" s="139"/>
      <c r="I953" s="139"/>
      <c r="J953" s="139"/>
      <c r="K953" s="139"/>
      <c r="L953" s="139"/>
      <c r="M953" s="139"/>
      <c r="N953" s="139"/>
      <c r="O953" s="139"/>
      <c r="P953" s="139"/>
      <c r="Q953" s="139"/>
      <c r="R953" s="139"/>
      <c r="S953" s="139"/>
      <c r="T953" s="139"/>
      <c r="U953" s="139"/>
      <c r="V953" s="139"/>
      <c r="W953" s="139"/>
      <c r="X953" s="139"/>
      <c r="Y953" s="139"/>
      <c r="Z953" s="139"/>
      <c r="AA953" s="139"/>
      <c r="AB953" s="139"/>
      <c r="AC953" s="139"/>
      <c r="AD953" s="139"/>
      <c r="AE953" s="139"/>
      <c r="AF953" s="139"/>
      <c r="AG953" s="139"/>
      <c r="AH953" s="139"/>
      <c r="AI953" s="139"/>
      <c r="AJ953" s="139"/>
      <c r="AK953" s="139"/>
      <c r="AL953" s="139"/>
      <c r="AM953" s="139"/>
      <c r="AN953" s="139"/>
      <c r="AO953" s="139"/>
      <c r="AP953" s="139"/>
      <c r="AQ953" s="139"/>
    </row>
    <row r="954" spans="1:43" ht="12.75" customHeight="1">
      <c r="A954" s="139"/>
      <c r="B954" s="139"/>
      <c r="C954" s="139"/>
      <c r="D954" s="139"/>
      <c r="E954" s="139"/>
      <c r="F954" s="139"/>
      <c r="G954" s="139"/>
      <c r="H954" s="139"/>
      <c r="I954" s="139"/>
      <c r="J954" s="139"/>
      <c r="K954" s="139"/>
      <c r="L954" s="139"/>
      <c r="M954" s="139"/>
      <c r="N954" s="139"/>
      <c r="O954" s="139"/>
      <c r="P954" s="139"/>
      <c r="Q954" s="139"/>
      <c r="R954" s="139"/>
      <c r="S954" s="139"/>
      <c r="T954" s="139"/>
      <c r="U954" s="139"/>
      <c r="V954" s="139"/>
      <c r="W954" s="139"/>
      <c r="X954" s="139"/>
      <c r="Y954" s="139"/>
      <c r="Z954" s="139"/>
      <c r="AA954" s="139"/>
      <c r="AB954" s="139"/>
      <c r="AC954" s="139"/>
      <c r="AD954" s="139"/>
      <c r="AE954" s="139"/>
      <c r="AF954" s="139"/>
      <c r="AG954" s="139"/>
      <c r="AH954" s="139"/>
      <c r="AI954" s="139"/>
      <c r="AJ954" s="139"/>
      <c r="AK954" s="139"/>
      <c r="AL954" s="139"/>
      <c r="AM954" s="139"/>
      <c r="AN954" s="139"/>
      <c r="AO954" s="139"/>
      <c r="AP954" s="139"/>
      <c r="AQ954" s="139"/>
    </row>
    <row r="955" spans="1:43" ht="12.75" customHeight="1">
      <c r="A955" s="139"/>
      <c r="B955" s="139"/>
      <c r="C955" s="139"/>
      <c r="D955" s="139"/>
      <c r="E955" s="139"/>
      <c r="F955" s="139"/>
      <c r="G955" s="139"/>
      <c r="H955" s="139"/>
      <c r="I955" s="139"/>
      <c r="J955" s="139"/>
      <c r="K955" s="139"/>
      <c r="L955" s="139"/>
      <c r="M955" s="139"/>
      <c r="N955" s="139"/>
      <c r="O955" s="139"/>
      <c r="P955" s="139"/>
      <c r="Q955" s="139"/>
      <c r="R955" s="139"/>
      <c r="S955" s="139"/>
      <c r="T955" s="139"/>
      <c r="U955" s="139"/>
      <c r="V955" s="139"/>
      <c r="W955" s="139"/>
      <c r="X955" s="139"/>
      <c r="Y955" s="139"/>
      <c r="Z955" s="139"/>
      <c r="AA955" s="139"/>
      <c r="AB955" s="139"/>
      <c r="AC955" s="139"/>
      <c r="AD955" s="139"/>
      <c r="AE955" s="139"/>
      <c r="AF955" s="139"/>
      <c r="AG955" s="139"/>
      <c r="AH955" s="139"/>
      <c r="AI955" s="139"/>
      <c r="AJ955" s="139"/>
      <c r="AK955" s="139"/>
      <c r="AL955" s="139"/>
      <c r="AM955" s="139"/>
      <c r="AN955" s="139"/>
      <c r="AO955" s="139"/>
      <c r="AP955" s="139"/>
      <c r="AQ955" s="139"/>
    </row>
    <row r="956" spans="1:43" ht="12.75" customHeight="1">
      <c r="A956" s="139"/>
      <c r="B956" s="139"/>
      <c r="C956" s="139"/>
      <c r="D956" s="139"/>
      <c r="E956" s="139"/>
      <c r="F956" s="139"/>
      <c r="G956" s="139"/>
      <c r="H956" s="139"/>
      <c r="I956" s="139"/>
      <c r="J956" s="139"/>
      <c r="K956" s="139"/>
      <c r="L956" s="139"/>
      <c r="M956" s="139"/>
      <c r="N956" s="139"/>
      <c r="O956" s="139"/>
      <c r="P956" s="139"/>
      <c r="Q956" s="139"/>
      <c r="R956" s="139"/>
      <c r="S956" s="139"/>
      <c r="T956" s="139"/>
      <c r="U956" s="139"/>
      <c r="V956" s="139"/>
      <c r="W956" s="139"/>
      <c r="X956" s="139"/>
      <c r="Y956" s="139"/>
      <c r="Z956" s="139"/>
      <c r="AA956" s="139"/>
      <c r="AB956" s="139"/>
      <c r="AC956" s="139"/>
      <c r="AD956" s="139"/>
      <c r="AE956" s="139"/>
      <c r="AF956" s="139"/>
      <c r="AG956" s="139"/>
      <c r="AH956" s="139"/>
      <c r="AI956" s="139"/>
      <c r="AJ956" s="139"/>
      <c r="AK956" s="139"/>
      <c r="AL956" s="139"/>
      <c r="AM956" s="139"/>
      <c r="AN956" s="139"/>
      <c r="AO956" s="139"/>
      <c r="AP956" s="139"/>
      <c r="AQ956" s="139"/>
    </row>
    <row r="957" spans="1:43" ht="12.75" customHeight="1">
      <c r="A957" s="139"/>
      <c r="B957" s="139"/>
      <c r="C957" s="139"/>
      <c r="D957" s="139"/>
      <c r="E957" s="139"/>
      <c r="F957" s="139"/>
      <c r="G957" s="139"/>
      <c r="H957" s="139"/>
      <c r="I957" s="139"/>
      <c r="J957" s="139"/>
      <c r="K957" s="139"/>
      <c r="L957" s="139"/>
      <c r="M957" s="139"/>
      <c r="N957" s="139"/>
      <c r="O957" s="139"/>
      <c r="P957" s="139"/>
      <c r="Q957" s="139"/>
      <c r="R957" s="139"/>
      <c r="S957" s="139"/>
      <c r="T957" s="139"/>
      <c r="U957" s="139"/>
      <c r="V957" s="139"/>
      <c r="W957" s="139"/>
      <c r="X957" s="139"/>
      <c r="Y957" s="139"/>
      <c r="Z957" s="139"/>
      <c r="AA957" s="139"/>
      <c r="AB957" s="139"/>
      <c r="AC957" s="139"/>
      <c r="AD957" s="139"/>
      <c r="AE957" s="139"/>
      <c r="AF957" s="139"/>
      <c r="AG957" s="139"/>
      <c r="AH957" s="139"/>
      <c r="AI957" s="139"/>
      <c r="AJ957" s="139"/>
      <c r="AK957" s="139"/>
      <c r="AL957" s="139"/>
      <c r="AM957" s="139"/>
      <c r="AN957" s="139"/>
      <c r="AO957" s="139"/>
      <c r="AP957" s="139"/>
      <c r="AQ957" s="139"/>
    </row>
    <row r="958" spans="1:43" ht="12.75" customHeight="1">
      <c r="A958" s="139"/>
      <c r="B958" s="139"/>
      <c r="C958" s="139"/>
      <c r="D958" s="139"/>
      <c r="E958" s="139"/>
      <c r="F958" s="139"/>
      <c r="G958" s="139"/>
      <c r="H958" s="139"/>
      <c r="I958" s="139"/>
      <c r="J958" s="139"/>
      <c r="K958" s="139"/>
      <c r="L958" s="139"/>
      <c r="M958" s="139"/>
      <c r="N958" s="139"/>
      <c r="O958" s="139"/>
      <c r="P958" s="139"/>
      <c r="Q958" s="139"/>
      <c r="R958" s="139"/>
      <c r="S958" s="139"/>
      <c r="T958" s="139"/>
      <c r="U958" s="139"/>
      <c r="V958" s="139"/>
      <c r="W958" s="139"/>
      <c r="X958" s="139"/>
      <c r="Y958" s="139"/>
      <c r="Z958" s="139"/>
      <c r="AA958" s="139"/>
      <c r="AB958" s="139"/>
      <c r="AC958" s="139"/>
      <c r="AD958" s="139"/>
      <c r="AE958" s="139"/>
      <c r="AF958" s="139"/>
      <c r="AG958" s="139"/>
      <c r="AH958" s="139"/>
      <c r="AI958" s="139"/>
      <c r="AJ958" s="139"/>
      <c r="AK958" s="139"/>
      <c r="AL958" s="139"/>
      <c r="AM958" s="139"/>
      <c r="AN958" s="139"/>
      <c r="AO958" s="139"/>
      <c r="AP958" s="139"/>
      <c r="AQ958" s="139"/>
    </row>
    <row r="959" spans="1:43" ht="12.75" customHeight="1">
      <c r="A959" s="139"/>
      <c r="B959" s="139"/>
      <c r="C959" s="139"/>
      <c r="D959" s="139"/>
      <c r="E959" s="139"/>
      <c r="F959" s="139"/>
      <c r="G959" s="139"/>
      <c r="H959" s="139"/>
      <c r="I959" s="139"/>
      <c r="J959" s="139"/>
      <c r="K959" s="139"/>
      <c r="L959" s="139"/>
      <c r="M959" s="139"/>
      <c r="N959" s="139"/>
      <c r="O959" s="139"/>
      <c r="P959" s="139"/>
      <c r="Q959" s="139"/>
      <c r="R959" s="139"/>
      <c r="S959" s="139"/>
      <c r="T959" s="139"/>
      <c r="U959" s="139"/>
      <c r="V959" s="139"/>
      <c r="W959" s="139"/>
      <c r="X959" s="139"/>
      <c r="Y959" s="139"/>
      <c r="Z959" s="139"/>
      <c r="AA959" s="139"/>
      <c r="AB959" s="139"/>
      <c r="AC959" s="139"/>
      <c r="AD959" s="139"/>
      <c r="AE959" s="139"/>
      <c r="AF959" s="139"/>
      <c r="AG959" s="139"/>
      <c r="AH959" s="139"/>
      <c r="AI959" s="139"/>
      <c r="AJ959" s="139"/>
      <c r="AK959" s="139"/>
      <c r="AL959" s="139"/>
      <c r="AM959" s="139"/>
      <c r="AN959" s="139"/>
      <c r="AO959" s="139"/>
      <c r="AP959" s="139"/>
      <c r="AQ959" s="139"/>
    </row>
    <row r="960" spans="1:43" ht="12.75" customHeight="1">
      <c r="A960" s="139"/>
      <c r="B960" s="139"/>
      <c r="C960" s="139"/>
      <c r="D960" s="139"/>
      <c r="E960" s="139"/>
      <c r="F960" s="139"/>
      <c r="G960" s="139"/>
      <c r="H960" s="139"/>
      <c r="I960" s="139"/>
      <c r="J960" s="139"/>
      <c r="K960" s="139"/>
      <c r="L960" s="139"/>
      <c r="M960" s="139"/>
      <c r="N960" s="139"/>
      <c r="O960" s="139"/>
      <c r="P960" s="139"/>
      <c r="Q960" s="139"/>
      <c r="R960" s="139"/>
      <c r="S960" s="139"/>
      <c r="T960" s="139"/>
      <c r="U960" s="139"/>
      <c r="V960" s="139"/>
      <c r="W960" s="139"/>
      <c r="X960" s="139"/>
      <c r="Y960" s="139"/>
      <c r="Z960" s="139"/>
      <c r="AA960" s="139"/>
      <c r="AB960" s="139"/>
      <c r="AC960" s="139"/>
      <c r="AD960" s="139"/>
      <c r="AE960" s="139"/>
      <c r="AF960" s="139"/>
      <c r="AG960" s="139"/>
      <c r="AH960" s="139"/>
      <c r="AI960" s="139"/>
      <c r="AJ960" s="139"/>
      <c r="AK960" s="139"/>
      <c r="AL960" s="139"/>
      <c r="AM960" s="139"/>
      <c r="AN960" s="139"/>
      <c r="AO960" s="139"/>
      <c r="AP960" s="139"/>
      <c r="AQ960" s="139"/>
    </row>
    <row r="961" spans="1:43" ht="12.75" customHeight="1">
      <c r="A961" s="139"/>
      <c r="B961" s="139"/>
      <c r="C961" s="139"/>
      <c r="D961" s="139"/>
      <c r="E961" s="139"/>
      <c r="F961" s="139"/>
      <c r="G961" s="139"/>
      <c r="H961" s="139"/>
      <c r="I961" s="139"/>
      <c r="J961" s="139"/>
      <c r="K961" s="139"/>
      <c r="L961" s="139"/>
      <c r="M961" s="139"/>
      <c r="N961" s="139"/>
      <c r="O961" s="139"/>
      <c r="P961" s="139"/>
      <c r="Q961" s="139"/>
      <c r="R961" s="139"/>
      <c r="S961" s="139"/>
      <c r="T961" s="139"/>
      <c r="U961" s="139"/>
      <c r="V961" s="139"/>
      <c r="W961" s="139"/>
      <c r="X961" s="139"/>
      <c r="Y961" s="139"/>
      <c r="Z961" s="139"/>
      <c r="AA961" s="139"/>
      <c r="AB961" s="139"/>
      <c r="AC961" s="139"/>
      <c r="AD961" s="139"/>
      <c r="AE961" s="139"/>
      <c r="AF961" s="139"/>
      <c r="AG961" s="139"/>
      <c r="AH961" s="139"/>
      <c r="AI961" s="139"/>
      <c r="AJ961" s="139"/>
      <c r="AK961" s="139"/>
      <c r="AL961" s="139"/>
      <c r="AM961" s="139"/>
      <c r="AN961" s="139"/>
      <c r="AO961" s="139"/>
      <c r="AP961" s="139"/>
      <c r="AQ961" s="139"/>
    </row>
    <row r="962" spans="1:43" ht="12.75" customHeight="1">
      <c r="A962" s="139"/>
      <c r="B962" s="139"/>
      <c r="C962" s="139"/>
      <c r="D962" s="139"/>
      <c r="E962" s="139"/>
      <c r="F962" s="139"/>
      <c r="G962" s="139"/>
      <c r="H962" s="139"/>
      <c r="I962" s="139"/>
      <c r="J962" s="139"/>
      <c r="K962" s="139"/>
      <c r="L962" s="139"/>
      <c r="M962" s="139"/>
      <c r="N962" s="139"/>
      <c r="O962" s="139"/>
      <c r="P962" s="139"/>
      <c r="Q962" s="139"/>
      <c r="R962" s="139"/>
      <c r="S962" s="139"/>
      <c r="T962" s="139"/>
      <c r="U962" s="139"/>
      <c r="V962" s="139"/>
      <c r="W962" s="139"/>
      <c r="X962" s="139"/>
      <c r="Y962" s="139"/>
      <c r="Z962" s="139"/>
      <c r="AA962" s="139"/>
      <c r="AB962" s="139"/>
      <c r="AC962" s="139"/>
      <c r="AD962" s="139"/>
      <c r="AE962" s="139"/>
      <c r="AF962" s="139"/>
      <c r="AG962" s="139"/>
      <c r="AH962" s="139"/>
      <c r="AI962" s="139"/>
      <c r="AJ962" s="139"/>
      <c r="AK962" s="139"/>
      <c r="AL962" s="139"/>
      <c r="AM962" s="139"/>
      <c r="AN962" s="139"/>
      <c r="AO962" s="139"/>
      <c r="AP962" s="139"/>
      <c r="AQ962" s="139"/>
    </row>
    <row r="963" spans="1:43" ht="12.75" customHeight="1">
      <c r="A963" s="139"/>
      <c r="B963" s="139"/>
      <c r="C963" s="139"/>
      <c r="D963" s="139"/>
      <c r="E963" s="139"/>
      <c r="F963" s="139"/>
      <c r="G963" s="139"/>
      <c r="H963" s="139"/>
      <c r="I963" s="139"/>
      <c r="J963" s="139"/>
      <c r="K963" s="139"/>
      <c r="L963" s="139"/>
      <c r="M963" s="139"/>
      <c r="N963" s="139"/>
      <c r="O963" s="139"/>
      <c r="P963" s="139"/>
      <c r="Q963" s="139"/>
      <c r="R963" s="139"/>
      <c r="S963" s="139"/>
      <c r="T963" s="139"/>
      <c r="U963" s="139"/>
      <c r="V963" s="139"/>
      <c r="W963" s="139"/>
      <c r="X963" s="139"/>
      <c r="Y963" s="139"/>
      <c r="Z963" s="139"/>
      <c r="AA963" s="139"/>
      <c r="AB963" s="139"/>
      <c r="AC963" s="139"/>
      <c r="AD963" s="139"/>
      <c r="AE963" s="139"/>
      <c r="AF963" s="139"/>
      <c r="AG963" s="139"/>
      <c r="AH963" s="139"/>
      <c r="AI963" s="139"/>
      <c r="AJ963" s="139"/>
      <c r="AK963" s="139"/>
      <c r="AL963" s="139"/>
      <c r="AM963" s="139"/>
      <c r="AN963" s="139"/>
      <c r="AO963" s="139"/>
      <c r="AP963" s="139"/>
      <c r="AQ963" s="139"/>
    </row>
    <row r="964" spans="1:43" ht="12.75" customHeight="1">
      <c r="A964" s="139"/>
      <c r="B964" s="139"/>
      <c r="C964" s="139"/>
      <c r="D964" s="139"/>
      <c r="E964" s="139"/>
      <c r="F964" s="139"/>
      <c r="G964" s="139"/>
      <c r="H964" s="139"/>
      <c r="I964" s="139"/>
      <c r="J964" s="139"/>
      <c r="K964" s="139"/>
      <c r="L964" s="139"/>
      <c r="M964" s="139"/>
      <c r="N964" s="139"/>
      <c r="O964" s="139"/>
      <c r="P964" s="139"/>
      <c r="Q964" s="139"/>
      <c r="R964" s="139"/>
      <c r="S964" s="139"/>
      <c r="T964" s="139"/>
      <c r="U964" s="139"/>
      <c r="V964" s="139"/>
      <c r="W964" s="139"/>
      <c r="X964" s="139"/>
      <c r="Y964" s="139"/>
      <c r="Z964" s="139"/>
      <c r="AA964" s="139"/>
      <c r="AB964" s="139"/>
      <c r="AC964" s="139"/>
      <c r="AD964" s="139"/>
      <c r="AE964" s="139"/>
      <c r="AF964" s="139"/>
      <c r="AG964" s="139"/>
      <c r="AH964" s="139"/>
      <c r="AI964" s="139"/>
      <c r="AJ964" s="139"/>
      <c r="AK964" s="139"/>
      <c r="AL964" s="139"/>
      <c r="AM964" s="139"/>
      <c r="AN964" s="139"/>
      <c r="AO964" s="139"/>
      <c r="AP964" s="139"/>
      <c r="AQ964" s="139"/>
    </row>
    <row r="965" spans="1:43" ht="12.75" customHeight="1">
      <c r="A965" s="139"/>
      <c r="B965" s="139"/>
      <c r="C965" s="139"/>
      <c r="D965" s="139"/>
      <c r="E965" s="139"/>
      <c r="F965" s="139"/>
      <c r="G965" s="139"/>
      <c r="H965" s="139"/>
      <c r="I965" s="139"/>
      <c r="J965" s="139"/>
      <c r="K965" s="139"/>
      <c r="L965" s="139"/>
      <c r="M965" s="139"/>
      <c r="N965" s="139"/>
      <c r="O965" s="139"/>
      <c r="P965" s="139"/>
      <c r="Q965" s="139"/>
      <c r="R965" s="139"/>
      <c r="S965" s="139"/>
      <c r="T965" s="139"/>
      <c r="U965" s="139"/>
      <c r="V965" s="139"/>
      <c r="W965" s="139"/>
      <c r="X965" s="139"/>
      <c r="Y965" s="139"/>
      <c r="Z965" s="139"/>
      <c r="AA965" s="139"/>
      <c r="AB965" s="139"/>
      <c r="AC965" s="139"/>
      <c r="AD965" s="139"/>
      <c r="AE965" s="139"/>
      <c r="AF965" s="139"/>
      <c r="AG965" s="139"/>
      <c r="AH965" s="139"/>
      <c r="AI965" s="139"/>
      <c r="AJ965" s="139"/>
      <c r="AK965" s="139"/>
      <c r="AL965" s="139"/>
      <c r="AM965" s="139"/>
      <c r="AN965" s="139"/>
      <c r="AO965" s="139"/>
      <c r="AP965" s="139"/>
      <c r="AQ965" s="139"/>
    </row>
    <row r="966" spans="1:43" ht="12.75" customHeight="1">
      <c r="A966" s="139"/>
      <c r="B966" s="139"/>
      <c r="C966" s="139"/>
      <c r="D966" s="139"/>
      <c r="E966" s="139"/>
      <c r="F966" s="139"/>
      <c r="G966" s="139"/>
      <c r="H966" s="139"/>
      <c r="I966" s="139"/>
      <c r="J966" s="139"/>
      <c r="K966" s="139"/>
      <c r="L966" s="139"/>
      <c r="M966" s="139"/>
      <c r="N966" s="139"/>
      <c r="O966" s="139"/>
      <c r="P966" s="139"/>
      <c r="Q966" s="139"/>
      <c r="R966" s="139"/>
      <c r="S966" s="139"/>
      <c r="T966" s="139"/>
      <c r="U966" s="139"/>
      <c r="V966" s="139"/>
      <c r="W966" s="139"/>
      <c r="X966" s="139"/>
      <c r="Y966" s="139"/>
      <c r="Z966" s="139"/>
      <c r="AA966" s="139"/>
      <c r="AB966" s="139"/>
      <c r="AC966" s="139"/>
      <c r="AD966" s="139"/>
      <c r="AE966" s="139"/>
      <c r="AF966" s="139"/>
      <c r="AG966" s="139"/>
      <c r="AH966" s="139"/>
      <c r="AI966" s="139"/>
      <c r="AJ966" s="139"/>
      <c r="AK966" s="139"/>
      <c r="AL966" s="139"/>
      <c r="AM966" s="139"/>
      <c r="AN966" s="139"/>
      <c r="AO966" s="139"/>
      <c r="AP966" s="139"/>
      <c r="AQ966" s="139"/>
    </row>
    <row r="967" spans="1:43" ht="12.75" customHeight="1">
      <c r="A967" s="139"/>
      <c r="B967" s="139"/>
      <c r="C967" s="139"/>
      <c r="D967" s="139"/>
      <c r="E967" s="139"/>
      <c r="F967" s="139"/>
      <c r="G967" s="139"/>
      <c r="H967" s="139"/>
      <c r="I967" s="139"/>
      <c r="J967" s="139"/>
      <c r="K967" s="139"/>
      <c r="L967" s="139"/>
      <c r="M967" s="139"/>
      <c r="N967" s="139"/>
      <c r="O967" s="139"/>
      <c r="P967" s="139"/>
      <c r="Q967" s="139"/>
      <c r="R967" s="139"/>
      <c r="S967" s="139"/>
      <c r="T967" s="139"/>
      <c r="U967" s="139"/>
      <c r="V967" s="139"/>
      <c r="W967" s="139"/>
      <c r="X967" s="139"/>
      <c r="Y967" s="139"/>
      <c r="Z967" s="139"/>
      <c r="AA967" s="139"/>
      <c r="AB967" s="139"/>
      <c r="AC967" s="139"/>
      <c r="AD967" s="139"/>
      <c r="AE967" s="139"/>
      <c r="AF967" s="139"/>
      <c r="AG967" s="139"/>
      <c r="AH967" s="139"/>
      <c r="AI967" s="139"/>
      <c r="AJ967" s="139"/>
      <c r="AK967" s="139"/>
      <c r="AL967" s="139"/>
      <c r="AM967" s="139"/>
      <c r="AN967" s="139"/>
      <c r="AO967" s="139"/>
      <c r="AP967" s="139"/>
      <c r="AQ967" s="139"/>
    </row>
    <row r="968" spans="1:43" ht="12.75" customHeight="1">
      <c r="A968" s="139"/>
      <c r="B968" s="139"/>
      <c r="C968" s="139"/>
      <c r="D968" s="139"/>
      <c r="E968" s="139"/>
      <c r="F968" s="139"/>
      <c r="G968" s="139"/>
      <c r="H968" s="139"/>
      <c r="I968" s="139"/>
      <c r="J968" s="139"/>
      <c r="K968" s="139"/>
      <c r="L968" s="139"/>
      <c r="M968" s="139"/>
      <c r="N968" s="139"/>
      <c r="O968" s="139"/>
      <c r="P968" s="139"/>
      <c r="Q968" s="139"/>
      <c r="R968" s="139"/>
      <c r="S968" s="139"/>
      <c r="T968" s="139"/>
      <c r="U968" s="139"/>
      <c r="V968" s="139"/>
      <c r="W968" s="139"/>
      <c r="X968" s="139"/>
      <c r="Y968" s="139"/>
      <c r="Z968" s="139"/>
      <c r="AA968" s="139"/>
      <c r="AB968" s="139"/>
      <c r="AC968" s="139"/>
      <c r="AD968" s="139"/>
      <c r="AE968" s="139"/>
      <c r="AF968" s="139"/>
      <c r="AG968" s="139"/>
      <c r="AH968" s="139"/>
      <c r="AI968" s="139"/>
      <c r="AJ968" s="139"/>
      <c r="AK968" s="139"/>
      <c r="AL968" s="139"/>
      <c r="AM968" s="139"/>
      <c r="AN968" s="139"/>
      <c r="AO968" s="139"/>
      <c r="AP968" s="139"/>
      <c r="AQ968" s="139"/>
    </row>
    <row r="969" spans="1:43" ht="12.75" customHeight="1">
      <c r="A969" s="139"/>
      <c r="B969" s="139"/>
      <c r="C969" s="139"/>
      <c r="D969" s="139"/>
      <c r="E969" s="139"/>
      <c r="F969" s="139"/>
      <c r="G969" s="139"/>
      <c r="H969" s="139"/>
      <c r="I969" s="139"/>
      <c r="J969" s="139"/>
      <c r="K969" s="139"/>
      <c r="L969" s="139"/>
      <c r="M969" s="139"/>
      <c r="N969" s="139"/>
      <c r="O969" s="139"/>
      <c r="P969" s="139"/>
      <c r="Q969" s="139"/>
      <c r="R969" s="139"/>
      <c r="S969" s="139"/>
      <c r="T969" s="139"/>
      <c r="U969" s="139"/>
      <c r="V969" s="139"/>
      <c r="W969" s="139"/>
      <c r="X969" s="139"/>
      <c r="Y969" s="139"/>
      <c r="Z969" s="139"/>
      <c r="AA969" s="139"/>
      <c r="AB969" s="139"/>
      <c r="AC969" s="139"/>
      <c r="AD969" s="139"/>
      <c r="AE969" s="139"/>
      <c r="AF969" s="139"/>
      <c r="AG969" s="139"/>
      <c r="AH969" s="139"/>
      <c r="AI969" s="139"/>
      <c r="AJ969" s="139"/>
      <c r="AK969" s="139"/>
      <c r="AL969" s="139"/>
      <c r="AM969" s="139"/>
      <c r="AN969" s="139"/>
      <c r="AO969" s="139"/>
      <c r="AP969" s="139"/>
      <c r="AQ969" s="139"/>
    </row>
    <row r="970" spans="1:43" ht="12.75" customHeight="1">
      <c r="A970" s="139"/>
      <c r="B970" s="139"/>
      <c r="C970" s="139"/>
      <c r="D970" s="139"/>
      <c r="E970" s="139"/>
      <c r="F970" s="139"/>
      <c r="G970" s="139"/>
      <c r="H970" s="139"/>
      <c r="I970" s="139"/>
      <c r="J970" s="139"/>
      <c r="K970" s="139"/>
      <c r="L970" s="139"/>
      <c r="M970" s="139"/>
      <c r="N970" s="139"/>
      <c r="O970" s="139"/>
      <c r="P970" s="139"/>
      <c r="Q970" s="139"/>
      <c r="R970" s="139"/>
      <c r="S970" s="139"/>
      <c r="T970" s="139"/>
      <c r="U970" s="139"/>
      <c r="V970" s="139"/>
      <c r="W970" s="139"/>
      <c r="X970" s="139"/>
      <c r="Y970" s="139"/>
      <c r="Z970" s="139"/>
      <c r="AA970" s="139"/>
      <c r="AB970" s="139"/>
      <c r="AC970" s="139"/>
      <c r="AD970" s="139"/>
      <c r="AE970" s="139"/>
      <c r="AF970" s="139"/>
      <c r="AG970" s="139"/>
      <c r="AH970" s="139"/>
      <c r="AI970" s="139"/>
      <c r="AJ970" s="139"/>
      <c r="AK970" s="139"/>
      <c r="AL970" s="139"/>
      <c r="AM970" s="139"/>
      <c r="AN970" s="139"/>
      <c r="AO970" s="139"/>
      <c r="AP970" s="139"/>
      <c r="AQ970" s="139"/>
    </row>
    <row r="971" spans="1:43" ht="12.75" customHeight="1">
      <c r="A971" s="139"/>
      <c r="B971" s="139"/>
      <c r="C971" s="139"/>
      <c r="D971" s="139"/>
      <c r="E971" s="139"/>
      <c r="F971" s="139"/>
      <c r="G971" s="139"/>
      <c r="H971" s="139"/>
      <c r="I971" s="139"/>
      <c r="J971" s="139"/>
      <c r="K971" s="139"/>
      <c r="L971" s="139"/>
      <c r="M971" s="139"/>
      <c r="N971" s="139"/>
      <c r="O971" s="139"/>
      <c r="P971" s="139"/>
      <c r="Q971" s="139"/>
      <c r="R971" s="139"/>
      <c r="S971" s="139"/>
      <c r="T971" s="139"/>
      <c r="U971" s="139"/>
      <c r="V971" s="139"/>
      <c r="W971" s="139"/>
      <c r="X971" s="139"/>
      <c r="Y971" s="139"/>
      <c r="Z971" s="139"/>
      <c r="AA971" s="139"/>
      <c r="AB971" s="139"/>
      <c r="AC971" s="139"/>
      <c r="AD971" s="139"/>
      <c r="AE971" s="139"/>
      <c r="AF971" s="139"/>
      <c r="AG971" s="139"/>
      <c r="AH971" s="139"/>
      <c r="AI971" s="139"/>
      <c r="AJ971" s="139"/>
      <c r="AK971" s="139"/>
      <c r="AL971" s="139"/>
      <c r="AM971" s="139"/>
      <c r="AN971" s="139"/>
      <c r="AO971" s="139"/>
      <c r="AP971" s="139"/>
      <c r="AQ971" s="139"/>
    </row>
    <row r="972" spans="1:43" ht="12.75" customHeight="1">
      <c r="A972" s="139"/>
      <c r="B972" s="139"/>
      <c r="C972" s="139"/>
      <c r="D972" s="139"/>
      <c r="E972" s="139"/>
      <c r="F972" s="139"/>
      <c r="G972" s="139"/>
      <c r="H972" s="139"/>
      <c r="I972" s="139"/>
      <c r="J972" s="139"/>
      <c r="K972" s="139"/>
      <c r="L972" s="139"/>
      <c r="M972" s="139"/>
      <c r="N972" s="139"/>
      <c r="O972" s="139"/>
      <c r="P972" s="139"/>
      <c r="Q972" s="139"/>
      <c r="R972" s="139"/>
      <c r="S972" s="139"/>
      <c r="T972" s="139"/>
      <c r="U972" s="139"/>
      <c r="V972" s="139"/>
      <c r="W972" s="139"/>
      <c r="X972" s="139"/>
      <c r="Y972" s="139"/>
      <c r="Z972" s="139"/>
      <c r="AA972" s="139"/>
      <c r="AB972" s="139"/>
      <c r="AC972" s="139"/>
      <c r="AD972" s="139"/>
      <c r="AE972" s="139"/>
      <c r="AF972" s="139"/>
      <c r="AG972" s="139"/>
      <c r="AH972" s="139"/>
      <c r="AI972" s="139"/>
      <c r="AJ972" s="139"/>
      <c r="AK972" s="139"/>
      <c r="AL972" s="139"/>
      <c r="AM972" s="139"/>
      <c r="AN972" s="139"/>
      <c r="AO972" s="139"/>
      <c r="AP972" s="139"/>
      <c r="AQ972" s="139"/>
    </row>
    <row r="973" spans="1:43" ht="12.75" customHeight="1">
      <c r="A973" s="139"/>
      <c r="B973" s="139"/>
      <c r="C973" s="139"/>
      <c r="D973" s="139"/>
      <c r="E973" s="139"/>
      <c r="F973" s="139"/>
      <c r="G973" s="139"/>
      <c r="H973" s="139"/>
      <c r="I973" s="139"/>
      <c r="J973" s="139"/>
      <c r="K973" s="139"/>
      <c r="L973" s="139"/>
      <c r="M973" s="139"/>
      <c r="N973" s="139"/>
      <c r="O973" s="139"/>
      <c r="P973" s="139"/>
      <c r="Q973" s="139"/>
      <c r="R973" s="139"/>
      <c r="S973" s="139"/>
      <c r="T973" s="139"/>
      <c r="U973" s="139"/>
      <c r="V973" s="139"/>
      <c r="W973" s="139"/>
      <c r="X973" s="139"/>
      <c r="Y973" s="139"/>
      <c r="Z973" s="139"/>
      <c r="AA973" s="139"/>
      <c r="AB973" s="139"/>
      <c r="AC973" s="139"/>
      <c r="AD973" s="139"/>
      <c r="AE973" s="139"/>
      <c r="AF973" s="139"/>
      <c r="AG973" s="139"/>
      <c r="AH973" s="139"/>
      <c r="AI973" s="139"/>
      <c r="AJ973" s="139"/>
      <c r="AK973" s="139"/>
      <c r="AL973" s="139"/>
      <c r="AM973" s="139"/>
      <c r="AN973" s="139"/>
      <c r="AO973" s="139"/>
      <c r="AP973" s="139"/>
      <c r="AQ973" s="139"/>
    </row>
    <row r="974" spans="1:43" ht="12.75" customHeight="1">
      <c r="A974" s="139"/>
      <c r="B974" s="139"/>
      <c r="C974" s="139"/>
      <c r="D974" s="139"/>
      <c r="E974" s="139"/>
      <c r="F974" s="139"/>
      <c r="G974" s="139"/>
      <c r="H974" s="139"/>
      <c r="I974" s="139"/>
      <c r="J974" s="139"/>
      <c r="K974" s="139"/>
      <c r="L974" s="139"/>
      <c r="M974" s="139"/>
      <c r="N974" s="139"/>
      <c r="O974" s="139"/>
      <c r="P974" s="139"/>
      <c r="Q974" s="139"/>
      <c r="R974" s="139"/>
      <c r="S974" s="139"/>
      <c r="T974" s="139"/>
      <c r="U974" s="139"/>
      <c r="V974" s="139"/>
      <c r="W974" s="139"/>
      <c r="X974" s="139"/>
      <c r="Y974" s="139"/>
      <c r="Z974" s="139"/>
      <c r="AA974" s="139"/>
      <c r="AB974" s="139"/>
      <c r="AC974" s="139"/>
      <c r="AD974" s="139"/>
      <c r="AE974" s="139"/>
      <c r="AF974" s="139"/>
      <c r="AG974" s="139"/>
      <c r="AH974" s="139"/>
      <c r="AI974" s="139"/>
      <c r="AJ974" s="139"/>
      <c r="AK974" s="139"/>
      <c r="AL974" s="139"/>
      <c r="AM974" s="139"/>
      <c r="AN974" s="139"/>
      <c r="AO974" s="139"/>
      <c r="AP974" s="139"/>
      <c r="AQ974" s="139"/>
    </row>
    <row r="975" spans="1:43" ht="12.75" customHeight="1">
      <c r="A975" s="139"/>
      <c r="B975" s="139"/>
      <c r="C975" s="139"/>
      <c r="D975" s="139"/>
      <c r="E975" s="139"/>
      <c r="F975" s="139"/>
      <c r="G975" s="139"/>
      <c r="H975" s="139"/>
      <c r="I975" s="139"/>
      <c r="J975" s="139"/>
      <c r="K975" s="139"/>
      <c r="L975" s="139"/>
      <c r="M975" s="139"/>
      <c r="N975" s="139"/>
      <c r="O975" s="139"/>
      <c r="P975" s="139"/>
      <c r="Q975" s="139"/>
      <c r="R975" s="139"/>
      <c r="S975" s="139"/>
      <c r="T975" s="139"/>
      <c r="U975" s="139"/>
      <c r="V975" s="139"/>
      <c r="W975" s="139"/>
      <c r="X975" s="139"/>
      <c r="Y975" s="139"/>
      <c r="Z975" s="139"/>
      <c r="AA975" s="139"/>
      <c r="AB975" s="139"/>
      <c r="AC975" s="139"/>
      <c r="AD975" s="139"/>
      <c r="AE975" s="139"/>
      <c r="AF975" s="139"/>
      <c r="AG975" s="139"/>
      <c r="AH975" s="139"/>
      <c r="AI975" s="139"/>
      <c r="AJ975" s="139"/>
      <c r="AK975" s="139"/>
      <c r="AL975" s="139"/>
      <c r="AM975" s="139"/>
      <c r="AN975" s="139"/>
      <c r="AO975" s="139"/>
      <c r="AP975" s="139"/>
      <c r="AQ975" s="139"/>
    </row>
    <row r="976" spans="1:43" ht="12.75" customHeight="1">
      <c r="A976" s="139"/>
      <c r="B976" s="139"/>
      <c r="C976" s="139"/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139"/>
      <c r="O976" s="139"/>
      <c r="P976" s="139"/>
      <c r="Q976" s="139"/>
      <c r="R976" s="139"/>
      <c r="S976" s="139"/>
      <c r="T976" s="139"/>
      <c r="U976" s="139"/>
      <c r="V976" s="139"/>
      <c r="W976" s="139"/>
      <c r="X976" s="139"/>
      <c r="Y976" s="139"/>
      <c r="Z976" s="139"/>
      <c r="AA976" s="139"/>
      <c r="AB976" s="139"/>
      <c r="AC976" s="139"/>
      <c r="AD976" s="139"/>
      <c r="AE976" s="139"/>
      <c r="AF976" s="139"/>
      <c r="AG976" s="139"/>
      <c r="AH976" s="139"/>
      <c r="AI976" s="139"/>
      <c r="AJ976" s="139"/>
      <c r="AK976" s="139"/>
      <c r="AL976" s="139"/>
      <c r="AM976" s="139"/>
      <c r="AN976" s="139"/>
      <c r="AO976" s="139"/>
      <c r="AP976" s="139"/>
      <c r="AQ976" s="139"/>
    </row>
    <row r="977" spans="1:43" ht="12.75" customHeight="1">
      <c r="A977" s="139"/>
      <c r="B977" s="139"/>
      <c r="C977" s="139"/>
      <c r="D977" s="139"/>
      <c r="E977" s="139"/>
      <c r="F977" s="139"/>
      <c r="G977" s="139"/>
      <c r="H977" s="139"/>
      <c r="I977" s="139"/>
      <c r="J977" s="139"/>
      <c r="K977" s="139"/>
      <c r="L977" s="139"/>
      <c r="M977" s="139"/>
      <c r="N977" s="139"/>
      <c r="O977" s="139"/>
      <c r="P977" s="139"/>
      <c r="Q977" s="139"/>
      <c r="R977" s="139"/>
      <c r="S977" s="139"/>
      <c r="T977" s="139"/>
      <c r="U977" s="139"/>
      <c r="V977" s="139"/>
      <c r="W977" s="139"/>
      <c r="X977" s="139"/>
      <c r="Y977" s="139"/>
      <c r="Z977" s="139"/>
      <c r="AA977" s="139"/>
      <c r="AB977" s="139"/>
      <c r="AC977" s="139"/>
      <c r="AD977" s="139"/>
      <c r="AE977" s="139"/>
      <c r="AF977" s="139"/>
      <c r="AG977" s="139"/>
      <c r="AH977" s="139"/>
      <c r="AI977" s="139"/>
      <c r="AJ977" s="139"/>
      <c r="AK977" s="139"/>
      <c r="AL977" s="139"/>
      <c r="AM977" s="139"/>
      <c r="AN977" s="139"/>
      <c r="AO977" s="139"/>
      <c r="AP977" s="139"/>
      <c r="AQ977" s="139"/>
    </row>
    <row r="978" spans="1:43" ht="12.75" customHeight="1">
      <c r="A978" s="139"/>
      <c r="B978" s="139"/>
      <c r="C978" s="139"/>
      <c r="D978" s="139"/>
      <c r="E978" s="139"/>
      <c r="F978" s="139"/>
      <c r="G978" s="139"/>
      <c r="H978" s="139"/>
      <c r="I978" s="139"/>
      <c r="J978" s="139"/>
      <c r="K978" s="139"/>
      <c r="L978" s="139"/>
      <c r="M978" s="139"/>
      <c r="N978" s="139"/>
      <c r="O978" s="139"/>
      <c r="P978" s="139"/>
      <c r="Q978" s="139"/>
      <c r="R978" s="139"/>
      <c r="S978" s="139"/>
      <c r="T978" s="139"/>
      <c r="U978" s="139"/>
      <c r="V978" s="139"/>
      <c r="W978" s="139"/>
      <c r="X978" s="139"/>
      <c r="Y978" s="139"/>
      <c r="Z978" s="139"/>
      <c r="AA978" s="139"/>
      <c r="AB978" s="139"/>
      <c r="AC978" s="139"/>
      <c r="AD978" s="139"/>
      <c r="AE978" s="139"/>
      <c r="AF978" s="139"/>
      <c r="AG978" s="139"/>
      <c r="AH978" s="139"/>
      <c r="AI978" s="139"/>
      <c r="AJ978" s="139"/>
      <c r="AK978" s="139"/>
      <c r="AL978" s="139"/>
      <c r="AM978" s="139"/>
      <c r="AN978" s="139"/>
      <c r="AO978" s="139"/>
      <c r="AP978" s="139"/>
      <c r="AQ978" s="139"/>
    </row>
    <row r="979" spans="1:43" ht="12.75" customHeight="1">
      <c r="A979" s="139"/>
      <c r="B979" s="139"/>
      <c r="C979" s="139"/>
      <c r="D979" s="139"/>
      <c r="E979" s="139"/>
      <c r="F979" s="139"/>
      <c r="G979" s="139"/>
      <c r="H979" s="139"/>
      <c r="I979" s="139"/>
      <c r="J979" s="139"/>
      <c r="K979" s="139"/>
      <c r="L979" s="139"/>
      <c r="M979" s="139"/>
      <c r="N979" s="139"/>
      <c r="O979" s="139"/>
      <c r="P979" s="139"/>
      <c r="Q979" s="139"/>
      <c r="R979" s="139"/>
      <c r="S979" s="139"/>
      <c r="T979" s="139"/>
      <c r="U979" s="139"/>
      <c r="V979" s="139"/>
      <c r="W979" s="139"/>
      <c r="X979" s="139"/>
      <c r="Y979" s="139"/>
      <c r="Z979" s="139"/>
      <c r="AA979" s="139"/>
      <c r="AB979" s="139"/>
      <c r="AC979" s="139"/>
      <c r="AD979" s="139"/>
      <c r="AE979" s="139"/>
      <c r="AF979" s="139"/>
      <c r="AG979" s="139"/>
      <c r="AH979" s="139"/>
      <c r="AI979" s="139"/>
      <c r="AJ979" s="139"/>
      <c r="AK979" s="139"/>
      <c r="AL979" s="139"/>
      <c r="AM979" s="139"/>
      <c r="AN979" s="139"/>
      <c r="AO979" s="139"/>
      <c r="AP979" s="139"/>
      <c r="AQ979" s="139"/>
    </row>
    <row r="980" spans="1:43" ht="12.75" customHeight="1">
      <c r="A980" s="139"/>
      <c r="B980" s="139"/>
      <c r="C980" s="139"/>
      <c r="D980" s="139"/>
      <c r="E980" s="139"/>
      <c r="F980" s="139"/>
      <c r="G980" s="139"/>
      <c r="H980" s="139"/>
      <c r="I980" s="139"/>
      <c r="J980" s="139"/>
      <c r="K980" s="139"/>
      <c r="L980" s="139"/>
      <c r="M980" s="139"/>
      <c r="N980" s="139"/>
      <c r="O980" s="139"/>
      <c r="P980" s="139"/>
      <c r="Q980" s="139"/>
      <c r="R980" s="139"/>
      <c r="S980" s="139"/>
      <c r="T980" s="139"/>
      <c r="U980" s="139"/>
      <c r="V980" s="139"/>
      <c r="W980" s="139"/>
      <c r="X980" s="139"/>
      <c r="Y980" s="139"/>
      <c r="Z980" s="139"/>
      <c r="AA980" s="139"/>
      <c r="AB980" s="139"/>
      <c r="AC980" s="139"/>
      <c r="AD980" s="139"/>
      <c r="AE980" s="139"/>
      <c r="AF980" s="139"/>
      <c r="AG980" s="139"/>
      <c r="AH980" s="139"/>
      <c r="AI980" s="139"/>
      <c r="AJ980" s="139"/>
      <c r="AK980" s="139"/>
      <c r="AL980" s="139"/>
      <c r="AM980" s="139"/>
      <c r="AN980" s="139"/>
      <c r="AO980" s="139"/>
      <c r="AP980" s="139"/>
      <c r="AQ980" s="139"/>
    </row>
    <row r="981" spans="1:43" ht="12.75" customHeight="1">
      <c r="A981" s="139"/>
      <c r="B981" s="139"/>
      <c r="C981" s="139"/>
      <c r="D981" s="139"/>
      <c r="E981" s="139"/>
      <c r="F981" s="139"/>
      <c r="G981" s="139"/>
      <c r="H981" s="139"/>
      <c r="I981" s="139"/>
      <c r="J981" s="139"/>
      <c r="K981" s="139"/>
      <c r="L981" s="139"/>
      <c r="M981" s="139"/>
      <c r="N981" s="139"/>
      <c r="O981" s="139"/>
      <c r="P981" s="139"/>
      <c r="Q981" s="139"/>
      <c r="R981" s="139"/>
      <c r="S981" s="139"/>
      <c r="T981" s="139"/>
      <c r="U981" s="139"/>
      <c r="V981" s="139"/>
      <c r="W981" s="139"/>
      <c r="X981" s="139"/>
      <c r="Y981" s="139"/>
      <c r="Z981" s="139"/>
      <c r="AA981" s="139"/>
      <c r="AB981" s="139"/>
      <c r="AC981" s="139"/>
      <c r="AD981" s="139"/>
      <c r="AE981" s="139"/>
      <c r="AF981" s="139"/>
      <c r="AG981" s="139"/>
      <c r="AH981" s="139"/>
      <c r="AI981" s="139"/>
      <c r="AJ981" s="139"/>
      <c r="AK981" s="139"/>
      <c r="AL981" s="139"/>
      <c r="AM981" s="139"/>
      <c r="AN981" s="139"/>
      <c r="AO981" s="139"/>
      <c r="AP981" s="139"/>
      <c r="AQ981" s="139"/>
    </row>
    <row r="982" spans="1:43" ht="12.75" customHeight="1">
      <c r="A982" s="139"/>
      <c r="B982" s="139"/>
      <c r="C982" s="139"/>
      <c r="D982" s="139"/>
      <c r="E982" s="139"/>
      <c r="F982" s="139"/>
      <c r="G982" s="139"/>
      <c r="H982" s="139"/>
      <c r="I982" s="139"/>
      <c r="J982" s="139"/>
      <c r="K982" s="139"/>
      <c r="L982" s="139"/>
      <c r="M982" s="139"/>
      <c r="N982" s="139"/>
      <c r="O982" s="139"/>
      <c r="P982" s="139"/>
      <c r="Q982" s="139"/>
      <c r="R982" s="139"/>
      <c r="S982" s="139"/>
      <c r="T982" s="139"/>
      <c r="U982" s="139"/>
      <c r="V982" s="139"/>
      <c r="W982" s="139"/>
      <c r="X982" s="139"/>
      <c r="Y982" s="139"/>
      <c r="Z982" s="139"/>
      <c r="AA982" s="139"/>
      <c r="AB982" s="139"/>
      <c r="AC982" s="139"/>
      <c r="AD982" s="139"/>
      <c r="AE982" s="139"/>
      <c r="AF982" s="139"/>
      <c r="AG982" s="139"/>
      <c r="AH982" s="139"/>
      <c r="AI982" s="139"/>
      <c r="AJ982" s="139"/>
      <c r="AK982" s="139"/>
      <c r="AL982" s="139"/>
      <c r="AM982" s="139"/>
      <c r="AN982" s="139"/>
      <c r="AO982" s="139"/>
      <c r="AP982" s="139"/>
      <c r="AQ982" s="139"/>
    </row>
    <row r="983" spans="1:43" ht="12.75" customHeight="1">
      <c r="A983" s="139"/>
      <c r="B983" s="139"/>
      <c r="C983" s="139"/>
      <c r="D983" s="139"/>
      <c r="E983" s="139"/>
      <c r="F983" s="139"/>
      <c r="G983" s="139"/>
      <c r="H983" s="139"/>
      <c r="I983" s="139"/>
      <c r="J983" s="139"/>
      <c r="K983" s="139"/>
      <c r="L983" s="139"/>
      <c r="M983" s="139"/>
      <c r="N983" s="139"/>
      <c r="O983" s="139"/>
      <c r="P983" s="139"/>
      <c r="Q983" s="139"/>
      <c r="R983" s="139"/>
      <c r="S983" s="139"/>
      <c r="T983" s="139"/>
      <c r="U983" s="139"/>
      <c r="V983" s="139"/>
      <c r="W983" s="139"/>
      <c r="X983" s="139"/>
      <c r="Y983" s="139"/>
      <c r="Z983" s="139"/>
      <c r="AA983" s="139"/>
      <c r="AB983" s="139"/>
      <c r="AC983" s="139"/>
      <c r="AD983" s="139"/>
      <c r="AE983" s="139"/>
      <c r="AF983" s="139"/>
      <c r="AG983" s="139"/>
      <c r="AH983" s="139"/>
      <c r="AI983" s="139"/>
      <c r="AJ983" s="139"/>
      <c r="AK983" s="139"/>
      <c r="AL983" s="139"/>
      <c r="AM983" s="139"/>
      <c r="AN983" s="139"/>
      <c r="AO983" s="139"/>
      <c r="AP983" s="139"/>
      <c r="AQ983" s="139"/>
    </row>
    <row r="984" spans="1:43" ht="12.75" customHeight="1">
      <c r="A984" s="139"/>
      <c r="B984" s="139"/>
      <c r="C984" s="139"/>
      <c r="D984" s="139"/>
      <c r="E984" s="139"/>
      <c r="F984" s="139"/>
      <c r="G984" s="139"/>
      <c r="H984" s="139"/>
      <c r="I984" s="139"/>
      <c r="J984" s="139"/>
      <c r="K984" s="139"/>
      <c r="L984" s="139"/>
      <c r="M984" s="139"/>
      <c r="N984" s="139"/>
      <c r="O984" s="139"/>
      <c r="P984" s="139"/>
      <c r="Q984" s="139"/>
      <c r="R984" s="139"/>
      <c r="S984" s="139"/>
      <c r="T984" s="139"/>
      <c r="U984" s="139"/>
      <c r="V984" s="139"/>
      <c r="W984" s="139"/>
      <c r="X984" s="139"/>
      <c r="Y984" s="139"/>
      <c r="Z984" s="139"/>
      <c r="AA984" s="139"/>
      <c r="AB984" s="139"/>
      <c r="AC984" s="139"/>
      <c r="AD984" s="139"/>
      <c r="AE984" s="139"/>
      <c r="AF984" s="139"/>
      <c r="AG984" s="139"/>
      <c r="AH984" s="139"/>
      <c r="AI984" s="139"/>
      <c r="AJ984" s="139"/>
      <c r="AK984" s="139"/>
      <c r="AL984" s="139"/>
      <c r="AM984" s="139"/>
      <c r="AN984" s="139"/>
      <c r="AO984" s="139"/>
      <c r="AP984" s="139"/>
      <c r="AQ984" s="139"/>
    </row>
    <row r="985" spans="1:43" ht="12.75" customHeight="1">
      <c r="A985" s="139"/>
      <c r="B985" s="139"/>
      <c r="C985" s="139"/>
      <c r="D985" s="139"/>
      <c r="E985" s="139"/>
      <c r="F985" s="139"/>
      <c r="G985" s="139"/>
      <c r="H985" s="139"/>
      <c r="I985" s="139"/>
      <c r="J985" s="139"/>
      <c r="K985" s="139"/>
      <c r="L985" s="139"/>
      <c r="M985" s="139"/>
      <c r="N985" s="139"/>
      <c r="O985" s="139"/>
      <c r="P985" s="139"/>
      <c r="Q985" s="139"/>
      <c r="R985" s="139"/>
      <c r="S985" s="139"/>
      <c r="T985" s="139"/>
      <c r="U985" s="139"/>
      <c r="V985" s="139"/>
      <c r="W985" s="139"/>
      <c r="X985" s="139"/>
      <c r="Y985" s="139"/>
      <c r="Z985" s="139"/>
      <c r="AA985" s="139"/>
      <c r="AB985" s="139"/>
      <c r="AC985" s="139"/>
      <c r="AD985" s="139"/>
      <c r="AE985" s="139"/>
      <c r="AF985" s="139"/>
      <c r="AG985" s="139"/>
      <c r="AH985" s="139"/>
      <c r="AI985" s="139"/>
      <c r="AJ985" s="139"/>
      <c r="AK985" s="139"/>
      <c r="AL985" s="139"/>
      <c r="AM985" s="139"/>
      <c r="AN985" s="139"/>
      <c r="AO985" s="139"/>
      <c r="AP985" s="139"/>
      <c r="AQ985" s="139"/>
    </row>
    <row r="986" spans="1:43" ht="12.75" customHeight="1">
      <c r="A986" s="139"/>
      <c r="B986" s="139"/>
      <c r="C986" s="139"/>
      <c r="D986" s="139"/>
      <c r="E986" s="139"/>
      <c r="F986" s="139"/>
      <c r="G986" s="139"/>
      <c r="H986" s="139"/>
      <c r="I986" s="139"/>
      <c r="J986" s="139"/>
      <c r="K986" s="139"/>
      <c r="L986" s="139"/>
      <c r="M986" s="139"/>
      <c r="N986" s="139"/>
      <c r="O986" s="139"/>
      <c r="P986" s="139"/>
      <c r="Q986" s="139"/>
      <c r="R986" s="139"/>
      <c r="S986" s="139"/>
      <c r="T986" s="139"/>
      <c r="U986" s="139"/>
      <c r="V986" s="139"/>
      <c r="W986" s="139"/>
      <c r="X986" s="139"/>
      <c r="Y986" s="139"/>
      <c r="Z986" s="139"/>
      <c r="AA986" s="139"/>
      <c r="AB986" s="139"/>
      <c r="AC986" s="139"/>
      <c r="AD986" s="139"/>
      <c r="AE986" s="139"/>
      <c r="AF986" s="139"/>
      <c r="AG986" s="139"/>
      <c r="AH986" s="139"/>
      <c r="AI986" s="139"/>
      <c r="AJ986" s="139"/>
      <c r="AK986" s="139"/>
      <c r="AL986" s="139"/>
      <c r="AM986" s="139"/>
      <c r="AN986" s="139"/>
      <c r="AO986" s="139"/>
      <c r="AP986" s="139"/>
      <c r="AQ986" s="139"/>
    </row>
    <row r="987" spans="1:43" ht="12.75" customHeight="1">
      <c r="A987" s="139"/>
      <c r="B987" s="139"/>
      <c r="C987" s="139"/>
      <c r="D987" s="139"/>
      <c r="E987" s="139"/>
      <c r="F987" s="139"/>
      <c r="G987" s="139"/>
      <c r="H987" s="139"/>
      <c r="I987" s="139"/>
      <c r="J987" s="139"/>
      <c r="K987" s="139"/>
      <c r="L987" s="139"/>
      <c r="M987" s="139"/>
      <c r="N987" s="139"/>
      <c r="O987" s="139"/>
      <c r="P987" s="139"/>
      <c r="Q987" s="139"/>
      <c r="R987" s="139"/>
      <c r="S987" s="139"/>
      <c r="T987" s="139"/>
      <c r="U987" s="139"/>
      <c r="V987" s="139"/>
      <c r="W987" s="139"/>
      <c r="X987" s="139"/>
      <c r="Y987" s="139"/>
      <c r="Z987" s="139"/>
      <c r="AA987" s="139"/>
      <c r="AB987" s="139"/>
      <c r="AC987" s="139"/>
      <c r="AD987" s="139"/>
      <c r="AE987" s="139"/>
      <c r="AF987" s="139"/>
      <c r="AG987" s="139"/>
      <c r="AH987" s="139"/>
      <c r="AI987" s="139"/>
      <c r="AJ987" s="139"/>
      <c r="AK987" s="139"/>
      <c r="AL987" s="139"/>
      <c r="AM987" s="139"/>
      <c r="AN987" s="139"/>
      <c r="AO987" s="139"/>
      <c r="AP987" s="139"/>
      <c r="AQ987" s="139"/>
    </row>
    <row r="988" spans="1:43" ht="12.75" customHeight="1">
      <c r="A988" s="139"/>
      <c r="B988" s="139"/>
      <c r="C988" s="139"/>
      <c r="D988" s="139"/>
      <c r="E988" s="139"/>
      <c r="F988" s="139"/>
      <c r="G988" s="139"/>
      <c r="H988" s="139"/>
      <c r="I988" s="139"/>
      <c r="J988" s="139"/>
      <c r="K988" s="139"/>
      <c r="L988" s="139"/>
      <c r="M988" s="139"/>
      <c r="N988" s="139"/>
      <c r="O988" s="139"/>
      <c r="P988" s="139"/>
      <c r="Q988" s="139"/>
      <c r="R988" s="139"/>
      <c r="S988" s="139"/>
      <c r="T988" s="139"/>
      <c r="U988" s="139"/>
      <c r="V988" s="139"/>
      <c r="W988" s="139"/>
      <c r="X988" s="139"/>
      <c r="Y988" s="139"/>
      <c r="Z988" s="139"/>
      <c r="AA988" s="139"/>
      <c r="AB988" s="139"/>
      <c r="AC988" s="139"/>
      <c r="AD988" s="139"/>
      <c r="AE988" s="139"/>
      <c r="AF988" s="139"/>
      <c r="AG988" s="139"/>
      <c r="AH988" s="139"/>
      <c r="AI988" s="139"/>
      <c r="AJ988" s="139"/>
      <c r="AK988" s="139"/>
      <c r="AL988" s="139"/>
      <c r="AM988" s="139"/>
      <c r="AN988" s="139"/>
      <c r="AO988" s="139"/>
      <c r="AP988" s="139"/>
      <c r="AQ988" s="139"/>
    </row>
    <row r="989" spans="1:43" ht="12.75" customHeight="1">
      <c r="A989" s="139"/>
      <c r="B989" s="139"/>
      <c r="C989" s="139"/>
      <c r="D989" s="139"/>
      <c r="E989" s="139"/>
      <c r="F989" s="139"/>
      <c r="G989" s="139"/>
      <c r="H989" s="139"/>
      <c r="I989" s="139"/>
      <c r="J989" s="139"/>
      <c r="K989" s="139"/>
      <c r="L989" s="139"/>
      <c r="M989" s="139"/>
      <c r="N989" s="139"/>
      <c r="O989" s="139"/>
      <c r="P989" s="139"/>
      <c r="Q989" s="139"/>
      <c r="R989" s="139"/>
      <c r="S989" s="139"/>
      <c r="T989" s="139"/>
      <c r="U989" s="139"/>
      <c r="V989" s="139"/>
      <c r="W989" s="139"/>
      <c r="X989" s="139"/>
      <c r="Y989" s="139"/>
      <c r="Z989" s="139"/>
      <c r="AA989" s="139"/>
      <c r="AB989" s="139"/>
      <c r="AC989" s="139"/>
      <c r="AD989" s="139"/>
      <c r="AE989" s="139"/>
      <c r="AF989" s="139"/>
      <c r="AG989" s="139"/>
      <c r="AH989" s="139"/>
      <c r="AI989" s="139"/>
      <c r="AJ989" s="139"/>
      <c r="AK989" s="139"/>
      <c r="AL989" s="139"/>
      <c r="AM989" s="139"/>
      <c r="AN989" s="139"/>
      <c r="AO989" s="139"/>
      <c r="AP989" s="139"/>
      <c r="AQ989" s="139"/>
    </row>
    <row r="990" spans="1:43" ht="12.75" customHeight="1">
      <c r="A990" s="139"/>
      <c r="B990" s="139"/>
      <c r="C990" s="139"/>
      <c r="D990" s="139"/>
      <c r="E990" s="139"/>
      <c r="F990" s="139"/>
      <c r="G990" s="139"/>
      <c r="H990" s="139"/>
      <c r="I990" s="139"/>
      <c r="J990" s="139"/>
      <c r="K990" s="139"/>
      <c r="L990" s="139"/>
      <c r="M990" s="139"/>
      <c r="N990" s="139"/>
      <c r="O990" s="139"/>
      <c r="P990" s="139"/>
      <c r="Q990" s="139"/>
      <c r="R990" s="139"/>
      <c r="S990" s="139"/>
      <c r="T990" s="139"/>
      <c r="U990" s="139"/>
      <c r="V990" s="139"/>
      <c r="W990" s="139"/>
      <c r="X990" s="139"/>
      <c r="Y990" s="139"/>
      <c r="Z990" s="139"/>
      <c r="AA990" s="139"/>
      <c r="AB990" s="139"/>
      <c r="AC990" s="139"/>
      <c r="AD990" s="139"/>
      <c r="AE990" s="139"/>
      <c r="AF990" s="139"/>
      <c r="AG990" s="139"/>
      <c r="AH990" s="139"/>
      <c r="AI990" s="139"/>
      <c r="AJ990" s="139"/>
      <c r="AK990" s="139"/>
      <c r="AL990" s="139"/>
      <c r="AM990" s="139"/>
      <c r="AN990" s="139"/>
      <c r="AO990" s="139"/>
      <c r="AP990" s="139"/>
      <c r="AQ990" s="139"/>
    </row>
    <row r="991" spans="1:43" ht="12.75" customHeight="1">
      <c r="A991" s="139"/>
      <c r="B991" s="139"/>
      <c r="C991" s="139"/>
      <c r="D991" s="139"/>
      <c r="E991" s="139"/>
      <c r="F991" s="139"/>
      <c r="G991" s="139"/>
      <c r="H991" s="139"/>
      <c r="I991" s="139"/>
      <c r="J991" s="139"/>
      <c r="K991" s="139"/>
      <c r="L991" s="139"/>
      <c r="M991" s="139"/>
      <c r="N991" s="139"/>
      <c r="O991" s="139"/>
      <c r="P991" s="139"/>
      <c r="Q991" s="139"/>
      <c r="R991" s="139"/>
      <c r="S991" s="139"/>
      <c r="T991" s="139"/>
      <c r="U991" s="139"/>
      <c r="V991" s="139"/>
      <c r="W991" s="139"/>
      <c r="X991" s="139"/>
      <c r="Y991" s="139"/>
      <c r="Z991" s="139"/>
      <c r="AA991" s="139"/>
      <c r="AB991" s="139"/>
      <c r="AC991" s="139"/>
      <c r="AD991" s="139"/>
      <c r="AE991" s="139"/>
      <c r="AF991" s="139"/>
      <c r="AG991" s="139"/>
      <c r="AH991" s="139"/>
      <c r="AI991" s="139"/>
      <c r="AJ991" s="139"/>
      <c r="AK991" s="139"/>
      <c r="AL991" s="139"/>
      <c r="AM991" s="139"/>
      <c r="AN991" s="139"/>
      <c r="AO991" s="139"/>
      <c r="AP991" s="139"/>
      <c r="AQ991" s="139"/>
    </row>
    <row r="992" spans="1:43" ht="12.75" customHeight="1">
      <c r="A992" s="139"/>
      <c r="B992" s="139"/>
      <c r="C992" s="139"/>
      <c r="D992" s="139"/>
      <c r="E992" s="139"/>
      <c r="F992" s="139"/>
      <c r="G992" s="139"/>
      <c r="H992" s="139"/>
      <c r="I992" s="139"/>
      <c r="J992" s="139"/>
      <c r="K992" s="139"/>
      <c r="L992" s="139"/>
      <c r="M992" s="139"/>
      <c r="N992" s="139"/>
      <c r="O992" s="139"/>
      <c r="P992" s="139"/>
      <c r="Q992" s="139"/>
      <c r="R992" s="139"/>
      <c r="S992" s="139"/>
      <c r="T992" s="139"/>
      <c r="U992" s="139"/>
      <c r="V992" s="139"/>
      <c r="W992" s="139"/>
      <c r="X992" s="139"/>
      <c r="Y992" s="139"/>
      <c r="Z992" s="139"/>
      <c r="AA992" s="139"/>
      <c r="AB992" s="139"/>
      <c r="AC992" s="139"/>
      <c r="AD992" s="139"/>
      <c r="AE992" s="139"/>
      <c r="AF992" s="139"/>
      <c r="AG992" s="139"/>
      <c r="AH992" s="139"/>
      <c r="AI992" s="139"/>
      <c r="AJ992" s="139"/>
      <c r="AK992" s="139"/>
      <c r="AL992" s="139"/>
      <c r="AM992" s="139"/>
      <c r="AN992" s="139"/>
      <c r="AO992" s="139"/>
      <c r="AP992" s="139"/>
      <c r="AQ992" s="139"/>
    </row>
    <row r="993" spans="1:43" ht="12.75" customHeight="1">
      <c r="A993" s="139"/>
      <c r="B993" s="139"/>
      <c r="C993" s="139"/>
      <c r="D993" s="139"/>
      <c r="E993" s="139"/>
      <c r="F993" s="139"/>
      <c r="G993" s="139"/>
      <c r="H993" s="139"/>
      <c r="I993" s="139"/>
      <c r="J993" s="139"/>
      <c r="K993" s="139"/>
      <c r="L993" s="139"/>
      <c r="M993" s="139"/>
      <c r="N993" s="139"/>
      <c r="O993" s="139"/>
      <c r="P993" s="139"/>
      <c r="Q993" s="139"/>
      <c r="R993" s="139"/>
      <c r="S993" s="139"/>
      <c r="T993" s="139"/>
      <c r="U993" s="139"/>
      <c r="V993" s="139"/>
      <c r="W993" s="139"/>
      <c r="X993" s="139"/>
      <c r="Y993" s="139"/>
      <c r="Z993" s="139"/>
      <c r="AA993" s="139"/>
      <c r="AB993" s="139"/>
      <c r="AC993" s="139"/>
      <c r="AD993" s="139"/>
      <c r="AE993" s="139"/>
      <c r="AF993" s="139"/>
      <c r="AG993" s="139"/>
      <c r="AH993" s="139"/>
      <c r="AI993" s="139"/>
      <c r="AJ993" s="139"/>
      <c r="AK993" s="139"/>
      <c r="AL993" s="139"/>
      <c r="AM993" s="139"/>
      <c r="AN993" s="139"/>
      <c r="AO993" s="139"/>
      <c r="AP993" s="139"/>
      <c r="AQ993" s="139"/>
    </row>
    <row r="994" spans="1:43" ht="12.75" customHeight="1">
      <c r="A994" s="139"/>
      <c r="B994" s="139"/>
      <c r="C994" s="139"/>
      <c r="D994" s="139"/>
      <c r="E994" s="139"/>
      <c r="F994" s="139"/>
      <c r="G994" s="139"/>
      <c r="H994" s="139"/>
      <c r="I994" s="139"/>
      <c r="J994" s="139"/>
      <c r="K994" s="139"/>
      <c r="L994" s="139"/>
      <c r="M994" s="139"/>
      <c r="N994" s="139"/>
      <c r="O994" s="139"/>
      <c r="P994" s="139"/>
      <c r="Q994" s="139"/>
      <c r="R994" s="139"/>
      <c r="S994" s="139"/>
      <c r="T994" s="139"/>
      <c r="U994" s="139"/>
      <c r="V994" s="139"/>
      <c r="W994" s="139"/>
      <c r="X994" s="139"/>
      <c r="Y994" s="139"/>
      <c r="Z994" s="139"/>
      <c r="AA994" s="139"/>
      <c r="AB994" s="139"/>
      <c r="AC994" s="139"/>
      <c r="AD994" s="139"/>
      <c r="AE994" s="139"/>
      <c r="AF994" s="139"/>
      <c r="AG994" s="139"/>
      <c r="AH994" s="139"/>
      <c r="AI994" s="139"/>
      <c r="AJ994" s="139"/>
      <c r="AK994" s="139"/>
      <c r="AL994" s="139"/>
      <c r="AM994" s="139"/>
      <c r="AN994" s="139"/>
      <c r="AO994" s="139"/>
      <c r="AP994" s="139"/>
      <c r="AQ994" s="139"/>
    </row>
    <row r="995" spans="1:43" ht="12.75" customHeight="1">
      <c r="A995" s="139"/>
      <c r="B995" s="139"/>
      <c r="C995" s="139"/>
      <c r="D995" s="139"/>
      <c r="E995" s="139"/>
      <c r="F995" s="139"/>
      <c r="G995" s="139"/>
      <c r="H995" s="139"/>
      <c r="I995" s="139"/>
      <c r="J995" s="139"/>
      <c r="K995" s="139"/>
      <c r="L995" s="139"/>
      <c r="M995" s="139"/>
      <c r="N995" s="139"/>
      <c r="O995" s="139"/>
      <c r="P995" s="139"/>
      <c r="Q995" s="139"/>
      <c r="R995" s="139"/>
      <c r="S995" s="139"/>
      <c r="T995" s="139"/>
      <c r="U995" s="139"/>
      <c r="V995" s="139"/>
      <c r="W995" s="139"/>
      <c r="X995" s="139"/>
      <c r="Y995" s="139"/>
      <c r="Z995" s="139"/>
      <c r="AA995" s="139"/>
      <c r="AB995" s="139"/>
      <c r="AC995" s="139"/>
      <c r="AD995" s="139"/>
      <c r="AE995" s="139"/>
      <c r="AF995" s="139"/>
      <c r="AG995" s="139"/>
      <c r="AH995" s="139"/>
      <c r="AI995" s="139"/>
      <c r="AJ995" s="139"/>
      <c r="AK995" s="139"/>
      <c r="AL995" s="139"/>
      <c r="AM995" s="139"/>
      <c r="AN995" s="139"/>
      <c r="AO995" s="139"/>
      <c r="AP995" s="139"/>
      <c r="AQ995" s="139"/>
    </row>
    <row r="996" spans="1:43" ht="12.75" customHeight="1">
      <c r="A996" s="139"/>
      <c r="B996" s="139"/>
      <c r="C996" s="139"/>
      <c r="D996" s="139"/>
      <c r="E996" s="139"/>
      <c r="F996" s="139"/>
      <c r="G996" s="139"/>
      <c r="H996" s="139"/>
      <c r="I996" s="139"/>
      <c r="J996" s="139"/>
      <c r="K996" s="139"/>
      <c r="L996" s="139"/>
      <c r="M996" s="139"/>
      <c r="N996" s="139"/>
      <c r="O996" s="139"/>
      <c r="P996" s="139"/>
      <c r="Q996" s="139"/>
      <c r="R996" s="139"/>
      <c r="S996" s="139"/>
      <c r="T996" s="139"/>
      <c r="U996" s="139"/>
      <c r="V996" s="139"/>
      <c r="W996" s="139"/>
      <c r="X996" s="139"/>
      <c r="Y996" s="139"/>
      <c r="Z996" s="139"/>
      <c r="AA996" s="139"/>
      <c r="AB996" s="139"/>
      <c r="AC996" s="139"/>
      <c r="AD996" s="139"/>
      <c r="AE996" s="139"/>
      <c r="AF996" s="139"/>
      <c r="AG996" s="139"/>
      <c r="AH996" s="139"/>
      <c r="AI996" s="139"/>
      <c r="AJ996" s="139"/>
      <c r="AK996" s="139"/>
      <c r="AL996" s="139"/>
      <c r="AM996" s="139"/>
      <c r="AN996" s="139"/>
      <c r="AO996" s="139"/>
      <c r="AP996" s="139"/>
      <c r="AQ996" s="139"/>
    </row>
    <row r="997" spans="1:43" ht="12.75" customHeight="1">
      <c r="A997" s="139"/>
      <c r="B997" s="139"/>
      <c r="C997" s="139"/>
      <c r="D997" s="139"/>
      <c r="E997" s="139"/>
      <c r="F997" s="139"/>
      <c r="G997" s="139"/>
      <c r="H997" s="139"/>
      <c r="I997" s="139"/>
      <c r="J997" s="139"/>
      <c r="K997" s="139"/>
      <c r="L997" s="139"/>
      <c r="M997" s="139"/>
      <c r="N997" s="139"/>
      <c r="O997" s="139"/>
      <c r="P997" s="139"/>
      <c r="Q997" s="139"/>
      <c r="R997" s="139"/>
      <c r="S997" s="139"/>
      <c r="T997" s="139"/>
      <c r="U997" s="139"/>
      <c r="V997" s="139"/>
      <c r="W997" s="139"/>
      <c r="X997" s="139"/>
      <c r="Y997" s="139"/>
      <c r="Z997" s="139"/>
      <c r="AA997" s="139"/>
      <c r="AB997" s="139"/>
      <c r="AC997" s="139"/>
      <c r="AD997" s="139"/>
      <c r="AE997" s="139"/>
      <c r="AF997" s="139"/>
      <c r="AG997" s="139"/>
      <c r="AH997" s="139"/>
      <c r="AI997" s="139"/>
      <c r="AJ997" s="139"/>
      <c r="AK997" s="139"/>
      <c r="AL997" s="139"/>
      <c r="AM997" s="139"/>
      <c r="AN997" s="139"/>
      <c r="AO997" s="139"/>
      <c r="AP997" s="139"/>
      <c r="AQ997" s="139"/>
    </row>
    <row r="998" spans="1:43" ht="12.75" customHeight="1">
      <c r="A998" s="139"/>
      <c r="B998" s="139"/>
      <c r="C998" s="139"/>
      <c r="D998" s="139"/>
      <c r="E998" s="139"/>
      <c r="F998" s="139"/>
      <c r="G998" s="139"/>
      <c r="H998" s="139"/>
      <c r="I998" s="139"/>
      <c r="J998" s="139"/>
      <c r="K998" s="139"/>
      <c r="L998" s="139"/>
      <c r="M998" s="139"/>
      <c r="N998" s="139"/>
      <c r="O998" s="139"/>
      <c r="P998" s="139"/>
      <c r="Q998" s="139"/>
      <c r="R998" s="139"/>
      <c r="S998" s="139"/>
      <c r="T998" s="139"/>
      <c r="U998" s="139"/>
      <c r="V998" s="139"/>
      <c r="W998" s="139"/>
      <c r="X998" s="139"/>
      <c r="Y998" s="139"/>
      <c r="Z998" s="139"/>
      <c r="AA998" s="139"/>
      <c r="AB998" s="139"/>
      <c r="AC998" s="139"/>
      <c r="AD998" s="139"/>
      <c r="AE998" s="139"/>
      <c r="AF998" s="139"/>
      <c r="AG998" s="139"/>
      <c r="AH998" s="139"/>
      <c r="AI998" s="139"/>
      <c r="AJ998" s="139"/>
      <c r="AK998" s="139"/>
      <c r="AL998" s="139"/>
      <c r="AM998" s="139"/>
      <c r="AN998" s="139"/>
      <c r="AO998" s="139"/>
      <c r="AP998" s="139"/>
      <c r="AQ998" s="139"/>
    </row>
    <row r="999" spans="1:43" ht="12.75" customHeight="1">
      <c r="A999" s="139"/>
      <c r="B999" s="139"/>
      <c r="C999" s="139"/>
      <c r="D999" s="139"/>
      <c r="E999" s="139"/>
      <c r="F999" s="139"/>
      <c r="G999" s="139"/>
      <c r="H999" s="139"/>
      <c r="I999" s="139"/>
      <c r="J999" s="139"/>
      <c r="K999" s="139"/>
      <c r="L999" s="139"/>
      <c r="M999" s="139"/>
      <c r="N999" s="139"/>
      <c r="O999" s="139"/>
      <c r="P999" s="139"/>
      <c r="Q999" s="139"/>
      <c r="R999" s="139"/>
      <c r="S999" s="139"/>
      <c r="T999" s="139"/>
      <c r="U999" s="139"/>
      <c r="V999" s="139"/>
      <c r="W999" s="139"/>
      <c r="X999" s="139"/>
      <c r="Y999" s="139"/>
      <c r="Z999" s="139"/>
      <c r="AA999" s="139"/>
      <c r="AB999" s="139"/>
      <c r="AC999" s="139"/>
      <c r="AD999" s="139"/>
      <c r="AE999" s="139"/>
      <c r="AF999" s="139"/>
      <c r="AG999" s="139"/>
      <c r="AH999" s="139"/>
      <c r="AI999" s="139"/>
      <c r="AJ999" s="139"/>
      <c r="AK999" s="139"/>
      <c r="AL999" s="139"/>
      <c r="AM999" s="139"/>
      <c r="AN999" s="139"/>
      <c r="AO999" s="139"/>
      <c r="AP999" s="139"/>
      <c r="AQ999" s="139"/>
    </row>
    <row r="1000" spans="1:43" ht="12.75" customHeight="1">
      <c r="A1000" s="139"/>
      <c r="B1000" s="139"/>
      <c r="C1000" s="139"/>
      <c r="D1000" s="139"/>
      <c r="E1000" s="139"/>
      <c r="F1000" s="139"/>
      <c r="G1000" s="139"/>
      <c r="H1000" s="139"/>
      <c r="I1000" s="139"/>
      <c r="J1000" s="139"/>
      <c r="K1000" s="139"/>
      <c r="L1000" s="139"/>
      <c r="M1000" s="139"/>
      <c r="N1000" s="139"/>
      <c r="O1000" s="139"/>
      <c r="P1000" s="139"/>
      <c r="Q1000" s="139"/>
      <c r="R1000" s="139"/>
      <c r="S1000" s="139"/>
      <c r="T1000" s="139"/>
      <c r="U1000" s="139"/>
      <c r="V1000" s="139"/>
      <c r="W1000" s="139"/>
      <c r="X1000" s="139"/>
      <c r="Y1000" s="139"/>
      <c r="Z1000" s="139"/>
      <c r="AA1000" s="139"/>
      <c r="AB1000" s="139"/>
      <c r="AC1000" s="139"/>
      <c r="AD1000" s="139"/>
      <c r="AE1000" s="139"/>
      <c r="AF1000" s="139"/>
      <c r="AG1000" s="139"/>
      <c r="AH1000" s="139"/>
      <c r="AI1000" s="139"/>
      <c r="AJ1000" s="139"/>
      <c r="AK1000" s="139"/>
      <c r="AL1000" s="139"/>
      <c r="AM1000" s="139"/>
      <c r="AN1000" s="139"/>
      <c r="AO1000" s="139"/>
      <c r="AP1000" s="139"/>
      <c r="AQ1000" s="139"/>
    </row>
  </sheetData>
  <mergeCells count="1">
    <mergeCell ref="B1:W1"/>
  </mergeCells>
  <printOptions horizontalCentered="1"/>
  <pageMargins left="0.43307086614173229" right="0.43307086614173229" top="0.74803149606299213" bottom="0.74803149606299213" header="0" footer="0"/>
  <pageSetup paperSize="9" scale="4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C37" sqref="C37"/>
    </sheetView>
  </sheetViews>
  <sheetFormatPr defaultColWidth="14.42578125" defaultRowHeight="15" customHeight="1"/>
  <cols>
    <col min="1" max="1" width="9.140625" customWidth="1"/>
    <col min="2" max="2" width="34" customWidth="1"/>
    <col min="3" max="5" width="14.140625" customWidth="1"/>
    <col min="6" max="26" width="8.7109375" customWidth="1"/>
  </cols>
  <sheetData>
    <row r="1" spans="1:26" ht="24" customHeight="1">
      <c r="A1" s="312" t="s">
        <v>3681</v>
      </c>
      <c r="B1" s="307"/>
      <c r="C1" s="307"/>
      <c r="D1" s="307"/>
      <c r="E1" s="307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39"/>
      <c r="Y1" s="139"/>
      <c r="Z1" s="2"/>
    </row>
    <row r="2" spans="1:26">
      <c r="A2" s="23"/>
    </row>
    <row r="3" spans="1:26">
      <c r="A3" s="23"/>
      <c r="E3" s="23" t="s">
        <v>56</v>
      </c>
    </row>
    <row r="4" spans="1:26" ht="38.25">
      <c r="A4" s="165" t="s">
        <v>3682</v>
      </c>
      <c r="B4" s="101" t="s">
        <v>3683</v>
      </c>
      <c r="C4" s="101" t="s">
        <v>3684</v>
      </c>
      <c r="D4" s="101" t="s">
        <v>3685</v>
      </c>
      <c r="E4" s="101" t="s">
        <v>3686</v>
      </c>
    </row>
    <row r="5" spans="1:26" ht="28.5" customHeight="1">
      <c r="A5" s="166"/>
      <c r="B5" s="166" t="s">
        <v>3687</v>
      </c>
      <c r="C5" s="167">
        <f t="shared" ref="C5:E5" si="0">+C6+C9+C11+C14+C25+C28+C30</f>
        <v>70275906.968587935</v>
      </c>
      <c r="D5" s="167">
        <f t="shared" si="0"/>
        <v>37332206.299003847</v>
      </c>
      <c r="E5" s="167">
        <f t="shared" si="0"/>
        <v>31961159.2496439</v>
      </c>
    </row>
    <row r="6" spans="1:26">
      <c r="A6" s="168">
        <v>1</v>
      </c>
      <c r="B6" s="108" t="s">
        <v>3688</v>
      </c>
      <c r="C6" s="169">
        <f t="shared" ref="C6:E6" si="1">+C7+C8</f>
        <v>31422072.804011662</v>
      </c>
      <c r="D6" s="169">
        <f t="shared" si="1"/>
        <v>28297805.938993227</v>
      </c>
      <c r="E6" s="169">
        <f t="shared" si="1"/>
        <v>27718987.2496439</v>
      </c>
    </row>
    <row r="7" spans="1:26">
      <c r="A7" s="170">
        <v>11</v>
      </c>
      <c r="B7" s="104" t="s">
        <v>3689</v>
      </c>
      <c r="C7" s="171">
        <f>+'A.2 RASHODI'!E4</f>
        <v>27319151.751917958</v>
      </c>
      <c r="D7" s="171">
        <f>+'A.2 RASHODI'!E21</f>
        <v>27727633.223750014</v>
      </c>
      <c r="E7" s="171">
        <f>+'A.2 RASHODI'!E38</f>
        <v>27718987.2496439</v>
      </c>
    </row>
    <row r="8" spans="1:26">
      <c r="A8" s="170">
        <v>12</v>
      </c>
      <c r="B8" s="104" t="s">
        <v>489</v>
      </c>
      <c r="C8" s="171">
        <f>+'A.2 RASHODI'!F4</f>
        <v>4102921.0520937024</v>
      </c>
      <c r="D8" s="171">
        <f>+'A.2 RASHODI'!F21</f>
        <v>570172.71524321451</v>
      </c>
      <c r="E8" s="171">
        <f>+'A.2 RASHODI'!F38</f>
        <v>0</v>
      </c>
    </row>
    <row r="9" spans="1:26">
      <c r="A9" s="168">
        <v>3</v>
      </c>
      <c r="B9" s="108" t="s">
        <v>3690</v>
      </c>
      <c r="C9" s="169">
        <f t="shared" ref="C9:E9" si="2">+C10</f>
        <v>1996509</v>
      </c>
      <c r="D9" s="169">
        <f t="shared" si="2"/>
        <v>2096337</v>
      </c>
      <c r="E9" s="169">
        <f t="shared" si="2"/>
        <v>2201155</v>
      </c>
    </row>
    <row r="10" spans="1:26">
      <c r="A10" s="170">
        <v>31</v>
      </c>
      <c r="B10" s="104" t="s">
        <v>3691</v>
      </c>
      <c r="C10" s="171">
        <f>+'A.2 RASHODI'!G4</f>
        <v>1996509</v>
      </c>
      <c r="D10" s="171">
        <f>+'A.2 RASHODI'!G21</f>
        <v>2096337</v>
      </c>
      <c r="E10" s="171">
        <f>+'A.2 RASHODI'!G38</f>
        <v>2201155</v>
      </c>
    </row>
    <row r="11" spans="1:26">
      <c r="A11" s="168">
        <v>4</v>
      </c>
      <c r="B11" s="108" t="s">
        <v>3692</v>
      </c>
      <c r="C11" s="169">
        <f t="shared" ref="C11:E11" si="3">+C12+C13</f>
        <v>0</v>
      </c>
      <c r="D11" s="169">
        <f t="shared" si="3"/>
        <v>0</v>
      </c>
      <c r="E11" s="169">
        <f t="shared" si="3"/>
        <v>0</v>
      </c>
    </row>
    <row r="12" spans="1:26">
      <c r="A12" s="170">
        <v>41</v>
      </c>
      <c r="B12" s="104" t="s">
        <v>492</v>
      </c>
      <c r="C12" s="171">
        <f>+'A.2 RASHODI'!H4</f>
        <v>0</v>
      </c>
      <c r="D12" s="171">
        <f>+'A.2 RASHODI'!H21</f>
        <v>0</v>
      </c>
      <c r="E12" s="171">
        <f>+'A.2 RASHODI'!H38</f>
        <v>0</v>
      </c>
    </row>
    <row r="13" spans="1:26">
      <c r="A13" s="170">
        <v>43</v>
      </c>
      <c r="B13" s="104" t="s">
        <v>3693</v>
      </c>
      <c r="C13" s="171">
        <f>+'A.2 RASHODI'!I4</f>
        <v>0</v>
      </c>
      <c r="D13" s="171">
        <f>+'A.2 RASHODI'!I21</f>
        <v>0</v>
      </c>
      <c r="E13" s="171">
        <f>+'A.2 RASHODI'!I38</f>
        <v>0</v>
      </c>
    </row>
    <row r="14" spans="1:26">
      <c r="A14" s="168">
        <v>5</v>
      </c>
      <c r="B14" s="108" t="s">
        <v>3694</v>
      </c>
      <c r="C14" s="169">
        <f t="shared" ref="C14:E14" si="4">SUM(C15:C24)</f>
        <v>36349977.164576277</v>
      </c>
      <c r="D14" s="169">
        <f t="shared" si="4"/>
        <v>6889981.3600106174</v>
      </c>
      <c r="E14" s="169">
        <f t="shared" si="4"/>
        <v>1964892</v>
      </c>
    </row>
    <row r="15" spans="1:26">
      <c r="A15" s="170">
        <v>51</v>
      </c>
      <c r="B15" s="104" t="s">
        <v>3695</v>
      </c>
      <c r="C15" s="171">
        <f>+'A.2 RASHODI'!J4</f>
        <v>1924414</v>
      </c>
      <c r="D15" s="171">
        <f>+'A.2 RASHODI'!J21</f>
        <v>1233195</v>
      </c>
      <c r="E15" s="171">
        <f>+'A.1 PRIHODI'!J36</f>
        <v>969549</v>
      </c>
    </row>
    <row r="16" spans="1:26">
      <c r="A16" s="170">
        <v>52</v>
      </c>
      <c r="B16" s="104" t="s">
        <v>3696</v>
      </c>
      <c r="C16" s="171">
        <f>+'A.2 RASHODI'!K4</f>
        <v>4100596</v>
      </c>
      <c r="D16" s="171">
        <f>+'A.2 RASHODI'!K21</f>
        <v>2108296</v>
      </c>
      <c r="E16" s="171">
        <f>+'A.2 RASHODI'!K38</f>
        <v>995343</v>
      </c>
    </row>
    <row r="17" spans="1:5">
      <c r="A17" s="170">
        <v>552</v>
      </c>
      <c r="B17" s="104" t="s">
        <v>3697</v>
      </c>
      <c r="C17" s="171">
        <f>+'A.2 RASHODI'!L4</f>
        <v>0</v>
      </c>
      <c r="D17" s="171">
        <f>+'A.2 RASHODI'!L21</f>
        <v>0</v>
      </c>
      <c r="E17" s="171">
        <f>+'A.2 RASHODI'!L38</f>
        <v>0</v>
      </c>
    </row>
    <row r="18" spans="1:5">
      <c r="A18" s="170">
        <v>559</v>
      </c>
      <c r="B18" s="104" t="s">
        <v>3698</v>
      </c>
      <c r="C18" s="171">
        <f>+'A.2 RASHODI'!M4</f>
        <v>0</v>
      </c>
      <c r="D18" s="171">
        <f>+'A.2 RASHODI'!M21</f>
        <v>0</v>
      </c>
      <c r="E18" s="171">
        <f>+'A.2 RASHODI'!M38</f>
        <v>0</v>
      </c>
    </row>
    <row r="19" spans="1:5">
      <c r="A19" s="170">
        <v>561</v>
      </c>
      <c r="B19" s="104" t="s">
        <v>509</v>
      </c>
      <c r="C19" s="171">
        <f>+'A.2 RASHODI'!N4</f>
        <v>0</v>
      </c>
      <c r="D19" s="171">
        <f>+'A.2 RASHODI'!N21</f>
        <v>0</v>
      </c>
      <c r="E19" s="171">
        <f>+'A.2 RASHODI'!N38</f>
        <v>0</v>
      </c>
    </row>
    <row r="20" spans="1:5">
      <c r="A20" s="170">
        <v>563</v>
      </c>
      <c r="B20" s="104" t="s">
        <v>523</v>
      </c>
      <c r="C20" s="171">
        <f>+'A.2 RASHODI'!O4</f>
        <v>30100765.164576281</v>
      </c>
      <c r="D20" s="171">
        <f>+'A.2 RASHODI'!O21</f>
        <v>3548490.3600106174</v>
      </c>
      <c r="E20" s="171">
        <f>+'A.2 RASHODI'!O38</f>
        <v>0</v>
      </c>
    </row>
    <row r="21" spans="1:5" ht="25.5">
      <c r="A21" s="170">
        <v>573</v>
      </c>
      <c r="B21" s="104" t="s">
        <v>515</v>
      </c>
      <c r="C21" s="171">
        <f>+'A.2 RASHODI'!P4</f>
        <v>0</v>
      </c>
      <c r="D21" s="171">
        <f>+'A.2 RASHODI'!P21</f>
        <v>0</v>
      </c>
      <c r="E21" s="171">
        <f>+'A.2 RASHODI'!P38</f>
        <v>0</v>
      </c>
    </row>
    <row r="22" spans="1:5" ht="15.75" customHeight="1">
      <c r="A22" s="170">
        <v>575</v>
      </c>
      <c r="B22" s="104" t="s">
        <v>518</v>
      </c>
      <c r="C22" s="171">
        <f>+'A.2 RASHODI'!Q4</f>
        <v>0</v>
      </c>
      <c r="D22" s="171">
        <f>+'A.2 RASHODI'!Q21</f>
        <v>0</v>
      </c>
      <c r="E22" s="171">
        <f>+'A.2 RASHODI'!Q38</f>
        <v>0</v>
      </c>
    </row>
    <row r="23" spans="1:5" ht="15.75" customHeight="1">
      <c r="A23" s="170">
        <v>576</v>
      </c>
      <c r="B23" s="104" t="s">
        <v>1429</v>
      </c>
      <c r="C23" s="171">
        <f>+'A.2 RASHODI'!R4</f>
        <v>224202.00000000015</v>
      </c>
      <c r="D23" s="171">
        <f>+'A.2 RASHODI'!R21</f>
        <v>0</v>
      </c>
      <c r="E23" s="171">
        <f>+'A.2 RASHODI'!R38</f>
        <v>0</v>
      </c>
    </row>
    <row r="24" spans="1:5" ht="15.75" customHeight="1">
      <c r="A24" s="170">
        <v>581</v>
      </c>
      <c r="B24" s="104" t="s">
        <v>522</v>
      </c>
      <c r="C24" s="171">
        <f>+'A.2 RASHODI'!S4</f>
        <v>0</v>
      </c>
      <c r="D24" s="171">
        <f>+'A.2 RASHODI'!S21</f>
        <v>0</v>
      </c>
      <c r="E24" s="171">
        <f>+'A.2 RASHODI'!S38</f>
        <v>0</v>
      </c>
    </row>
    <row r="25" spans="1:5" ht="15.75" customHeight="1">
      <c r="A25" s="168">
        <v>6</v>
      </c>
      <c r="B25" s="108" t="s">
        <v>3699</v>
      </c>
      <c r="C25" s="169">
        <f t="shared" ref="C25:E25" si="5">+C26+C27</f>
        <v>507348</v>
      </c>
      <c r="D25" s="169">
        <f t="shared" si="5"/>
        <v>48082</v>
      </c>
      <c r="E25" s="169">
        <f t="shared" si="5"/>
        <v>76125</v>
      </c>
    </row>
    <row r="26" spans="1:5" ht="15.75" customHeight="1">
      <c r="A26" s="170">
        <v>61</v>
      </c>
      <c r="B26" s="104" t="s">
        <v>576</v>
      </c>
      <c r="C26" s="171">
        <f>+'A.2 RASHODI'!T4</f>
        <v>507348</v>
      </c>
      <c r="D26" s="171">
        <f>+'A.2 RASHODI'!T21</f>
        <v>48082</v>
      </c>
      <c r="E26" s="171">
        <f>+'A.2 RASHODI'!T38</f>
        <v>76125</v>
      </c>
    </row>
    <row r="27" spans="1:5" ht="15.75" customHeight="1">
      <c r="A27" s="170">
        <v>63</v>
      </c>
      <c r="B27" s="104" t="s">
        <v>3700</v>
      </c>
      <c r="C27" s="171">
        <f>+'A.2 RASHODI'!U4</f>
        <v>0</v>
      </c>
      <c r="D27" s="171">
        <f>+'A.2 RASHODI'!U21</f>
        <v>0</v>
      </c>
      <c r="E27" s="171">
        <f>+'A.2 RASHODI'!U38</f>
        <v>0</v>
      </c>
    </row>
    <row r="28" spans="1:5" ht="38.25">
      <c r="A28" s="168">
        <v>7</v>
      </c>
      <c r="B28" s="108" t="s">
        <v>3701</v>
      </c>
      <c r="C28" s="169">
        <f t="shared" ref="C28:E28" si="6">+C29</f>
        <v>0</v>
      </c>
      <c r="D28" s="169">
        <f t="shared" si="6"/>
        <v>0</v>
      </c>
      <c r="E28" s="169">
        <f t="shared" si="6"/>
        <v>0</v>
      </c>
    </row>
    <row r="29" spans="1:5" ht="25.5">
      <c r="A29" s="170">
        <v>71</v>
      </c>
      <c r="B29" s="104" t="s">
        <v>3702</v>
      </c>
      <c r="C29" s="171">
        <f>+'A.2 RASHODI'!V4</f>
        <v>0</v>
      </c>
      <c r="D29" s="171">
        <f>+'A.2 RASHODI'!V21</f>
        <v>0</v>
      </c>
      <c r="E29" s="171">
        <f>+'A.2 RASHODI'!W38</f>
        <v>0</v>
      </c>
    </row>
    <row r="30" spans="1:5" ht="15.75" customHeight="1">
      <c r="A30" s="168">
        <v>8</v>
      </c>
      <c r="B30" s="108" t="s">
        <v>3703</v>
      </c>
      <c r="C30" s="169">
        <f t="shared" ref="C30:E30" si="7">+C31</f>
        <v>0</v>
      </c>
      <c r="D30" s="169">
        <f t="shared" si="7"/>
        <v>0</v>
      </c>
      <c r="E30" s="169">
        <f t="shared" si="7"/>
        <v>0</v>
      </c>
    </row>
    <row r="31" spans="1:5" ht="15.75" customHeight="1">
      <c r="A31" s="170">
        <v>81</v>
      </c>
      <c r="B31" s="104" t="s">
        <v>531</v>
      </c>
      <c r="C31" s="171">
        <f>+'A.2 RASHODI'!W4</f>
        <v>0</v>
      </c>
      <c r="D31" s="171">
        <f>+'A.2 RASHODI'!W21</f>
        <v>0</v>
      </c>
      <c r="E31" s="171">
        <f>+'A.2 RASHODI'!W38</f>
        <v>0</v>
      </c>
    </row>
    <row r="32" spans="1:5" ht="15.75" customHeight="1">
      <c r="A32" s="23"/>
      <c r="B32" s="172"/>
    </row>
    <row r="33" spans="1:2" ht="15.75" customHeight="1">
      <c r="A33" s="23"/>
      <c r="B33" s="172"/>
    </row>
    <row r="34" spans="1:2" ht="15.75" customHeight="1">
      <c r="A34" s="23"/>
      <c r="B34" s="172"/>
    </row>
    <row r="35" spans="1:2" ht="15.75" customHeight="1">
      <c r="A35" s="23"/>
      <c r="B35" s="172"/>
    </row>
    <row r="36" spans="1:2" ht="15.75" customHeight="1">
      <c r="A36" s="23"/>
    </row>
    <row r="37" spans="1:2" ht="15.75" customHeight="1">
      <c r="A37" s="23"/>
    </row>
    <row r="38" spans="1:2" ht="15.75" customHeight="1">
      <c r="A38" s="23"/>
    </row>
    <row r="39" spans="1:2" ht="15.75" customHeight="1">
      <c r="A39" s="23"/>
    </row>
    <row r="40" spans="1:2" ht="15.75" customHeight="1">
      <c r="A40" s="23"/>
    </row>
    <row r="41" spans="1:2" ht="15.75" customHeight="1">
      <c r="A41" s="23"/>
    </row>
    <row r="42" spans="1:2" ht="15.75" customHeight="1">
      <c r="A42" s="23"/>
    </row>
    <row r="43" spans="1:2" ht="15.75" customHeight="1">
      <c r="A43" s="23"/>
    </row>
    <row r="44" spans="1:2" ht="15.75" customHeight="1">
      <c r="A44" s="23"/>
    </row>
    <row r="45" spans="1:2" ht="15.75" customHeight="1">
      <c r="A45" s="23"/>
    </row>
    <row r="46" spans="1:2" ht="15.75" customHeight="1">
      <c r="A46" s="23"/>
    </row>
    <row r="47" spans="1:2" ht="15.75" customHeight="1">
      <c r="A47" s="23"/>
    </row>
    <row r="48" spans="1:2" ht="15.75" customHeight="1">
      <c r="A48" s="23"/>
    </row>
    <row r="49" spans="1:1" ht="15.75" customHeight="1">
      <c r="A49" s="23"/>
    </row>
    <row r="50" spans="1:1" ht="15.75" customHeight="1">
      <c r="A50" s="23"/>
    </row>
    <row r="51" spans="1:1" ht="15.75" customHeight="1">
      <c r="A51" s="23"/>
    </row>
    <row r="52" spans="1:1" ht="15.75" customHeight="1">
      <c r="A52" s="23"/>
    </row>
    <row r="53" spans="1:1" ht="15.75" customHeight="1">
      <c r="A53" s="23"/>
    </row>
    <row r="54" spans="1:1" ht="15.75" customHeight="1">
      <c r="A54" s="23"/>
    </row>
    <row r="55" spans="1:1" ht="15.75" customHeight="1">
      <c r="A55" s="23"/>
    </row>
    <row r="56" spans="1:1" ht="15.75" customHeight="1">
      <c r="A56" s="23"/>
    </row>
    <row r="57" spans="1:1" ht="15.75" customHeight="1">
      <c r="A57" s="23"/>
    </row>
    <row r="58" spans="1:1" ht="15.75" customHeight="1">
      <c r="A58" s="23"/>
    </row>
    <row r="59" spans="1:1" ht="15.75" customHeight="1">
      <c r="A59" s="23"/>
    </row>
    <row r="60" spans="1:1" ht="15.75" customHeight="1">
      <c r="A60" s="23"/>
    </row>
    <row r="61" spans="1:1" ht="15.75" customHeight="1">
      <c r="A61" s="23"/>
    </row>
    <row r="62" spans="1:1" ht="15.75" customHeight="1">
      <c r="A62" s="23"/>
    </row>
    <row r="63" spans="1:1" ht="15.75" customHeight="1">
      <c r="A63" s="23"/>
    </row>
    <row r="64" spans="1:1" ht="15.75" customHeight="1">
      <c r="A64" s="23"/>
    </row>
    <row r="65" spans="1:1" ht="15.75" customHeight="1">
      <c r="A65" s="23"/>
    </row>
    <row r="66" spans="1:1" ht="15.75" customHeight="1">
      <c r="A66" s="23"/>
    </row>
    <row r="67" spans="1:1" ht="15.75" customHeight="1">
      <c r="A67" s="23"/>
    </row>
    <row r="68" spans="1:1" ht="15.75" customHeight="1">
      <c r="A68" s="23"/>
    </row>
    <row r="69" spans="1:1" ht="15.75" customHeight="1">
      <c r="A69" s="23"/>
    </row>
    <row r="70" spans="1:1" ht="15.75" customHeight="1">
      <c r="A70" s="23"/>
    </row>
    <row r="71" spans="1:1" ht="15.75" customHeight="1">
      <c r="A71" s="23"/>
    </row>
    <row r="72" spans="1:1" ht="15.75" customHeight="1">
      <c r="A72" s="23"/>
    </row>
    <row r="73" spans="1:1" ht="15.75" customHeight="1">
      <c r="A73" s="23"/>
    </row>
    <row r="74" spans="1:1" ht="15.75" customHeight="1">
      <c r="A74" s="23"/>
    </row>
    <row r="75" spans="1:1" ht="15.75" customHeight="1">
      <c r="A75" s="23"/>
    </row>
    <row r="76" spans="1:1" ht="15.75" customHeight="1">
      <c r="A76" s="23"/>
    </row>
    <row r="77" spans="1:1" ht="15.75" customHeight="1">
      <c r="A77" s="23"/>
    </row>
    <row r="78" spans="1:1" ht="15.75" customHeight="1">
      <c r="A78" s="23"/>
    </row>
    <row r="79" spans="1:1" ht="15.75" customHeight="1">
      <c r="A79" s="23"/>
    </row>
    <row r="80" spans="1:1" ht="15.75" customHeight="1">
      <c r="A80" s="23"/>
    </row>
    <row r="81" spans="1:1" ht="15.75" customHeight="1">
      <c r="A81" s="23"/>
    </row>
    <row r="82" spans="1:1" ht="15.75" customHeight="1">
      <c r="A82" s="23"/>
    </row>
    <row r="83" spans="1:1" ht="15.75" customHeight="1">
      <c r="A83" s="23"/>
    </row>
    <row r="84" spans="1:1" ht="15.75" customHeight="1">
      <c r="A84" s="23"/>
    </row>
    <row r="85" spans="1:1" ht="15.75" customHeight="1">
      <c r="A85" s="23"/>
    </row>
    <row r="86" spans="1:1" ht="15.75" customHeight="1">
      <c r="A86" s="23"/>
    </row>
    <row r="87" spans="1:1" ht="15.75" customHeight="1">
      <c r="A87" s="23"/>
    </row>
    <row r="88" spans="1:1" ht="15.75" customHeight="1">
      <c r="A88" s="23"/>
    </row>
    <row r="89" spans="1:1" ht="15.75" customHeight="1">
      <c r="A89" s="23"/>
    </row>
    <row r="90" spans="1:1" ht="15.75" customHeight="1">
      <c r="A90" s="23"/>
    </row>
    <row r="91" spans="1:1" ht="15.75" customHeight="1">
      <c r="A91" s="23"/>
    </row>
    <row r="92" spans="1:1" ht="15.75" customHeight="1">
      <c r="A92" s="23"/>
    </row>
    <row r="93" spans="1:1" ht="15.75" customHeight="1">
      <c r="A93" s="23"/>
    </row>
    <row r="94" spans="1:1" ht="15.75" customHeight="1">
      <c r="A94" s="23"/>
    </row>
    <row r="95" spans="1:1" ht="15.75" customHeight="1">
      <c r="A95" s="23"/>
    </row>
    <row r="96" spans="1:1" ht="15.75" customHeight="1">
      <c r="A96" s="23"/>
    </row>
    <row r="97" spans="1:1" ht="15.75" customHeight="1">
      <c r="A97" s="23"/>
    </row>
    <row r="98" spans="1:1" ht="15.75" customHeight="1">
      <c r="A98" s="23"/>
    </row>
    <row r="99" spans="1:1" ht="15.75" customHeight="1">
      <c r="A99" s="23"/>
    </row>
    <row r="100" spans="1:1" ht="15.75" customHeight="1">
      <c r="A100" s="23"/>
    </row>
    <row r="101" spans="1:1" ht="15.75" customHeight="1">
      <c r="A101" s="23"/>
    </row>
    <row r="102" spans="1:1" ht="15.75" customHeight="1">
      <c r="A102" s="23"/>
    </row>
    <row r="103" spans="1:1" ht="15.75" customHeight="1">
      <c r="A103" s="23"/>
    </row>
    <row r="104" spans="1:1" ht="15.75" customHeight="1">
      <c r="A104" s="23"/>
    </row>
    <row r="105" spans="1:1" ht="15.75" customHeight="1">
      <c r="A105" s="23"/>
    </row>
    <row r="106" spans="1:1" ht="15.75" customHeight="1">
      <c r="A106" s="23"/>
    </row>
    <row r="107" spans="1:1" ht="15.75" customHeight="1">
      <c r="A107" s="23"/>
    </row>
    <row r="108" spans="1:1" ht="15.75" customHeight="1">
      <c r="A108" s="23"/>
    </row>
    <row r="109" spans="1:1" ht="15.75" customHeight="1">
      <c r="A109" s="23"/>
    </row>
    <row r="110" spans="1:1" ht="15.75" customHeight="1">
      <c r="A110" s="23"/>
    </row>
    <row r="111" spans="1:1" ht="15.75" customHeight="1">
      <c r="A111" s="23"/>
    </row>
    <row r="112" spans="1:1" ht="15.75" customHeight="1">
      <c r="A112" s="23"/>
    </row>
    <row r="113" spans="1:1" ht="15.75" customHeight="1">
      <c r="A113" s="23"/>
    </row>
    <row r="114" spans="1:1" ht="15.75" customHeight="1">
      <c r="A114" s="23"/>
    </row>
    <row r="115" spans="1:1" ht="15.75" customHeight="1">
      <c r="A115" s="23"/>
    </row>
    <row r="116" spans="1:1" ht="15.75" customHeight="1">
      <c r="A116" s="23"/>
    </row>
    <row r="117" spans="1:1" ht="15.75" customHeight="1">
      <c r="A117" s="23"/>
    </row>
    <row r="118" spans="1:1" ht="15.75" customHeight="1">
      <c r="A118" s="23"/>
    </row>
    <row r="119" spans="1:1" ht="15.75" customHeight="1">
      <c r="A119" s="23"/>
    </row>
    <row r="120" spans="1:1" ht="15.75" customHeight="1">
      <c r="A120" s="23"/>
    </row>
    <row r="121" spans="1:1" ht="15.75" customHeight="1">
      <c r="A121" s="23"/>
    </row>
    <row r="122" spans="1:1" ht="15.75" customHeight="1">
      <c r="A122" s="23"/>
    </row>
    <row r="123" spans="1:1" ht="15.75" customHeight="1">
      <c r="A123" s="23"/>
    </row>
    <row r="124" spans="1:1" ht="15.75" customHeight="1">
      <c r="A124" s="23"/>
    </row>
    <row r="125" spans="1:1" ht="15.75" customHeight="1">
      <c r="A125" s="23"/>
    </row>
    <row r="126" spans="1:1" ht="15.75" customHeight="1">
      <c r="A126" s="23"/>
    </row>
    <row r="127" spans="1:1" ht="15.75" customHeight="1">
      <c r="A127" s="23"/>
    </row>
    <row r="128" spans="1:1" ht="15.75" customHeight="1">
      <c r="A128" s="23"/>
    </row>
    <row r="129" spans="1:1" ht="15.75" customHeight="1">
      <c r="A129" s="23"/>
    </row>
    <row r="130" spans="1:1" ht="15.75" customHeight="1">
      <c r="A130" s="23"/>
    </row>
    <row r="131" spans="1:1" ht="15.75" customHeight="1">
      <c r="A131" s="23"/>
    </row>
    <row r="132" spans="1:1" ht="15.75" customHeight="1">
      <c r="A132" s="23"/>
    </row>
    <row r="133" spans="1:1" ht="15.75" customHeight="1">
      <c r="A133" s="23"/>
    </row>
    <row r="134" spans="1:1" ht="15.75" customHeight="1">
      <c r="A134" s="23"/>
    </row>
    <row r="135" spans="1:1" ht="15.75" customHeight="1">
      <c r="A135" s="23"/>
    </row>
    <row r="136" spans="1:1" ht="15.75" customHeight="1">
      <c r="A136" s="23"/>
    </row>
    <row r="137" spans="1:1" ht="15.75" customHeight="1">
      <c r="A137" s="23"/>
    </row>
    <row r="138" spans="1:1" ht="15.75" customHeight="1">
      <c r="A138" s="23"/>
    </row>
    <row r="139" spans="1:1" ht="15.75" customHeight="1">
      <c r="A139" s="23"/>
    </row>
    <row r="140" spans="1:1" ht="15.75" customHeight="1">
      <c r="A140" s="23"/>
    </row>
    <row r="141" spans="1:1" ht="15.75" customHeight="1">
      <c r="A141" s="23"/>
    </row>
    <row r="142" spans="1:1" ht="15.75" customHeight="1">
      <c r="A142" s="23"/>
    </row>
    <row r="143" spans="1:1" ht="15.75" customHeight="1">
      <c r="A143" s="23"/>
    </row>
    <row r="144" spans="1:1" ht="15.75" customHeight="1">
      <c r="A144" s="23"/>
    </row>
    <row r="145" spans="1:1" ht="15.75" customHeight="1">
      <c r="A145" s="23"/>
    </row>
    <row r="146" spans="1:1" ht="15.75" customHeight="1">
      <c r="A146" s="23"/>
    </row>
    <row r="147" spans="1:1" ht="15.75" customHeight="1">
      <c r="A147" s="23"/>
    </row>
    <row r="148" spans="1:1" ht="15.75" customHeight="1">
      <c r="A148" s="23"/>
    </row>
    <row r="149" spans="1:1" ht="15.75" customHeight="1">
      <c r="A149" s="23"/>
    </row>
    <row r="150" spans="1:1" ht="15.75" customHeight="1">
      <c r="A150" s="23"/>
    </row>
    <row r="151" spans="1:1" ht="15.75" customHeight="1">
      <c r="A151" s="23"/>
    </row>
    <row r="152" spans="1:1" ht="15.75" customHeight="1">
      <c r="A152" s="23"/>
    </row>
    <row r="153" spans="1:1" ht="15.75" customHeight="1">
      <c r="A153" s="23"/>
    </row>
    <row r="154" spans="1:1" ht="15.75" customHeight="1">
      <c r="A154" s="23"/>
    </row>
    <row r="155" spans="1:1" ht="15.75" customHeight="1">
      <c r="A155" s="23"/>
    </row>
    <row r="156" spans="1:1" ht="15.75" customHeight="1">
      <c r="A156" s="23"/>
    </row>
    <row r="157" spans="1:1" ht="15.75" customHeight="1">
      <c r="A157" s="23"/>
    </row>
    <row r="158" spans="1:1" ht="15.75" customHeight="1">
      <c r="A158" s="23"/>
    </row>
    <row r="159" spans="1:1" ht="15.75" customHeight="1">
      <c r="A159" s="23"/>
    </row>
    <row r="160" spans="1:1" ht="15.75" customHeight="1">
      <c r="A160" s="23"/>
    </row>
    <row r="161" spans="1:1" ht="15.75" customHeight="1">
      <c r="A161" s="23"/>
    </row>
    <row r="162" spans="1:1" ht="15.75" customHeight="1">
      <c r="A162" s="23"/>
    </row>
    <row r="163" spans="1:1" ht="15.75" customHeight="1">
      <c r="A163" s="23"/>
    </row>
    <row r="164" spans="1:1" ht="15.75" customHeight="1">
      <c r="A164" s="23"/>
    </row>
    <row r="165" spans="1:1" ht="15.75" customHeight="1">
      <c r="A165" s="23"/>
    </row>
    <row r="166" spans="1:1" ht="15.75" customHeight="1">
      <c r="A166" s="23"/>
    </row>
    <row r="167" spans="1:1" ht="15.75" customHeight="1">
      <c r="A167" s="23"/>
    </row>
    <row r="168" spans="1:1" ht="15.75" customHeight="1">
      <c r="A168" s="23"/>
    </row>
    <row r="169" spans="1:1" ht="15.75" customHeight="1">
      <c r="A169" s="23"/>
    </row>
    <row r="170" spans="1:1" ht="15.75" customHeight="1">
      <c r="A170" s="23"/>
    </row>
    <row r="171" spans="1:1" ht="15.75" customHeight="1">
      <c r="A171" s="23"/>
    </row>
    <row r="172" spans="1:1" ht="15.75" customHeight="1">
      <c r="A172" s="23"/>
    </row>
    <row r="173" spans="1:1" ht="15.75" customHeight="1">
      <c r="A173" s="23"/>
    </row>
    <row r="174" spans="1:1" ht="15.75" customHeight="1">
      <c r="A174" s="23"/>
    </row>
    <row r="175" spans="1:1" ht="15.75" customHeight="1">
      <c r="A175" s="23"/>
    </row>
    <row r="176" spans="1:1" ht="15.75" customHeight="1">
      <c r="A176" s="23"/>
    </row>
    <row r="177" spans="1:1" ht="15.75" customHeight="1">
      <c r="A177" s="23"/>
    </row>
    <row r="178" spans="1:1" ht="15.75" customHeight="1">
      <c r="A178" s="23"/>
    </row>
    <row r="179" spans="1:1" ht="15.75" customHeight="1">
      <c r="A179" s="23"/>
    </row>
    <row r="180" spans="1:1" ht="15.75" customHeight="1">
      <c r="A180" s="23"/>
    </row>
    <row r="181" spans="1:1" ht="15.75" customHeight="1">
      <c r="A181" s="23"/>
    </row>
    <row r="182" spans="1:1" ht="15.75" customHeight="1">
      <c r="A182" s="23"/>
    </row>
    <row r="183" spans="1:1" ht="15.75" customHeight="1">
      <c r="A183" s="23"/>
    </row>
    <row r="184" spans="1:1" ht="15.75" customHeight="1">
      <c r="A184" s="23"/>
    </row>
    <row r="185" spans="1:1" ht="15.75" customHeight="1">
      <c r="A185" s="23"/>
    </row>
    <row r="186" spans="1:1" ht="15.75" customHeight="1">
      <c r="A186" s="23"/>
    </row>
    <row r="187" spans="1:1" ht="15.75" customHeight="1">
      <c r="A187" s="23"/>
    </row>
    <row r="188" spans="1:1" ht="15.75" customHeight="1">
      <c r="A188" s="23"/>
    </row>
    <row r="189" spans="1:1" ht="15.75" customHeight="1">
      <c r="A189" s="23"/>
    </row>
    <row r="190" spans="1:1" ht="15.75" customHeight="1">
      <c r="A190" s="23"/>
    </row>
    <row r="191" spans="1:1" ht="15.75" customHeight="1">
      <c r="A191" s="23"/>
    </row>
    <row r="192" spans="1:1" ht="15.75" customHeight="1">
      <c r="A192" s="23"/>
    </row>
    <row r="193" spans="1:1" ht="15.75" customHeight="1">
      <c r="A193" s="23"/>
    </row>
    <row r="194" spans="1:1" ht="15.75" customHeight="1">
      <c r="A194" s="23"/>
    </row>
    <row r="195" spans="1:1" ht="15.75" customHeight="1">
      <c r="A195" s="23"/>
    </row>
    <row r="196" spans="1:1" ht="15.75" customHeight="1">
      <c r="A196" s="23"/>
    </row>
    <row r="197" spans="1:1" ht="15.75" customHeight="1">
      <c r="A197" s="23"/>
    </row>
    <row r="198" spans="1:1" ht="15.75" customHeight="1">
      <c r="A198" s="23"/>
    </row>
    <row r="199" spans="1:1" ht="15.75" customHeight="1">
      <c r="A199" s="23"/>
    </row>
    <row r="200" spans="1:1" ht="15.75" customHeight="1">
      <c r="A200" s="23"/>
    </row>
    <row r="201" spans="1:1" ht="15.75" customHeight="1">
      <c r="A201" s="23"/>
    </row>
    <row r="202" spans="1:1" ht="15.75" customHeight="1">
      <c r="A202" s="23"/>
    </row>
    <row r="203" spans="1:1" ht="15.75" customHeight="1">
      <c r="A203" s="23"/>
    </row>
    <row r="204" spans="1:1" ht="15.75" customHeight="1">
      <c r="A204" s="23"/>
    </row>
    <row r="205" spans="1:1" ht="15.75" customHeight="1">
      <c r="A205" s="23"/>
    </row>
    <row r="206" spans="1:1" ht="15.75" customHeight="1">
      <c r="A206" s="23"/>
    </row>
    <row r="207" spans="1:1" ht="15.75" customHeight="1">
      <c r="A207" s="23"/>
    </row>
    <row r="208" spans="1:1" ht="15.75" customHeight="1">
      <c r="A208" s="23"/>
    </row>
    <row r="209" spans="1:1" ht="15.75" customHeight="1">
      <c r="A209" s="23"/>
    </row>
    <row r="210" spans="1:1" ht="15.75" customHeight="1">
      <c r="A210" s="23"/>
    </row>
    <row r="211" spans="1:1" ht="15.75" customHeight="1">
      <c r="A211" s="23"/>
    </row>
    <row r="212" spans="1:1" ht="15.75" customHeight="1">
      <c r="A212" s="23"/>
    </row>
    <row r="213" spans="1:1" ht="15.75" customHeight="1">
      <c r="A213" s="23"/>
    </row>
    <row r="214" spans="1:1" ht="15.75" customHeight="1">
      <c r="A214" s="23"/>
    </row>
    <row r="215" spans="1:1" ht="15.75" customHeight="1">
      <c r="A215" s="23"/>
    </row>
    <row r="216" spans="1:1" ht="15.75" customHeight="1">
      <c r="A216" s="23"/>
    </row>
    <row r="217" spans="1:1" ht="15.75" customHeight="1">
      <c r="A217" s="23"/>
    </row>
    <row r="218" spans="1:1" ht="15.75" customHeight="1">
      <c r="A218" s="23"/>
    </row>
    <row r="219" spans="1:1" ht="15.75" customHeight="1">
      <c r="A219" s="23"/>
    </row>
    <row r="220" spans="1:1" ht="15.75" customHeight="1">
      <c r="A220" s="23"/>
    </row>
    <row r="221" spans="1:1" ht="15.75" customHeight="1">
      <c r="A221" s="23"/>
    </row>
    <row r="222" spans="1:1" ht="15.75" customHeight="1">
      <c r="A222" s="23"/>
    </row>
    <row r="223" spans="1:1" ht="15.75" customHeight="1">
      <c r="A223" s="23"/>
    </row>
    <row r="224" spans="1:1" ht="15.75" customHeight="1">
      <c r="A224" s="23"/>
    </row>
    <row r="225" spans="1:1" ht="15.75" customHeight="1">
      <c r="A225" s="23"/>
    </row>
    <row r="226" spans="1:1" ht="15.75" customHeight="1">
      <c r="A226" s="23"/>
    </row>
    <row r="227" spans="1:1" ht="15.75" customHeight="1">
      <c r="A227" s="23"/>
    </row>
    <row r="228" spans="1:1" ht="15.75" customHeight="1">
      <c r="A228" s="23"/>
    </row>
    <row r="229" spans="1:1" ht="15.75" customHeight="1">
      <c r="A229" s="23"/>
    </row>
    <row r="230" spans="1:1" ht="15.75" customHeight="1">
      <c r="A230" s="23"/>
    </row>
    <row r="231" spans="1:1" ht="15.75" customHeight="1">
      <c r="A231" s="23"/>
    </row>
    <row r="232" spans="1:1" ht="15.75" customHeight="1">
      <c r="A232" s="23"/>
    </row>
    <row r="233" spans="1:1" ht="15.75" customHeight="1">
      <c r="A233" s="23"/>
    </row>
    <row r="234" spans="1:1" ht="15.75" customHeight="1">
      <c r="A234" s="23"/>
    </row>
    <row r="235" spans="1:1" ht="15.75" customHeight="1">
      <c r="A235" s="23"/>
    </row>
    <row r="236" spans="1:1" ht="15.75" customHeight="1">
      <c r="A236" s="23"/>
    </row>
    <row r="237" spans="1:1" ht="15.75" customHeight="1">
      <c r="A237" s="23"/>
    </row>
    <row r="238" spans="1:1" ht="15.75" customHeight="1">
      <c r="A238" s="23"/>
    </row>
    <row r="239" spans="1:1" ht="15.75" customHeight="1">
      <c r="A239" s="23"/>
    </row>
    <row r="240" spans="1:1" ht="15.75" customHeight="1">
      <c r="A240" s="23"/>
    </row>
    <row r="241" spans="1:1" ht="15.75" customHeight="1">
      <c r="A241" s="23"/>
    </row>
    <row r="242" spans="1:1" ht="15.75" customHeight="1">
      <c r="A242" s="23"/>
    </row>
    <row r="243" spans="1:1" ht="15.75" customHeight="1">
      <c r="A243" s="23"/>
    </row>
    <row r="244" spans="1:1" ht="15.75" customHeight="1">
      <c r="A244" s="23"/>
    </row>
    <row r="245" spans="1:1" ht="15.75" customHeight="1">
      <c r="A245" s="23"/>
    </row>
    <row r="246" spans="1:1" ht="15.75" customHeight="1">
      <c r="A246" s="23"/>
    </row>
    <row r="247" spans="1:1" ht="15.75" customHeight="1">
      <c r="A247" s="23"/>
    </row>
    <row r="248" spans="1:1" ht="15.75" customHeight="1">
      <c r="A248" s="23"/>
    </row>
    <row r="249" spans="1:1" ht="15.75" customHeight="1">
      <c r="A249" s="23"/>
    </row>
    <row r="250" spans="1:1" ht="15.75" customHeight="1">
      <c r="A250" s="23"/>
    </row>
    <row r="251" spans="1:1" ht="15.75" customHeight="1">
      <c r="A251" s="23"/>
    </row>
    <row r="252" spans="1:1" ht="15.75" customHeight="1">
      <c r="A252" s="23"/>
    </row>
    <row r="253" spans="1:1" ht="15.75" customHeight="1">
      <c r="A253" s="23"/>
    </row>
    <row r="254" spans="1:1" ht="15.75" customHeight="1">
      <c r="A254" s="23"/>
    </row>
    <row r="255" spans="1:1" ht="15.75" customHeight="1">
      <c r="A255" s="23"/>
    </row>
    <row r="256" spans="1:1" ht="15.75" customHeight="1">
      <c r="A256" s="23"/>
    </row>
    <row r="257" spans="1:1" ht="15.75" customHeight="1">
      <c r="A257" s="23"/>
    </row>
    <row r="258" spans="1:1" ht="15.75" customHeight="1">
      <c r="A258" s="23"/>
    </row>
    <row r="259" spans="1:1" ht="15.75" customHeight="1">
      <c r="A259" s="23"/>
    </row>
    <row r="260" spans="1:1" ht="15.75" customHeight="1">
      <c r="A260" s="23"/>
    </row>
    <row r="261" spans="1:1" ht="15.75" customHeight="1">
      <c r="A261" s="23"/>
    </row>
    <row r="262" spans="1:1" ht="15.75" customHeight="1">
      <c r="A262" s="23"/>
    </row>
    <row r="263" spans="1:1" ht="15.75" customHeight="1">
      <c r="A263" s="23"/>
    </row>
    <row r="264" spans="1:1" ht="15.75" customHeight="1">
      <c r="A264" s="23"/>
    </row>
    <row r="265" spans="1:1" ht="15.75" customHeight="1">
      <c r="A265" s="23"/>
    </row>
    <row r="266" spans="1:1" ht="15.75" customHeight="1">
      <c r="A266" s="23"/>
    </row>
    <row r="267" spans="1:1" ht="15.75" customHeight="1">
      <c r="A267" s="23"/>
    </row>
    <row r="268" spans="1:1" ht="15.75" customHeight="1">
      <c r="A268" s="23"/>
    </row>
    <row r="269" spans="1:1" ht="15.75" customHeight="1">
      <c r="A269" s="23"/>
    </row>
    <row r="270" spans="1:1" ht="15.75" customHeight="1">
      <c r="A270" s="23"/>
    </row>
    <row r="271" spans="1:1" ht="15.75" customHeight="1">
      <c r="A271" s="23"/>
    </row>
    <row r="272" spans="1:1" ht="15.75" customHeight="1">
      <c r="A272" s="23"/>
    </row>
    <row r="273" spans="1:1" ht="15.75" customHeight="1">
      <c r="A273" s="23"/>
    </row>
    <row r="274" spans="1:1" ht="15.75" customHeight="1">
      <c r="A274" s="23"/>
    </row>
    <row r="275" spans="1:1" ht="15.75" customHeight="1">
      <c r="A275" s="23"/>
    </row>
    <row r="276" spans="1:1" ht="15.75" customHeight="1">
      <c r="A276" s="23"/>
    </row>
    <row r="277" spans="1:1" ht="15.75" customHeight="1">
      <c r="A277" s="23"/>
    </row>
    <row r="278" spans="1:1" ht="15.75" customHeight="1">
      <c r="A278" s="23"/>
    </row>
    <row r="279" spans="1:1" ht="15.75" customHeight="1">
      <c r="A279" s="23"/>
    </row>
    <row r="280" spans="1:1" ht="15.75" customHeight="1">
      <c r="A280" s="23"/>
    </row>
    <row r="281" spans="1:1" ht="15.75" customHeight="1">
      <c r="A281" s="23"/>
    </row>
    <row r="282" spans="1:1" ht="15.75" customHeight="1">
      <c r="A282" s="23"/>
    </row>
    <row r="283" spans="1:1" ht="15.75" customHeight="1">
      <c r="A283" s="23"/>
    </row>
    <row r="284" spans="1:1" ht="15.75" customHeight="1">
      <c r="A284" s="23"/>
    </row>
    <row r="285" spans="1:1" ht="15.75" customHeight="1">
      <c r="A285" s="23"/>
    </row>
    <row r="286" spans="1:1" ht="15.75" customHeight="1">
      <c r="A286" s="23"/>
    </row>
    <row r="287" spans="1:1" ht="15.75" customHeight="1">
      <c r="A287" s="23"/>
    </row>
    <row r="288" spans="1:1" ht="15.75" customHeight="1">
      <c r="A288" s="23"/>
    </row>
    <row r="289" spans="1:1" ht="15.75" customHeight="1">
      <c r="A289" s="23"/>
    </row>
    <row r="290" spans="1:1" ht="15.75" customHeight="1">
      <c r="A290" s="23"/>
    </row>
    <row r="291" spans="1:1" ht="15.75" customHeight="1">
      <c r="A291" s="23"/>
    </row>
    <row r="292" spans="1:1" ht="15.75" customHeight="1">
      <c r="A292" s="23"/>
    </row>
    <row r="293" spans="1:1" ht="15.75" customHeight="1">
      <c r="A293" s="23"/>
    </row>
    <row r="294" spans="1:1" ht="15.75" customHeight="1">
      <c r="A294" s="23"/>
    </row>
    <row r="295" spans="1:1" ht="15.75" customHeight="1">
      <c r="A295" s="23"/>
    </row>
    <row r="296" spans="1:1" ht="15.75" customHeight="1">
      <c r="A296" s="23"/>
    </row>
    <row r="297" spans="1:1" ht="15.75" customHeight="1">
      <c r="A297" s="23"/>
    </row>
    <row r="298" spans="1:1" ht="15.75" customHeight="1">
      <c r="A298" s="23"/>
    </row>
    <row r="299" spans="1:1" ht="15.75" customHeight="1">
      <c r="A299" s="23"/>
    </row>
    <row r="300" spans="1:1" ht="15.75" customHeight="1">
      <c r="A300" s="23"/>
    </row>
    <row r="301" spans="1:1" ht="15.75" customHeight="1">
      <c r="A301" s="23"/>
    </row>
    <row r="302" spans="1:1" ht="15.75" customHeight="1">
      <c r="A302" s="23"/>
    </row>
    <row r="303" spans="1:1" ht="15.75" customHeight="1">
      <c r="A303" s="23"/>
    </row>
    <row r="304" spans="1:1" ht="15.75" customHeight="1">
      <c r="A304" s="23"/>
    </row>
    <row r="305" spans="1:1" ht="15.75" customHeight="1">
      <c r="A305" s="23"/>
    </row>
    <row r="306" spans="1:1" ht="15.75" customHeight="1">
      <c r="A306" s="23"/>
    </row>
    <row r="307" spans="1:1" ht="15.75" customHeight="1">
      <c r="A307" s="23"/>
    </row>
    <row r="308" spans="1:1" ht="15.75" customHeight="1">
      <c r="A308" s="23"/>
    </row>
    <row r="309" spans="1:1" ht="15.75" customHeight="1">
      <c r="A309" s="23"/>
    </row>
    <row r="310" spans="1:1" ht="15.75" customHeight="1">
      <c r="A310" s="23"/>
    </row>
    <row r="311" spans="1:1" ht="15.75" customHeight="1">
      <c r="A311" s="23"/>
    </row>
    <row r="312" spans="1:1" ht="15.75" customHeight="1">
      <c r="A312" s="23"/>
    </row>
    <row r="313" spans="1:1" ht="15.75" customHeight="1">
      <c r="A313" s="23"/>
    </row>
    <row r="314" spans="1:1" ht="15.75" customHeight="1">
      <c r="A314" s="23"/>
    </row>
    <row r="315" spans="1:1" ht="15.75" customHeight="1">
      <c r="A315" s="23"/>
    </row>
    <row r="316" spans="1:1" ht="15.75" customHeight="1">
      <c r="A316" s="23"/>
    </row>
    <row r="317" spans="1:1" ht="15.75" customHeight="1">
      <c r="A317" s="23"/>
    </row>
    <row r="318" spans="1:1" ht="15.75" customHeight="1">
      <c r="A318" s="23"/>
    </row>
    <row r="319" spans="1:1" ht="15.75" customHeight="1">
      <c r="A319" s="23"/>
    </row>
    <row r="320" spans="1:1" ht="15.75" customHeight="1">
      <c r="A320" s="23"/>
    </row>
    <row r="321" spans="1:1" ht="15.75" customHeight="1">
      <c r="A321" s="23"/>
    </row>
    <row r="322" spans="1:1" ht="15.75" customHeight="1">
      <c r="A322" s="23"/>
    </row>
    <row r="323" spans="1:1" ht="15.75" customHeight="1">
      <c r="A323" s="23"/>
    </row>
    <row r="324" spans="1:1" ht="15.75" customHeight="1">
      <c r="A324" s="23"/>
    </row>
    <row r="325" spans="1:1" ht="15.75" customHeight="1">
      <c r="A325" s="23"/>
    </row>
    <row r="326" spans="1:1" ht="15.75" customHeight="1">
      <c r="A326" s="23"/>
    </row>
    <row r="327" spans="1:1" ht="15.75" customHeight="1">
      <c r="A327" s="23"/>
    </row>
    <row r="328" spans="1:1" ht="15.75" customHeight="1">
      <c r="A328" s="23"/>
    </row>
    <row r="329" spans="1:1" ht="15.75" customHeight="1">
      <c r="A329" s="23"/>
    </row>
    <row r="330" spans="1:1" ht="15.75" customHeight="1">
      <c r="A330" s="23"/>
    </row>
    <row r="331" spans="1:1" ht="15.75" customHeight="1">
      <c r="A331" s="23"/>
    </row>
    <row r="332" spans="1:1" ht="15.75" customHeight="1">
      <c r="A332" s="23"/>
    </row>
    <row r="333" spans="1:1" ht="15.75" customHeight="1">
      <c r="A333" s="23"/>
    </row>
    <row r="334" spans="1:1" ht="15.75" customHeight="1">
      <c r="A334" s="23"/>
    </row>
    <row r="335" spans="1:1" ht="15.75" customHeight="1">
      <c r="A335" s="23"/>
    </row>
    <row r="336" spans="1:1" ht="15.75" customHeight="1">
      <c r="A336" s="23"/>
    </row>
    <row r="337" spans="1:1" ht="15.75" customHeight="1">
      <c r="A337" s="23"/>
    </row>
    <row r="338" spans="1:1" ht="15.75" customHeight="1">
      <c r="A338" s="23"/>
    </row>
    <row r="339" spans="1:1" ht="15.75" customHeight="1">
      <c r="A339" s="23"/>
    </row>
    <row r="340" spans="1:1" ht="15.75" customHeight="1">
      <c r="A340" s="23"/>
    </row>
    <row r="341" spans="1:1" ht="15.75" customHeight="1">
      <c r="A341" s="23"/>
    </row>
    <row r="342" spans="1:1" ht="15.75" customHeight="1">
      <c r="A342" s="23"/>
    </row>
    <row r="343" spans="1:1" ht="15.75" customHeight="1">
      <c r="A343" s="23"/>
    </row>
    <row r="344" spans="1:1" ht="15.75" customHeight="1">
      <c r="A344" s="23"/>
    </row>
    <row r="345" spans="1:1" ht="15.75" customHeight="1">
      <c r="A345" s="23"/>
    </row>
    <row r="346" spans="1:1" ht="15.75" customHeight="1">
      <c r="A346" s="23"/>
    </row>
    <row r="347" spans="1:1" ht="15.75" customHeight="1">
      <c r="A347" s="23"/>
    </row>
    <row r="348" spans="1:1" ht="15.75" customHeight="1">
      <c r="A348" s="23"/>
    </row>
    <row r="349" spans="1:1" ht="15.75" customHeight="1">
      <c r="A349" s="23"/>
    </row>
    <row r="350" spans="1:1" ht="15.75" customHeight="1">
      <c r="A350" s="23"/>
    </row>
    <row r="351" spans="1:1" ht="15.75" customHeight="1">
      <c r="A351" s="23"/>
    </row>
    <row r="352" spans="1:1" ht="15.75" customHeight="1">
      <c r="A352" s="23"/>
    </row>
    <row r="353" spans="1:1" ht="15.75" customHeight="1">
      <c r="A353" s="23"/>
    </row>
    <row r="354" spans="1:1" ht="15.75" customHeight="1">
      <c r="A354" s="23"/>
    </row>
    <row r="355" spans="1:1" ht="15.75" customHeight="1">
      <c r="A355" s="23"/>
    </row>
    <row r="356" spans="1:1" ht="15.75" customHeight="1">
      <c r="A356" s="23"/>
    </row>
    <row r="357" spans="1:1" ht="15.75" customHeight="1">
      <c r="A357" s="23"/>
    </row>
    <row r="358" spans="1:1" ht="15.75" customHeight="1">
      <c r="A358" s="23"/>
    </row>
    <row r="359" spans="1:1" ht="15.75" customHeight="1">
      <c r="A359" s="23"/>
    </row>
    <row r="360" spans="1:1" ht="15.75" customHeight="1">
      <c r="A360" s="23"/>
    </row>
    <row r="361" spans="1:1" ht="15.75" customHeight="1">
      <c r="A361" s="23"/>
    </row>
    <row r="362" spans="1:1" ht="15.75" customHeight="1">
      <c r="A362" s="23"/>
    </row>
    <row r="363" spans="1:1" ht="15.75" customHeight="1">
      <c r="A363" s="23"/>
    </row>
    <row r="364" spans="1:1" ht="15.75" customHeight="1">
      <c r="A364" s="23"/>
    </row>
    <row r="365" spans="1:1" ht="15.75" customHeight="1">
      <c r="A365" s="23"/>
    </row>
    <row r="366" spans="1:1" ht="15.75" customHeight="1">
      <c r="A366" s="23"/>
    </row>
    <row r="367" spans="1:1" ht="15.75" customHeight="1">
      <c r="A367" s="23"/>
    </row>
    <row r="368" spans="1:1" ht="15.75" customHeight="1">
      <c r="A368" s="23"/>
    </row>
    <row r="369" spans="1:1" ht="15.75" customHeight="1">
      <c r="A369" s="23"/>
    </row>
    <row r="370" spans="1:1" ht="15.75" customHeight="1">
      <c r="A370" s="23"/>
    </row>
    <row r="371" spans="1:1" ht="15.75" customHeight="1">
      <c r="A371" s="23"/>
    </row>
    <row r="372" spans="1:1" ht="15.75" customHeight="1">
      <c r="A372" s="23"/>
    </row>
    <row r="373" spans="1:1" ht="15.75" customHeight="1">
      <c r="A373" s="23"/>
    </row>
    <row r="374" spans="1:1" ht="15.75" customHeight="1">
      <c r="A374" s="23"/>
    </row>
    <row r="375" spans="1:1" ht="15.75" customHeight="1">
      <c r="A375" s="23"/>
    </row>
    <row r="376" spans="1:1" ht="15.75" customHeight="1">
      <c r="A376" s="23"/>
    </row>
    <row r="377" spans="1:1" ht="15.75" customHeight="1">
      <c r="A377" s="23"/>
    </row>
    <row r="378" spans="1:1" ht="15.75" customHeight="1">
      <c r="A378" s="23"/>
    </row>
    <row r="379" spans="1:1" ht="15.75" customHeight="1">
      <c r="A379" s="23"/>
    </row>
    <row r="380" spans="1:1" ht="15.75" customHeight="1">
      <c r="A380" s="23"/>
    </row>
    <row r="381" spans="1:1" ht="15.75" customHeight="1">
      <c r="A381" s="23"/>
    </row>
    <row r="382" spans="1:1" ht="15.75" customHeight="1">
      <c r="A382" s="23"/>
    </row>
    <row r="383" spans="1:1" ht="15.75" customHeight="1">
      <c r="A383" s="23"/>
    </row>
    <row r="384" spans="1:1" ht="15.75" customHeight="1">
      <c r="A384" s="23"/>
    </row>
    <row r="385" spans="1:1" ht="15.75" customHeight="1">
      <c r="A385" s="23"/>
    </row>
    <row r="386" spans="1:1" ht="15.75" customHeight="1">
      <c r="A386" s="23"/>
    </row>
    <row r="387" spans="1:1" ht="15.75" customHeight="1">
      <c r="A387" s="23"/>
    </row>
    <row r="388" spans="1:1" ht="15.75" customHeight="1">
      <c r="A388" s="23"/>
    </row>
    <row r="389" spans="1:1" ht="15.75" customHeight="1">
      <c r="A389" s="23"/>
    </row>
    <row r="390" spans="1:1" ht="15.75" customHeight="1">
      <c r="A390" s="23"/>
    </row>
    <row r="391" spans="1:1" ht="15.75" customHeight="1">
      <c r="A391" s="23"/>
    </row>
    <row r="392" spans="1:1" ht="15.75" customHeight="1">
      <c r="A392" s="23"/>
    </row>
    <row r="393" spans="1:1" ht="15.75" customHeight="1">
      <c r="A393" s="23"/>
    </row>
    <row r="394" spans="1:1" ht="15.75" customHeight="1">
      <c r="A394" s="23"/>
    </row>
    <row r="395" spans="1:1" ht="15.75" customHeight="1">
      <c r="A395" s="23"/>
    </row>
    <row r="396" spans="1:1" ht="15.75" customHeight="1">
      <c r="A396" s="23"/>
    </row>
    <row r="397" spans="1:1" ht="15.75" customHeight="1">
      <c r="A397" s="23"/>
    </row>
    <row r="398" spans="1:1" ht="15.75" customHeight="1">
      <c r="A398" s="23"/>
    </row>
    <row r="399" spans="1:1" ht="15.75" customHeight="1">
      <c r="A399" s="23"/>
    </row>
    <row r="400" spans="1:1" ht="15.75" customHeight="1">
      <c r="A400" s="23"/>
    </row>
    <row r="401" spans="1:1" ht="15.75" customHeight="1">
      <c r="A401" s="23"/>
    </row>
    <row r="402" spans="1:1" ht="15.75" customHeight="1">
      <c r="A402" s="23"/>
    </row>
    <row r="403" spans="1:1" ht="15.75" customHeight="1">
      <c r="A403" s="23"/>
    </row>
    <row r="404" spans="1:1" ht="15.75" customHeight="1">
      <c r="A404" s="23"/>
    </row>
    <row r="405" spans="1:1" ht="15.75" customHeight="1">
      <c r="A405" s="23"/>
    </row>
    <row r="406" spans="1:1" ht="15.75" customHeight="1">
      <c r="A406" s="23"/>
    </row>
    <row r="407" spans="1:1" ht="15.75" customHeight="1">
      <c r="A407" s="23"/>
    </row>
    <row r="408" spans="1:1" ht="15.75" customHeight="1">
      <c r="A408" s="23"/>
    </row>
    <row r="409" spans="1:1" ht="15.75" customHeight="1">
      <c r="A409" s="23"/>
    </row>
    <row r="410" spans="1:1" ht="15.75" customHeight="1">
      <c r="A410" s="23"/>
    </row>
    <row r="411" spans="1:1" ht="15.75" customHeight="1">
      <c r="A411" s="23"/>
    </row>
    <row r="412" spans="1:1" ht="15.75" customHeight="1">
      <c r="A412" s="23"/>
    </row>
    <row r="413" spans="1:1" ht="15.75" customHeight="1">
      <c r="A413" s="23"/>
    </row>
    <row r="414" spans="1:1" ht="15.75" customHeight="1">
      <c r="A414" s="23"/>
    </row>
    <row r="415" spans="1:1" ht="15.75" customHeight="1">
      <c r="A415" s="23"/>
    </row>
    <row r="416" spans="1:1" ht="15.75" customHeight="1">
      <c r="A416" s="23"/>
    </row>
    <row r="417" spans="1:1" ht="15.75" customHeight="1">
      <c r="A417" s="23"/>
    </row>
    <row r="418" spans="1:1" ht="15.75" customHeight="1">
      <c r="A418" s="23"/>
    </row>
    <row r="419" spans="1:1" ht="15.75" customHeight="1">
      <c r="A419" s="23"/>
    </row>
    <row r="420" spans="1:1" ht="15.75" customHeight="1">
      <c r="A420" s="23"/>
    </row>
    <row r="421" spans="1:1" ht="15.75" customHeight="1">
      <c r="A421" s="23"/>
    </row>
    <row r="422" spans="1:1" ht="15.75" customHeight="1">
      <c r="A422" s="23"/>
    </row>
    <row r="423" spans="1:1" ht="15.75" customHeight="1">
      <c r="A423" s="23"/>
    </row>
    <row r="424" spans="1:1" ht="15.75" customHeight="1">
      <c r="A424" s="23"/>
    </row>
    <row r="425" spans="1:1" ht="15.75" customHeight="1">
      <c r="A425" s="23"/>
    </row>
    <row r="426" spans="1:1" ht="15.75" customHeight="1">
      <c r="A426" s="23"/>
    </row>
    <row r="427" spans="1:1" ht="15.75" customHeight="1">
      <c r="A427" s="23"/>
    </row>
    <row r="428" spans="1:1" ht="15.75" customHeight="1">
      <c r="A428" s="23"/>
    </row>
    <row r="429" spans="1:1" ht="15.75" customHeight="1">
      <c r="A429" s="23"/>
    </row>
    <row r="430" spans="1:1" ht="15.75" customHeight="1">
      <c r="A430" s="23"/>
    </row>
    <row r="431" spans="1:1" ht="15.75" customHeight="1">
      <c r="A431" s="23"/>
    </row>
    <row r="432" spans="1:1" ht="15.75" customHeight="1">
      <c r="A432" s="23"/>
    </row>
    <row r="433" spans="1:1" ht="15.75" customHeight="1">
      <c r="A433" s="23"/>
    </row>
    <row r="434" spans="1:1" ht="15.75" customHeight="1">
      <c r="A434" s="23"/>
    </row>
    <row r="435" spans="1:1" ht="15.75" customHeight="1">
      <c r="A435" s="23"/>
    </row>
    <row r="436" spans="1:1" ht="15.75" customHeight="1">
      <c r="A436" s="23"/>
    </row>
    <row r="437" spans="1:1" ht="15.75" customHeight="1">
      <c r="A437" s="23"/>
    </row>
    <row r="438" spans="1:1" ht="15.75" customHeight="1">
      <c r="A438" s="23"/>
    </row>
    <row r="439" spans="1:1" ht="15.75" customHeight="1">
      <c r="A439" s="23"/>
    </row>
    <row r="440" spans="1:1" ht="15.75" customHeight="1">
      <c r="A440" s="23"/>
    </row>
    <row r="441" spans="1:1" ht="15.75" customHeight="1">
      <c r="A441" s="23"/>
    </row>
    <row r="442" spans="1:1" ht="15.75" customHeight="1">
      <c r="A442" s="23"/>
    </row>
    <row r="443" spans="1:1" ht="15.75" customHeight="1">
      <c r="A443" s="23"/>
    </row>
    <row r="444" spans="1:1" ht="15.75" customHeight="1">
      <c r="A444" s="23"/>
    </row>
    <row r="445" spans="1:1" ht="15.75" customHeight="1">
      <c r="A445" s="23"/>
    </row>
    <row r="446" spans="1:1" ht="15.75" customHeight="1">
      <c r="A446" s="23"/>
    </row>
    <row r="447" spans="1:1" ht="15.75" customHeight="1">
      <c r="A447" s="23"/>
    </row>
    <row r="448" spans="1:1" ht="15.75" customHeight="1">
      <c r="A448" s="23"/>
    </row>
    <row r="449" spans="1:1" ht="15.75" customHeight="1">
      <c r="A449" s="23"/>
    </row>
    <row r="450" spans="1:1" ht="15.75" customHeight="1">
      <c r="A450" s="23"/>
    </row>
    <row r="451" spans="1:1" ht="15.75" customHeight="1">
      <c r="A451" s="23"/>
    </row>
    <row r="452" spans="1:1" ht="15.75" customHeight="1">
      <c r="A452" s="23"/>
    </row>
    <row r="453" spans="1:1" ht="15.75" customHeight="1">
      <c r="A453" s="23"/>
    </row>
    <row r="454" spans="1:1" ht="15.75" customHeight="1">
      <c r="A454" s="23"/>
    </row>
    <row r="455" spans="1:1" ht="15.75" customHeight="1">
      <c r="A455" s="23"/>
    </row>
    <row r="456" spans="1:1" ht="15.75" customHeight="1">
      <c r="A456" s="23"/>
    </row>
    <row r="457" spans="1:1" ht="15.75" customHeight="1">
      <c r="A457" s="23"/>
    </row>
    <row r="458" spans="1:1" ht="15.75" customHeight="1">
      <c r="A458" s="23"/>
    </row>
    <row r="459" spans="1:1" ht="15.75" customHeight="1">
      <c r="A459" s="23"/>
    </row>
    <row r="460" spans="1:1" ht="15.75" customHeight="1">
      <c r="A460" s="23"/>
    </row>
    <row r="461" spans="1:1" ht="15.75" customHeight="1">
      <c r="A461" s="23"/>
    </row>
    <row r="462" spans="1:1" ht="15.75" customHeight="1">
      <c r="A462" s="23"/>
    </row>
    <row r="463" spans="1:1" ht="15.75" customHeight="1">
      <c r="A463" s="23"/>
    </row>
    <row r="464" spans="1:1" ht="15.75" customHeight="1">
      <c r="A464" s="23"/>
    </row>
    <row r="465" spans="1:1" ht="15.75" customHeight="1">
      <c r="A465" s="23"/>
    </row>
    <row r="466" spans="1:1" ht="15.75" customHeight="1">
      <c r="A466" s="23"/>
    </row>
    <row r="467" spans="1:1" ht="15.75" customHeight="1">
      <c r="A467" s="23"/>
    </row>
    <row r="468" spans="1:1" ht="15.75" customHeight="1">
      <c r="A468" s="23"/>
    </row>
    <row r="469" spans="1:1" ht="15.75" customHeight="1">
      <c r="A469" s="23"/>
    </row>
    <row r="470" spans="1:1" ht="15.75" customHeight="1">
      <c r="A470" s="23"/>
    </row>
    <row r="471" spans="1:1" ht="15.75" customHeight="1">
      <c r="A471" s="23"/>
    </row>
    <row r="472" spans="1:1" ht="15.75" customHeight="1">
      <c r="A472" s="23"/>
    </row>
    <row r="473" spans="1:1" ht="15.75" customHeight="1">
      <c r="A473" s="23"/>
    </row>
    <row r="474" spans="1:1" ht="15.75" customHeight="1">
      <c r="A474" s="23"/>
    </row>
    <row r="475" spans="1:1" ht="15.75" customHeight="1">
      <c r="A475" s="23"/>
    </row>
    <row r="476" spans="1:1" ht="15.75" customHeight="1">
      <c r="A476" s="23"/>
    </row>
    <row r="477" spans="1:1" ht="15.75" customHeight="1">
      <c r="A477" s="23"/>
    </row>
    <row r="478" spans="1:1" ht="15.75" customHeight="1">
      <c r="A478" s="23"/>
    </row>
    <row r="479" spans="1:1" ht="15.75" customHeight="1">
      <c r="A479" s="23"/>
    </row>
    <row r="480" spans="1:1" ht="15.75" customHeight="1">
      <c r="A480" s="23"/>
    </row>
    <row r="481" spans="1:1" ht="15.75" customHeight="1">
      <c r="A481" s="23"/>
    </row>
    <row r="482" spans="1:1" ht="15.75" customHeight="1">
      <c r="A482" s="23"/>
    </row>
    <row r="483" spans="1:1" ht="15.75" customHeight="1">
      <c r="A483" s="23"/>
    </row>
    <row r="484" spans="1:1" ht="15.75" customHeight="1">
      <c r="A484" s="23"/>
    </row>
    <row r="485" spans="1:1" ht="15.75" customHeight="1">
      <c r="A485" s="23"/>
    </row>
    <row r="486" spans="1:1" ht="15.75" customHeight="1">
      <c r="A486" s="23"/>
    </row>
    <row r="487" spans="1:1" ht="15.75" customHeight="1">
      <c r="A487" s="23"/>
    </row>
    <row r="488" spans="1:1" ht="15.75" customHeight="1">
      <c r="A488" s="23"/>
    </row>
    <row r="489" spans="1:1" ht="15.75" customHeight="1">
      <c r="A489" s="23"/>
    </row>
    <row r="490" spans="1:1" ht="15.75" customHeight="1">
      <c r="A490" s="23"/>
    </row>
    <row r="491" spans="1:1" ht="15.75" customHeight="1">
      <c r="A491" s="23"/>
    </row>
    <row r="492" spans="1:1" ht="15.75" customHeight="1">
      <c r="A492" s="23"/>
    </row>
    <row r="493" spans="1:1" ht="15.75" customHeight="1">
      <c r="A493" s="23"/>
    </row>
    <row r="494" spans="1:1" ht="15.75" customHeight="1">
      <c r="A494" s="23"/>
    </row>
    <row r="495" spans="1:1" ht="15.75" customHeight="1">
      <c r="A495" s="23"/>
    </row>
    <row r="496" spans="1:1" ht="15.75" customHeight="1">
      <c r="A496" s="23"/>
    </row>
    <row r="497" spans="1:1" ht="15.75" customHeight="1">
      <c r="A497" s="23"/>
    </row>
    <row r="498" spans="1:1" ht="15.75" customHeight="1">
      <c r="A498" s="23"/>
    </row>
    <row r="499" spans="1:1" ht="15.75" customHeight="1">
      <c r="A499" s="23"/>
    </row>
    <row r="500" spans="1:1" ht="15.75" customHeight="1">
      <c r="A500" s="23"/>
    </row>
    <row r="501" spans="1:1" ht="15.75" customHeight="1">
      <c r="A501" s="23"/>
    </row>
    <row r="502" spans="1:1" ht="15.75" customHeight="1">
      <c r="A502" s="23"/>
    </row>
    <row r="503" spans="1:1" ht="15.75" customHeight="1">
      <c r="A503" s="23"/>
    </row>
    <row r="504" spans="1:1" ht="15.75" customHeight="1">
      <c r="A504" s="23"/>
    </row>
    <row r="505" spans="1:1" ht="15.75" customHeight="1">
      <c r="A505" s="23"/>
    </row>
    <row r="506" spans="1:1" ht="15.75" customHeight="1">
      <c r="A506" s="23"/>
    </row>
    <row r="507" spans="1:1" ht="15.75" customHeight="1">
      <c r="A507" s="23"/>
    </row>
    <row r="508" spans="1:1" ht="15.75" customHeight="1">
      <c r="A508" s="23"/>
    </row>
    <row r="509" spans="1:1" ht="15.75" customHeight="1">
      <c r="A509" s="23"/>
    </row>
    <row r="510" spans="1:1" ht="15.75" customHeight="1">
      <c r="A510" s="23"/>
    </row>
    <row r="511" spans="1:1" ht="15.75" customHeight="1">
      <c r="A511" s="23"/>
    </row>
    <row r="512" spans="1:1" ht="15.75" customHeight="1">
      <c r="A512" s="23"/>
    </row>
    <row r="513" spans="1:1" ht="15.75" customHeight="1">
      <c r="A513" s="23"/>
    </row>
    <row r="514" spans="1:1" ht="15.75" customHeight="1">
      <c r="A514" s="23"/>
    </row>
    <row r="515" spans="1:1" ht="15.75" customHeight="1">
      <c r="A515" s="23"/>
    </row>
    <row r="516" spans="1:1" ht="15.75" customHeight="1">
      <c r="A516" s="23"/>
    </row>
    <row r="517" spans="1:1" ht="15.75" customHeight="1">
      <c r="A517" s="23"/>
    </row>
    <row r="518" spans="1:1" ht="15.75" customHeight="1">
      <c r="A518" s="23"/>
    </row>
    <row r="519" spans="1:1" ht="15.75" customHeight="1">
      <c r="A519" s="23"/>
    </row>
    <row r="520" spans="1:1" ht="15.75" customHeight="1">
      <c r="A520" s="23"/>
    </row>
    <row r="521" spans="1:1" ht="15.75" customHeight="1">
      <c r="A521" s="23"/>
    </row>
    <row r="522" spans="1:1" ht="15.75" customHeight="1">
      <c r="A522" s="23"/>
    </row>
    <row r="523" spans="1:1" ht="15.75" customHeight="1">
      <c r="A523" s="23"/>
    </row>
    <row r="524" spans="1:1" ht="15.75" customHeight="1">
      <c r="A524" s="23"/>
    </row>
    <row r="525" spans="1:1" ht="15.75" customHeight="1">
      <c r="A525" s="23"/>
    </row>
    <row r="526" spans="1:1" ht="15.75" customHeight="1">
      <c r="A526" s="23"/>
    </row>
    <row r="527" spans="1:1" ht="15.75" customHeight="1">
      <c r="A527" s="23"/>
    </row>
    <row r="528" spans="1:1" ht="15.75" customHeight="1">
      <c r="A528" s="23"/>
    </row>
    <row r="529" spans="1:1" ht="15.75" customHeight="1">
      <c r="A529" s="23"/>
    </row>
    <row r="530" spans="1:1" ht="15.75" customHeight="1">
      <c r="A530" s="23"/>
    </row>
    <row r="531" spans="1:1" ht="15.75" customHeight="1">
      <c r="A531" s="23"/>
    </row>
    <row r="532" spans="1:1" ht="15.75" customHeight="1">
      <c r="A532" s="23"/>
    </row>
    <row r="533" spans="1:1" ht="15.75" customHeight="1">
      <c r="A533" s="23"/>
    </row>
    <row r="534" spans="1:1" ht="15.75" customHeight="1">
      <c r="A534" s="23"/>
    </row>
    <row r="535" spans="1:1" ht="15.75" customHeight="1">
      <c r="A535" s="23"/>
    </row>
    <row r="536" spans="1:1" ht="15.75" customHeight="1">
      <c r="A536" s="23"/>
    </row>
    <row r="537" spans="1:1" ht="15.75" customHeight="1">
      <c r="A537" s="23"/>
    </row>
    <row r="538" spans="1:1" ht="15.75" customHeight="1">
      <c r="A538" s="23"/>
    </row>
    <row r="539" spans="1:1" ht="15.75" customHeight="1">
      <c r="A539" s="23"/>
    </row>
    <row r="540" spans="1:1" ht="15.75" customHeight="1">
      <c r="A540" s="23"/>
    </row>
    <row r="541" spans="1:1" ht="15.75" customHeight="1">
      <c r="A541" s="23"/>
    </row>
    <row r="542" spans="1:1" ht="15.75" customHeight="1">
      <c r="A542" s="23"/>
    </row>
    <row r="543" spans="1:1" ht="15.75" customHeight="1">
      <c r="A543" s="23"/>
    </row>
    <row r="544" spans="1:1" ht="15.75" customHeight="1">
      <c r="A544" s="23"/>
    </row>
    <row r="545" spans="1:1" ht="15.75" customHeight="1">
      <c r="A545" s="23"/>
    </row>
    <row r="546" spans="1:1" ht="15.75" customHeight="1">
      <c r="A546" s="23"/>
    </row>
    <row r="547" spans="1:1" ht="15.75" customHeight="1">
      <c r="A547" s="23"/>
    </row>
    <row r="548" spans="1:1" ht="15.75" customHeight="1">
      <c r="A548" s="23"/>
    </row>
    <row r="549" spans="1:1" ht="15.75" customHeight="1">
      <c r="A549" s="23"/>
    </row>
    <row r="550" spans="1:1" ht="15.75" customHeight="1">
      <c r="A550" s="23"/>
    </row>
    <row r="551" spans="1:1" ht="15.75" customHeight="1">
      <c r="A551" s="23"/>
    </row>
    <row r="552" spans="1:1" ht="15.75" customHeight="1">
      <c r="A552" s="23"/>
    </row>
    <row r="553" spans="1:1" ht="15.75" customHeight="1">
      <c r="A553" s="23"/>
    </row>
    <row r="554" spans="1:1" ht="15.75" customHeight="1">
      <c r="A554" s="23"/>
    </row>
    <row r="555" spans="1:1" ht="15.75" customHeight="1">
      <c r="A555" s="23"/>
    </row>
    <row r="556" spans="1:1" ht="15.75" customHeight="1">
      <c r="A556" s="23"/>
    </row>
    <row r="557" spans="1:1" ht="15.75" customHeight="1">
      <c r="A557" s="23"/>
    </row>
    <row r="558" spans="1:1" ht="15.75" customHeight="1">
      <c r="A558" s="23"/>
    </row>
    <row r="559" spans="1:1" ht="15.75" customHeight="1">
      <c r="A559" s="23"/>
    </row>
    <row r="560" spans="1:1" ht="15.75" customHeight="1">
      <c r="A560" s="23"/>
    </row>
    <row r="561" spans="1:1" ht="15.75" customHeight="1">
      <c r="A561" s="23"/>
    </row>
    <row r="562" spans="1:1" ht="15.75" customHeight="1">
      <c r="A562" s="23"/>
    </row>
    <row r="563" spans="1:1" ht="15.75" customHeight="1">
      <c r="A563" s="23"/>
    </row>
    <row r="564" spans="1:1" ht="15.75" customHeight="1">
      <c r="A564" s="23"/>
    </row>
    <row r="565" spans="1:1" ht="15.75" customHeight="1">
      <c r="A565" s="23"/>
    </row>
    <row r="566" spans="1:1" ht="15.75" customHeight="1">
      <c r="A566" s="23"/>
    </row>
    <row r="567" spans="1:1" ht="15.75" customHeight="1">
      <c r="A567" s="23"/>
    </row>
    <row r="568" spans="1:1" ht="15.75" customHeight="1">
      <c r="A568" s="23"/>
    </row>
    <row r="569" spans="1:1" ht="15.75" customHeight="1">
      <c r="A569" s="23"/>
    </row>
    <row r="570" spans="1:1" ht="15.75" customHeight="1">
      <c r="A570" s="23"/>
    </row>
    <row r="571" spans="1:1" ht="15.75" customHeight="1">
      <c r="A571" s="23"/>
    </row>
    <row r="572" spans="1:1" ht="15.75" customHeight="1">
      <c r="A572" s="23"/>
    </row>
    <row r="573" spans="1:1" ht="15.75" customHeight="1">
      <c r="A573" s="23"/>
    </row>
    <row r="574" spans="1:1" ht="15.75" customHeight="1">
      <c r="A574" s="23"/>
    </row>
    <row r="575" spans="1:1" ht="15.75" customHeight="1">
      <c r="A575" s="23"/>
    </row>
    <row r="576" spans="1:1" ht="15.75" customHeight="1">
      <c r="A576" s="23"/>
    </row>
    <row r="577" spans="1:1" ht="15.75" customHeight="1">
      <c r="A577" s="23"/>
    </row>
    <row r="578" spans="1:1" ht="15.75" customHeight="1">
      <c r="A578" s="23"/>
    </row>
    <row r="579" spans="1:1" ht="15.75" customHeight="1">
      <c r="A579" s="23"/>
    </row>
    <row r="580" spans="1:1" ht="15.75" customHeight="1">
      <c r="A580" s="23"/>
    </row>
    <row r="581" spans="1:1" ht="15.75" customHeight="1">
      <c r="A581" s="23"/>
    </row>
    <row r="582" spans="1:1" ht="15.75" customHeight="1">
      <c r="A582" s="23"/>
    </row>
    <row r="583" spans="1:1" ht="15.75" customHeight="1">
      <c r="A583" s="23"/>
    </row>
    <row r="584" spans="1:1" ht="15.75" customHeight="1">
      <c r="A584" s="23"/>
    </row>
    <row r="585" spans="1:1" ht="15.75" customHeight="1">
      <c r="A585" s="23"/>
    </row>
    <row r="586" spans="1:1" ht="15.75" customHeight="1">
      <c r="A586" s="23"/>
    </row>
    <row r="587" spans="1:1" ht="15.75" customHeight="1">
      <c r="A587" s="23"/>
    </row>
    <row r="588" spans="1:1" ht="15.75" customHeight="1">
      <c r="A588" s="23"/>
    </row>
    <row r="589" spans="1:1" ht="15.75" customHeight="1">
      <c r="A589" s="23"/>
    </row>
    <row r="590" spans="1:1" ht="15.75" customHeight="1">
      <c r="A590" s="23"/>
    </row>
    <row r="591" spans="1:1" ht="15.75" customHeight="1">
      <c r="A591" s="23"/>
    </row>
    <row r="592" spans="1:1" ht="15.75" customHeight="1">
      <c r="A592" s="23"/>
    </row>
    <row r="593" spans="1:1" ht="15.75" customHeight="1">
      <c r="A593" s="23"/>
    </row>
    <row r="594" spans="1:1" ht="15.75" customHeight="1">
      <c r="A594" s="23"/>
    </row>
    <row r="595" spans="1:1" ht="15.75" customHeight="1">
      <c r="A595" s="23"/>
    </row>
    <row r="596" spans="1:1" ht="15.75" customHeight="1">
      <c r="A596" s="23"/>
    </row>
    <row r="597" spans="1:1" ht="15.75" customHeight="1">
      <c r="A597" s="23"/>
    </row>
    <row r="598" spans="1:1" ht="15.75" customHeight="1">
      <c r="A598" s="23"/>
    </row>
    <row r="599" spans="1:1" ht="15.75" customHeight="1">
      <c r="A599" s="23"/>
    </row>
    <row r="600" spans="1:1" ht="15.75" customHeight="1">
      <c r="A600" s="23"/>
    </row>
    <row r="601" spans="1:1" ht="15.75" customHeight="1">
      <c r="A601" s="23"/>
    </row>
    <row r="602" spans="1:1" ht="15.75" customHeight="1">
      <c r="A602" s="23"/>
    </row>
    <row r="603" spans="1:1" ht="15.75" customHeight="1">
      <c r="A603" s="23"/>
    </row>
    <row r="604" spans="1:1" ht="15.75" customHeight="1">
      <c r="A604" s="23"/>
    </row>
    <row r="605" spans="1:1" ht="15.75" customHeight="1">
      <c r="A605" s="23"/>
    </row>
    <row r="606" spans="1:1" ht="15.75" customHeight="1">
      <c r="A606" s="23"/>
    </row>
    <row r="607" spans="1:1" ht="15.75" customHeight="1">
      <c r="A607" s="23"/>
    </row>
    <row r="608" spans="1:1" ht="15.75" customHeight="1">
      <c r="A608" s="23"/>
    </row>
    <row r="609" spans="1:1" ht="15.75" customHeight="1">
      <c r="A609" s="23"/>
    </row>
    <row r="610" spans="1:1" ht="15.75" customHeight="1">
      <c r="A610" s="23"/>
    </row>
    <row r="611" spans="1:1" ht="15.75" customHeight="1">
      <c r="A611" s="23"/>
    </row>
    <row r="612" spans="1:1" ht="15.75" customHeight="1">
      <c r="A612" s="23"/>
    </row>
    <row r="613" spans="1:1" ht="15.75" customHeight="1">
      <c r="A613" s="23"/>
    </row>
    <row r="614" spans="1:1" ht="15.75" customHeight="1">
      <c r="A614" s="23"/>
    </row>
    <row r="615" spans="1:1" ht="15.75" customHeight="1">
      <c r="A615" s="23"/>
    </row>
    <row r="616" spans="1:1" ht="15.75" customHeight="1">
      <c r="A616" s="23"/>
    </row>
    <row r="617" spans="1:1" ht="15.75" customHeight="1">
      <c r="A617" s="23"/>
    </row>
    <row r="618" spans="1:1" ht="15.75" customHeight="1">
      <c r="A618" s="23"/>
    </row>
    <row r="619" spans="1:1" ht="15.75" customHeight="1">
      <c r="A619" s="23"/>
    </row>
    <row r="620" spans="1:1" ht="15.75" customHeight="1">
      <c r="A620" s="23"/>
    </row>
    <row r="621" spans="1:1" ht="15.75" customHeight="1">
      <c r="A621" s="23"/>
    </row>
    <row r="622" spans="1:1" ht="15.75" customHeight="1">
      <c r="A622" s="23"/>
    </row>
    <row r="623" spans="1:1" ht="15.75" customHeight="1">
      <c r="A623" s="23"/>
    </row>
    <row r="624" spans="1:1" ht="15.75" customHeight="1">
      <c r="A624" s="23"/>
    </row>
    <row r="625" spans="1:1" ht="15.75" customHeight="1">
      <c r="A625" s="23"/>
    </row>
    <row r="626" spans="1:1" ht="15.75" customHeight="1">
      <c r="A626" s="23"/>
    </row>
    <row r="627" spans="1:1" ht="15.75" customHeight="1">
      <c r="A627" s="23"/>
    </row>
    <row r="628" spans="1:1" ht="15.75" customHeight="1">
      <c r="A628" s="23"/>
    </row>
    <row r="629" spans="1:1" ht="15.75" customHeight="1">
      <c r="A629" s="23"/>
    </row>
    <row r="630" spans="1:1" ht="15.75" customHeight="1">
      <c r="A630" s="23"/>
    </row>
    <row r="631" spans="1:1" ht="15.75" customHeight="1">
      <c r="A631" s="23"/>
    </row>
    <row r="632" spans="1:1" ht="15.75" customHeight="1">
      <c r="A632" s="23"/>
    </row>
    <row r="633" spans="1:1" ht="15.75" customHeight="1">
      <c r="A633" s="23"/>
    </row>
    <row r="634" spans="1:1" ht="15.75" customHeight="1">
      <c r="A634" s="23"/>
    </row>
    <row r="635" spans="1:1" ht="15.75" customHeight="1">
      <c r="A635" s="23"/>
    </row>
    <row r="636" spans="1:1" ht="15.75" customHeight="1">
      <c r="A636" s="23"/>
    </row>
    <row r="637" spans="1:1" ht="15.75" customHeight="1">
      <c r="A637" s="23"/>
    </row>
    <row r="638" spans="1:1" ht="15.75" customHeight="1">
      <c r="A638" s="23"/>
    </row>
    <row r="639" spans="1:1" ht="15.75" customHeight="1">
      <c r="A639" s="23"/>
    </row>
    <row r="640" spans="1:1" ht="15.75" customHeight="1">
      <c r="A640" s="23"/>
    </row>
    <row r="641" spans="1:1" ht="15.75" customHeight="1">
      <c r="A641" s="23"/>
    </row>
    <row r="642" spans="1:1" ht="15.75" customHeight="1">
      <c r="A642" s="23"/>
    </row>
    <row r="643" spans="1:1" ht="15.75" customHeight="1">
      <c r="A643" s="23"/>
    </row>
    <row r="644" spans="1:1" ht="15.75" customHeight="1">
      <c r="A644" s="23"/>
    </row>
    <row r="645" spans="1:1" ht="15.75" customHeight="1">
      <c r="A645" s="23"/>
    </row>
    <row r="646" spans="1:1" ht="15.75" customHeight="1">
      <c r="A646" s="23"/>
    </row>
    <row r="647" spans="1:1" ht="15.75" customHeight="1">
      <c r="A647" s="23"/>
    </row>
    <row r="648" spans="1:1" ht="15.75" customHeight="1">
      <c r="A648" s="23"/>
    </row>
    <row r="649" spans="1:1" ht="15.75" customHeight="1">
      <c r="A649" s="23"/>
    </row>
    <row r="650" spans="1:1" ht="15.75" customHeight="1">
      <c r="A650" s="23"/>
    </row>
    <row r="651" spans="1:1" ht="15.75" customHeight="1">
      <c r="A651" s="23"/>
    </row>
    <row r="652" spans="1:1" ht="15.75" customHeight="1">
      <c r="A652" s="23"/>
    </row>
    <row r="653" spans="1:1" ht="15.75" customHeight="1">
      <c r="A653" s="23"/>
    </row>
    <row r="654" spans="1:1" ht="15.75" customHeight="1">
      <c r="A654" s="23"/>
    </row>
    <row r="655" spans="1:1" ht="15.75" customHeight="1">
      <c r="A655" s="23"/>
    </row>
    <row r="656" spans="1:1" ht="15.75" customHeight="1">
      <c r="A656" s="23"/>
    </row>
    <row r="657" spans="1:1" ht="15.75" customHeight="1">
      <c r="A657" s="23"/>
    </row>
    <row r="658" spans="1:1" ht="15.75" customHeight="1">
      <c r="A658" s="23"/>
    </row>
    <row r="659" spans="1:1" ht="15.75" customHeight="1">
      <c r="A659" s="23"/>
    </row>
    <row r="660" spans="1:1" ht="15.75" customHeight="1">
      <c r="A660" s="23"/>
    </row>
    <row r="661" spans="1:1" ht="15.75" customHeight="1">
      <c r="A661" s="23"/>
    </row>
    <row r="662" spans="1:1" ht="15.75" customHeight="1">
      <c r="A662" s="23"/>
    </row>
    <row r="663" spans="1:1" ht="15.75" customHeight="1">
      <c r="A663" s="23"/>
    </row>
    <row r="664" spans="1:1" ht="15.75" customHeight="1">
      <c r="A664" s="23"/>
    </row>
    <row r="665" spans="1:1" ht="15.75" customHeight="1">
      <c r="A665" s="23"/>
    </row>
    <row r="666" spans="1:1" ht="15.75" customHeight="1">
      <c r="A666" s="23"/>
    </row>
    <row r="667" spans="1:1" ht="15.75" customHeight="1">
      <c r="A667" s="23"/>
    </row>
    <row r="668" spans="1:1" ht="15.75" customHeight="1">
      <c r="A668" s="23"/>
    </row>
    <row r="669" spans="1:1" ht="15.75" customHeight="1">
      <c r="A669" s="23"/>
    </row>
    <row r="670" spans="1:1" ht="15.75" customHeight="1">
      <c r="A670" s="23"/>
    </row>
    <row r="671" spans="1:1" ht="15.75" customHeight="1">
      <c r="A671" s="23"/>
    </row>
    <row r="672" spans="1:1" ht="15.75" customHeight="1">
      <c r="A672" s="23"/>
    </row>
    <row r="673" spans="1:1" ht="15.75" customHeight="1">
      <c r="A673" s="23"/>
    </row>
    <row r="674" spans="1:1" ht="15.75" customHeight="1">
      <c r="A674" s="23"/>
    </row>
    <row r="675" spans="1:1" ht="15.75" customHeight="1">
      <c r="A675" s="23"/>
    </row>
    <row r="676" spans="1:1" ht="15.75" customHeight="1">
      <c r="A676" s="23"/>
    </row>
    <row r="677" spans="1:1" ht="15.75" customHeight="1">
      <c r="A677" s="23"/>
    </row>
    <row r="678" spans="1:1" ht="15.75" customHeight="1">
      <c r="A678" s="23"/>
    </row>
    <row r="679" spans="1:1" ht="15.75" customHeight="1">
      <c r="A679" s="23"/>
    </row>
    <row r="680" spans="1:1" ht="15.75" customHeight="1">
      <c r="A680" s="23"/>
    </row>
    <row r="681" spans="1:1" ht="15.75" customHeight="1">
      <c r="A681" s="23"/>
    </row>
    <row r="682" spans="1:1" ht="15.75" customHeight="1">
      <c r="A682" s="23"/>
    </row>
    <row r="683" spans="1:1" ht="15.75" customHeight="1">
      <c r="A683" s="23"/>
    </row>
    <row r="684" spans="1:1" ht="15.75" customHeight="1">
      <c r="A684" s="23"/>
    </row>
    <row r="685" spans="1:1" ht="15.75" customHeight="1">
      <c r="A685" s="23"/>
    </row>
    <row r="686" spans="1:1" ht="15.75" customHeight="1">
      <c r="A686" s="23"/>
    </row>
    <row r="687" spans="1:1" ht="15.75" customHeight="1">
      <c r="A687" s="23"/>
    </row>
    <row r="688" spans="1:1" ht="15.75" customHeight="1">
      <c r="A688" s="23"/>
    </row>
    <row r="689" spans="1:1" ht="15.75" customHeight="1">
      <c r="A689" s="23"/>
    </row>
    <row r="690" spans="1:1" ht="15.75" customHeight="1">
      <c r="A690" s="23"/>
    </row>
    <row r="691" spans="1:1" ht="15.75" customHeight="1">
      <c r="A691" s="23"/>
    </row>
    <row r="692" spans="1:1" ht="15.75" customHeight="1">
      <c r="A692" s="23"/>
    </row>
    <row r="693" spans="1:1" ht="15.75" customHeight="1">
      <c r="A693" s="23"/>
    </row>
    <row r="694" spans="1:1" ht="15.75" customHeight="1">
      <c r="A694" s="23"/>
    </row>
    <row r="695" spans="1:1" ht="15.75" customHeight="1">
      <c r="A695" s="23"/>
    </row>
    <row r="696" spans="1:1" ht="15.75" customHeight="1">
      <c r="A696" s="23"/>
    </row>
    <row r="697" spans="1:1" ht="15.75" customHeight="1">
      <c r="A697" s="23"/>
    </row>
    <row r="698" spans="1:1" ht="15.75" customHeight="1">
      <c r="A698" s="23"/>
    </row>
    <row r="699" spans="1:1" ht="15.75" customHeight="1">
      <c r="A699" s="23"/>
    </row>
    <row r="700" spans="1:1" ht="15.75" customHeight="1">
      <c r="A700" s="23"/>
    </row>
    <row r="701" spans="1:1" ht="15.75" customHeight="1">
      <c r="A701" s="23"/>
    </row>
    <row r="702" spans="1:1" ht="15.75" customHeight="1">
      <c r="A702" s="23"/>
    </row>
    <row r="703" spans="1:1" ht="15.75" customHeight="1">
      <c r="A703" s="23"/>
    </row>
    <row r="704" spans="1:1" ht="15.75" customHeight="1">
      <c r="A704" s="23"/>
    </row>
    <row r="705" spans="1:1" ht="15.75" customHeight="1">
      <c r="A705" s="23"/>
    </row>
    <row r="706" spans="1:1" ht="15.75" customHeight="1">
      <c r="A706" s="23"/>
    </row>
    <row r="707" spans="1:1" ht="15.75" customHeight="1">
      <c r="A707" s="23"/>
    </row>
    <row r="708" spans="1:1" ht="15.75" customHeight="1">
      <c r="A708" s="23"/>
    </row>
    <row r="709" spans="1:1" ht="15.75" customHeight="1">
      <c r="A709" s="23"/>
    </row>
    <row r="710" spans="1:1" ht="15.75" customHeight="1">
      <c r="A710" s="23"/>
    </row>
    <row r="711" spans="1:1" ht="15.75" customHeight="1">
      <c r="A711" s="23"/>
    </row>
    <row r="712" spans="1:1" ht="15.75" customHeight="1">
      <c r="A712" s="23"/>
    </row>
    <row r="713" spans="1:1" ht="15.75" customHeight="1">
      <c r="A713" s="23"/>
    </row>
    <row r="714" spans="1:1" ht="15.75" customHeight="1">
      <c r="A714" s="23"/>
    </row>
    <row r="715" spans="1:1" ht="15.75" customHeight="1">
      <c r="A715" s="23"/>
    </row>
    <row r="716" spans="1:1" ht="15.75" customHeight="1">
      <c r="A716" s="23"/>
    </row>
    <row r="717" spans="1:1" ht="15.75" customHeight="1">
      <c r="A717" s="23"/>
    </row>
    <row r="718" spans="1:1" ht="15.75" customHeight="1">
      <c r="A718" s="23"/>
    </row>
    <row r="719" spans="1:1" ht="15.75" customHeight="1">
      <c r="A719" s="23"/>
    </row>
    <row r="720" spans="1:1" ht="15.75" customHeight="1">
      <c r="A720" s="23"/>
    </row>
    <row r="721" spans="1:1" ht="15.75" customHeight="1">
      <c r="A721" s="23"/>
    </row>
    <row r="722" spans="1:1" ht="15.75" customHeight="1">
      <c r="A722" s="23"/>
    </row>
    <row r="723" spans="1:1" ht="15.75" customHeight="1">
      <c r="A723" s="23"/>
    </row>
    <row r="724" spans="1:1" ht="15.75" customHeight="1">
      <c r="A724" s="23"/>
    </row>
    <row r="725" spans="1:1" ht="15.75" customHeight="1">
      <c r="A725" s="23"/>
    </row>
    <row r="726" spans="1:1" ht="15.75" customHeight="1">
      <c r="A726" s="23"/>
    </row>
    <row r="727" spans="1:1" ht="15.75" customHeight="1">
      <c r="A727" s="23"/>
    </row>
    <row r="728" spans="1:1" ht="15.75" customHeight="1">
      <c r="A728" s="23"/>
    </row>
    <row r="729" spans="1:1" ht="15.75" customHeight="1">
      <c r="A729" s="23"/>
    </row>
    <row r="730" spans="1:1" ht="15.75" customHeight="1">
      <c r="A730" s="23"/>
    </row>
    <row r="731" spans="1:1" ht="15.75" customHeight="1">
      <c r="A731" s="23"/>
    </row>
    <row r="732" spans="1:1" ht="15.75" customHeight="1">
      <c r="A732" s="23"/>
    </row>
    <row r="733" spans="1:1" ht="15.75" customHeight="1">
      <c r="A733" s="23"/>
    </row>
    <row r="734" spans="1:1" ht="15.75" customHeight="1">
      <c r="A734" s="23"/>
    </row>
    <row r="735" spans="1:1" ht="15.75" customHeight="1">
      <c r="A735" s="23"/>
    </row>
    <row r="736" spans="1:1" ht="15.75" customHeight="1">
      <c r="A736" s="23"/>
    </row>
    <row r="737" spans="1:1" ht="15.75" customHeight="1">
      <c r="A737" s="23"/>
    </row>
    <row r="738" spans="1:1" ht="15.75" customHeight="1">
      <c r="A738" s="23"/>
    </row>
    <row r="739" spans="1:1" ht="15.75" customHeight="1">
      <c r="A739" s="23"/>
    </row>
    <row r="740" spans="1:1" ht="15.75" customHeight="1">
      <c r="A740" s="23"/>
    </row>
    <row r="741" spans="1:1" ht="15.75" customHeight="1">
      <c r="A741" s="23"/>
    </row>
    <row r="742" spans="1:1" ht="15.75" customHeight="1">
      <c r="A742" s="23"/>
    </row>
    <row r="743" spans="1:1" ht="15.75" customHeight="1">
      <c r="A743" s="23"/>
    </row>
    <row r="744" spans="1:1" ht="15.75" customHeight="1">
      <c r="A744" s="23"/>
    </row>
    <row r="745" spans="1:1" ht="15.75" customHeight="1">
      <c r="A745" s="23"/>
    </row>
    <row r="746" spans="1:1" ht="15.75" customHeight="1">
      <c r="A746" s="23"/>
    </row>
    <row r="747" spans="1:1" ht="15.75" customHeight="1">
      <c r="A747" s="23"/>
    </row>
    <row r="748" spans="1:1" ht="15.75" customHeight="1">
      <c r="A748" s="23"/>
    </row>
    <row r="749" spans="1:1" ht="15.75" customHeight="1">
      <c r="A749" s="23"/>
    </row>
    <row r="750" spans="1:1" ht="15.75" customHeight="1">
      <c r="A750" s="23"/>
    </row>
    <row r="751" spans="1:1" ht="15.75" customHeight="1">
      <c r="A751" s="23"/>
    </row>
    <row r="752" spans="1:1" ht="15.75" customHeight="1">
      <c r="A752" s="23"/>
    </row>
    <row r="753" spans="1:1" ht="15.75" customHeight="1">
      <c r="A753" s="23"/>
    </row>
    <row r="754" spans="1:1" ht="15.75" customHeight="1">
      <c r="A754" s="23"/>
    </row>
    <row r="755" spans="1:1" ht="15.75" customHeight="1">
      <c r="A755" s="23"/>
    </row>
    <row r="756" spans="1:1" ht="15.75" customHeight="1">
      <c r="A756" s="23"/>
    </row>
    <row r="757" spans="1:1" ht="15.75" customHeight="1">
      <c r="A757" s="23"/>
    </row>
    <row r="758" spans="1:1" ht="15.75" customHeight="1">
      <c r="A758" s="23"/>
    </row>
    <row r="759" spans="1:1" ht="15.75" customHeight="1">
      <c r="A759" s="23"/>
    </row>
    <row r="760" spans="1:1" ht="15.75" customHeight="1">
      <c r="A760" s="23"/>
    </row>
    <row r="761" spans="1:1" ht="15.75" customHeight="1">
      <c r="A761" s="23"/>
    </row>
    <row r="762" spans="1:1" ht="15.75" customHeight="1">
      <c r="A762" s="23"/>
    </row>
    <row r="763" spans="1:1" ht="15.75" customHeight="1">
      <c r="A763" s="23"/>
    </row>
    <row r="764" spans="1:1" ht="15.75" customHeight="1">
      <c r="A764" s="23"/>
    </row>
    <row r="765" spans="1:1" ht="15.75" customHeight="1">
      <c r="A765" s="23"/>
    </row>
    <row r="766" spans="1:1" ht="15.75" customHeight="1">
      <c r="A766" s="23"/>
    </row>
    <row r="767" spans="1:1" ht="15.75" customHeight="1">
      <c r="A767" s="23"/>
    </row>
    <row r="768" spans="1:1" ht="15.75" customHeight="1">
      <c r="A768" s="23"/>
    </row>
    <row r="769" spans="1:1" ht="15.75" customHeight="1">
      <c r="A769" s="23"/>
    </row>
    <row r="770" spans="1:1" ht="15.75" customHeight="1">
      <c r="A770" s="23"/>
    </row>
    <row r="771" spans="1:1" ht="15.75" customHeight="1">
      <c r="A771" s="23"/>
    </row>
    <row r="772" spans="1:1" ht="15.75" customHeight="1">
      <c r="A772" s="23"/>
    </row>
    <row r="773" spans="1:1" ht="15.75" customHeight="1">
      <c r="A773" s="23"/>
    </row>
    <row r="774" spans="1:1" ht="15.75" customHeight="1">
      <c r="A774" s="23"/>
    </row>
    <row r="775" spans="1:1" ht="15.75" customHeight="1">
      <c r="A775" s="23"/>
    </row>
    <row r="776" spans="1:1" ht="15.75" customHeight="1">
      <c r="A776" s="23"/>
    </row>
    <row r="777" spans="1:1" ht="15.75" customHeight="1">
      <c r="A777" s="23"/>
    </row>
    <row r="778" spans="1:1" ht="15.75" customHeight="1">
      <c r="A778" s="23"/>
    </row>
    <row r="779" spans="1:1" ht="15.75" customHeight="1">
      <c r="A779" s="23"/>
    </row>
    <row r="780" spans="1:1" ht="15.75" customHeight="1">
      <c r="A780" s="23"/>
    </row>
    <row r="781" spans="1:1" ht="15.75" customHeight="1">
      <c r="A781" s="23"/>
    </row>
    <row r="782" spans="1:1" ht="15.75" customHeight="1">
      <c r="A782" s="23"/>
    </row>
    <row r="783" spans="1:1" ht="15.75" customHeight="1">
      <c r="A783" s="23"/>
    </row>
    <row r="784" spans="1:1" ht="15.75" customHeight="1">
      <c r="A784" s="23"/>
    </row>
    <row r="785" spans="1:1" ht="15.75" customHeight="1">
      <c r="A785" s="23"/>
    </row>
    <row r="786" spans="1:1" ht="15.75" customHeight="1">
      <c r="A786" s="23"/>
    </row>
    <row r="787" spans="1:1" ht="15.75" customHeight="1">
      <c r="A787" s="23"/>
    </row>
    <row r="788" spans="1:1" ht="15.75" customHeight="1">
      <c r="A788" s="23"/>
    </row>
    <row r="789" spans="1:1" ht="15.75" customHeight="1">
      <c r="A789" s="23"/>
    </row>
    <row r="790" spans="1:1" ht="15.75" customHeight="1">
      <c r="A790" s="23"/>
    </row>
    <row r="791" spans="1:1" ht="15.75" customHeight="1">
      <c r="A791" s="23"/>
    </row>
    <row r="792" spans="1:1" ht="15.75" customHeight="1">
      <c r="A792" s="23"/>
    </row>
    <row r="793" spans="1:1" ht="15.75" customHeight="1">
      <c r="A793" s="23"/>
    </row>
    <row r="794" spans="1:1" ht="15.75" customHeight="1">
      <c r="A794" s="23"/>
    </row>
    <row r="795" spans="1:1" ht="15.75" customHeight="1">
      <c r="A795" s="23"/>
    </row>
    <row r="796" spans="1:1" ht="15.75" customHeight="1">
      <c r="A796" s="23"/>
    </row>
    <row r="797" spans="1:1" ht="15.75" customHeight="1">
      <c r="A797" s="23"/>
    </row>
    <row r="798" spans="1:1" ht="15.75" customHeight="1">
      <c r="A798" s="23"/>
    </row>
    <row r="799" spans="1:1" ht="15.75" customHeight="1">
      <c r="A799" s="23"/>
    </row>
    <row r="800" spans="1:1" ht="15.75" customHeight="1">
      <c r="A800" s="23"/>
    </row>
    <row r="801" spans="1:1" ht="15.75" customHeight="1">
      <c r="A801" s="23"/>
    </row>
    <row r="802" spans="1:1" ht="15.75" customHeight="1">
      <c r="A802" s="23"/>
    </row>
    <row r="803" spans="1:1" ht="15.75" customHeight="1">
      <c r="A803" s="23"/>
    </row>
    <row r="804" spans="1:1" ht="15.75" customHeight="1">
      <c r="A804" s="23"/>
    </row>
    <row r="805" spans="1:1" ht="15.75" customHeight="1">
      <c r="A805" s="23"/>
    </row>
    <row r="806" spans="1:1" ht="15.75" customHeight="1">
      <c r="A806" s="23"/>
    </row>
    <row r="807" spans="1:1" ht="15.75" customHeight="1">
      <c r="A807" s="23"/>
    </row>
    <row r="808" spans="1:1" ht="15.75" customHeight="1">
      <c r="A808" s="23"/>
    </row>
    <row r="809" spans="1:1" ht="15.75" customHeight="1">
      <c r="A809" s="23"/>
    </row>
    <row r="810" spans="1:1" ht="15.75" customHeight="1">
      <c r="A810" s="23"/>
    </row>
    <row r="811" spans="1:1" ht="15.75" customHeight="1">
      <c r="A811" s="23"/>
    </row>
    <row r="812" spans="1:1" ht="15.75" customHeight="1">
      <c r="A812" s="23"/>
    </row>
    <row r="813" spans="1:1" ht="15.75" customHeight="1">
      <c r="A813" s="23"/>
    </row>
    <row r="814" spans="1:1" ht="15.75" customHeight="1">
      <c r="A814" s="23"/>
    </row>
    <row r="815" spans="1:1" ht="15.75" customHeight="1">
      <c r="A815" s="23"/>
    </row>
    <row r="816" spans="1:1" ht="15.75" customHeight="1">
      <c r="A816" s="23"/>
    </row>
    <row r="817" spans="1:1" ht="15.75" customHeight="1">
      <c r="A817" s="23"/>
    </row>
    <row r="818" spans="1:1" ht="15.75" customHeight="1">
      <c r="A818" s="23"/>
    </row>
    <row r="819" spans="1:1" ht="15.75" customHeight="1">
      <c r="A819" s="23"/>
    </row>
    <row r="820" spans="1:1" ht="15.75" customHeight="1">
      <c r="A820" s="23"/>
    </row>
    <row r="821" spans="1:1" ht="15.75" customHeight="1">
      <c r="A821" s="23"/>
    </row>
    <row r="822" spans="1:1" ht="15.75" customHeight="1">
      <c r="A822" s="23"/>
    </row>
    <row r="823" spans="1:1" ht="15.75" customHeight="1">
      <c r="A823" s="23"/>
    </row>
    <row r="824" spans="1:1" ht="15.75" customHeight="1">
      <c r="A824" s="23"/>
    </row>
    <row r="825" spans="1:1" ht="15.75" customHeight="1">
      <c r="A825" s="23"/>
    </row>
    <row r="826" spans="1:1" ht="15.75" customHeight="1">
      <c r="A826" s="23"/>
    </row>
    <row r="827" spans="1:1" ht="15.75" customHeight="1">
      <c r="A827" s="23"/>
    </row>
    <row r="828" spans="1:1" ht="15.75" customHeight="1">
      <c r="A828" s="23"/>
    </row>
    <row r="829" spans="1:1" ht="15.75" customHeight="1">
      <c r="A829" s="23"/>
    </row>
    <row r="830" spans="1:1" ht="15.75" customHeight="1">
      <c r="A830" s="23"/>
    </row>
    <row r="831" spans="1:1" ht="15.75" customHeight="1">
      <c r="A831" s="23"/>
    </row>
    <row r="832" spans="1:1" ht="15.75" customHeight="1">
      <c r="A832" s="23"/>
    </row>
    <row r="833" spans="1:1" ht="15.75" customHeight="1">
      <c r="A833" s="23"/>
    </row>
    <row r="834" spans="1:1" ht="15.75" customHeight="1">
      <c r="A834" s="23"/>
    </row>
    <row r="835" spans="1:1" ht="15.75" customHeight="1">
      <c r="A835" s="23"/>
    </row>
    <row r="836" spans="1:1" ht="15.75" customHeight="1">
      <c r="A836" s="23"/>
    </row>
    <row r="837" spans="1:1" ht="15.75" customHeight="1">
      <c r="A837" s="23"/>
    </row>
    <row r="838" spans="1:1" ht="15.75" customHeight="1">
      <c r="A838" s="23"/>
    </row>
    <row r="839" spans="1:1" ht="15.75" customHeight="1">
      <c r="A839" s="23"/>
    </row>
    <row r="840" spans="1:1" ht="15.75" customHeight="1">
      <c r="A840" s="23"/>
    </row>
    <row r="841" spans="1:1" ht="15.75" customHeight="1">
      <c r="A841" s="23"/>
    </row>
    <row r="842" spans="1:1" ht="15.75" customHeight="1">
      <c r="A842" s="23"/>
    </row>
    <row r="843" spans="1:1" ht="15.75" customHeight="1">
      <c r="A843" s="23"/>
    </row>
    <row r="844" spans="1:1" ht="15.75" customHeight="1">
      <c r="A844" s="23"/>
    </row>
    <row r="845" spans="1:1" ht="15.75" customHeight="1">
      <c r="A845" s="23"/>
    </row>
    <row r="846" spans="1:1" ht="15.75" customHeight="1">
      <c r="A846" s="23"/>
    </row>
    <row r="847" spans="1:1" ht="15.75" customHeight="1">
      <c r="A847" s="23"/>
    </row>
    <row r="848" spans="1:1" ht="15.75" customHeight="1">
      <c r="A848" s="23"/>
    </row>
    <row r="849" spans="1:1" ht="15.75" customHeight="1">
      <c r="A849" s="23"/>
    </row>
    <row r="850" spans="1:1" ht="15.75" customHeight="1">
      <c r="A850" s="23"/>
    </row>
    <row r="851" spans="1:1" ht="15.75" customHeight="1">
      <c r="A851" s="23"/>
    </row>
    <row r="852" spans="1:1" ht="15.75" customHeight="1">
      <c r="A852" s="23"/>
    </row>
    <row r="853" spans="1:1" ht="15.75" customHeight="1">
      <c r="A853" s="23"/>
    </row>
    <row r="854" spans="1:1" ht="15.75" customHeight="1">
      <c r="A854" s="23"/>
    </row>
    <row r="855" spans="1:1" ht="15.75" customHeight="1">
      <c r="A855" s="23"/>
    </row>
    <row r="856" spans="1:1" ht="15.75" customHeight="1">
      <c r="A856" s="23"/>
    </row>
    <row r="857" spans="1:1" ht="15.75" customHeight="1">
      <c r="A857" s="23"/>
    </row>
    <row r="858" spans="1:1" ht="15.75" customHeight="1">
      <c r="A858" s="23"/>
    </row>
    <row r="859" spans="1:1" ht="15.75" customHeight="1">
      <c r="A859" s="23"/>
    </row>
    <row r="860" spans="1:1" ht="15.75" customHeight="1">
      <c r="A860" s="23"/>
    </row>
    <row r="861" spans="1:1" ht="15.75" customHeight="1">
      <c r="A861" s="23"/>
    </row>
    <row r="862" spans="1:1" ht="15.75" customHeight="1">
      <c r="A862" s="23"/>
    </row>
    <row r="863" spans="1:1" ht="15.75" customHeight="1">
      <c r="A863" s="23"/>
    </row>
    <row r="864" spans="1:1" ht="15.75" customHeight="1">
      <c r="A864" s="23"/>
    </row>
    <row r="865" spans="1:1" ht="15.75" customHeight="1">
      <c r="A865" s="23"/>
    </row>
    <row r="866" spans="1:1" ht="15.75" customHeight="1">
      <c r="A866" s="23"/>
    </row>
    <row r="867" spans="1:1" ht="15.75" customHeight="1">
      <c r="A867" s="23"/>
    </row>
    <row r="868" spans="1:1" ht="15.75" customHeight="1">
      <c r="A868" s="23"/>
    </row>
    <row r="869" spans="1:1" ht="15.75" customHeight="1">
      <c r="A869" s="23"/>
    </row>
    <row r="870" spans="1:1" ht="15.75" customHeight="1">
      <c r="A870" s="23"/>
    </row>
    <row r="871" spans="1:1" ht="15.75" customHeight="1">
      <c r="A871" s="23"/>
    </row>
    <row r="872" spans="1:1" ht="15.75" customHeight="1">
      <c r="A872" s="23"/>
    </row>
    <row r="873" spans="1:1" ht="15.75" customHeight="1">
      <c r="A873" s="23"/>
    </row>
    <row r="874" spans="1:1" ht="15.75" customHeight="1">
      <c r="A874" s="23"/>
    </row>
    <row r="875" spans="1:1" ht="15.75" customHeight="1">
      <c r="A875" s="23"/>
    </row>
    <row r="876" spans="1:1" ht="15.75" customHeight="1">
      <c r="A876" s="23"/>
    </row>
    <row r="877" spans="1:1" ht="15.75" customHeight="1">
      <c r="A877" s="23"/>
    </row>
    <row r="878" spans="1:1" ht="15.75" customHeight="1">
      <c r="A878" s="23"/>
    </row>
    <row r="879" spans="1:1" ht="15.75" customHeight="1">
      <c r="A879" s="23"/>
    </row>
    <row r="880" spans="1:1" ht="15.75" customHeight="1">
      <c r="A880" s="23"/>
    </row>
    <row r="881" spans="1:1" ht="15.75" customHeight="1">
      <c r="A881" s="23"/>
    </row>
    <row r="882" spans="1:1" ht="15.75" customHeight="1">
      <c r="A882" s="23"/>
    </row>
    <row r="883" spans="1:1" ht="15.75" customHeight="1">
      <c r="A883" s="23"/>
    </row>
    <row r="884" spans="1:1" ht="15.75" customHeight="1">
      <c r="A884" s="23"/>
    </row>
    <row r="885" spans="1:1" ht="15.75" customHeight="1">
      <c r="A885" s="23"/>
    </row>
    <row r="886" spans="1:1" ht="15.75" customHeight="1">
      <c r="A886" s="23"/>
    </row>
    <row r="887" spans="1:1" ht="15.75" customHeight="1">
      <c r="A887" s="23"/>
    </row>
    <row r="888" spans="1:1" ht="15.75" customHeight="1">
      <c r="A888" s="23"/>
    </row>
    <row r="889" spans="1:1" ht="15.75" customHeight="1">
      <c r="A889" s="23"/>
    </row>
    <row r="890" spans="1:1" ht="15.75" customHeight="1">
      <c r="A890" s="23"/>
    </row>
    <row r="891" spans="1:1" ht="15.75" customHeight="1">
      <c r="A891" s="23"/>
    </row>
    <row r="892" spans="1:1" ht="15.75" customHeight="1">
      <c r="A892" s="23"/>
    </row>
    <row r="893" spans="1:1" ht="15.75" customHeight="1">
      <c r="A893" s="23"/>
    </row>
    <row r="894" spans="1:1" ht="15.75" customHeight="1">
      <c r="A894" s="23"/>
    </row>
    <row r="895" spans="1:1" ht="15.75" customHeight="1">
      <c r="A895" s="23"/>
    </row>
    <row r="896" spans="1:1" ht="15.75" customHeight="1">
      <c r="A896" s="23"/>
    </row>
    <row r="897" spans="1:1" ht="15.75" customHeight="1">
      <c r="A897" s="23"/>
    </row>
    <row r="898" spans="1:1" ht="15.75" customHeight="1">
      <c r="A898" s="23"/>
    </row>
    <row r="899" spans="1:1" ht="15.75" customHeight="1">
      <c r="A899" s="23"/>
    </row>
    <row r="900" spans="1:1" ht="15.75" customHeight="1">
      <c r="A900" s="23"/>
    </row>
    <row r="901" spans="1:1" ht="15.75" customHeight="1">
      <c r="A901" s="23"/>
    </row>
    <row r="902" spans="1:1" ht="15.75" customHeight="1">
      <c r="A902" s="23"/>
    </row>
    <row r="903" spans="1:1" ht="15.75" customHeight="1">
      <c r="A903" s="23"/>
    </row>
    <row r="904" spans="1:1" ht="15.75" customHeight="1">
      <c r="A904" s="23"/>
    </row>
    <row r="905" spans="1:1" ht="15.75" customHeight="1">
      <c r="A905" s="23"/>
    </row>
    <row r="906" spans="1:1" ht="15.75" customHeight="1">
      <c r="A906" s="23"/>
    </row>
    <row r="907" spans="1:1" ht="15.75" customHeight="1">
      <c r="A907" s="23"/>
    </row>
    <row r="908" spans="1:1" ht="15.75" customHeight="1">
      <c r="A908" s="23"/>
    </row>
    <row r="909" spans="1:1" ht="15.75" customHeight="1">
      <c r="A909" s="23"/>
    </row>
    <row r="910" spans="1:1" ht="15.75" customHeight="1">
      <c r="A910" s="23"/>
    </row>
    <row r="911" spans="1:1" ht="15.75" customHeight="1">
      <c r="A911" s="23"/>
    </row>
    <row r="912" spans="1:1" ht="15.75" customHeight="1">
      <c r="A912" s="23"/>
    </row>
    <row r="913" spans="1:1" ht="15.75" customHeight="1">
      <c r="A913" s="23"/>
    </row>
    <row r="914" spans="1:1" ht="15.75" customHeight="1">
      <c r="A914" s="23"/>
    </row>
    <row r="915" spans="1:1" ht="15.75" customHeight="1">
      <c r="A915" s="23"/>
    </row>
    <row r="916" spans="1:1" ht="15.75" customHeight="1">
      <c r="A916" s="23"/>
    </row>
    <row r="917" spans="1:1" ht="15.75" customHeight="1">
      <c r="A917" s="23"/>
    </row>
    <row r="918" spans="1:1" ht="15.75" customHeight="1">
      <c r="A918" s="23"/>
    </row>
    <row r="919" spans="1:1" ht="15.75" customHeight="1">
      <c r="A919" s="23"/>
    </row>
    <row r="920" spans="1:1" ht="15.75" customHeight="1">
      <c r="A920" s="23"/>
    </row>
    <row r="921" spans="1:1" ht="15.75" customHeight="1">
      <c r="A921" s="23"/>
    </row>
    <row r="922" spans="1:1" ht="15.75" customHeight="1">
      <c r="A922" s="23"/>
    </row>
    <row r="923" spans="1:1" ht="15.75" customHeight="1">
      <c r="A923" s="23"/>
    </row>
    <row r="924" spans="1:1" ht="15.75" customHeight="1">
      <c r="A924" s="23"/>
    </row>
    <row r="925" spans="1:1" ht="15.75" customHeight="1">
      <c r="A925" s="23"/>
    </row>
    <row r="926" spans="1:1" ht="15.75" customHeight="1">
      <c r="A926" s="23"/>
    </row>
    <row r="927" spans="1:1" ht="15.75" customHeight="1">
      <c r="A927" s="23"/>
    </row>
    <row r="928" spans="1:1" ht="15.75" customHeight="1">
      <c r="A928" s="23"/>
    </row>
    <row r="929" spans="1:1" ht="15.75" customHeight="1">
      <c r="A929" s="23"/>
    </row>
    <row r="930" spans="1:1" ht="15.75" customHeight="1">
      <c r="A930" s="23"/>
    </row>
    <row r="931" spans="1:1" ht="15.75" customHeight="1">
      <c r="A931" s="23"/>
    </row>
    <row r="932" spans="1:1" ht="15.75" customHeight="1">
      <c r="A932" s="23"/>
    </row>
    <row r="933" spans="1:1" ht="15.75" customHeight="1">
      <c r="A933" s="23"/>
    </row>
    <row r="934" spans="1:1" ht="15.75" customHeight="1">
      <c r="A934" s="23"/>
    </row>
    <row r="935" spans="1:1" ht="15.75" customHeight="1">
      <c r="A935" s="23"/>
    </row>
    <row r="936" spans="1:1" ht="15.75" customHeight="1">
      <c r="A936" s="23"/>
    </row>
    <row r="937" spans="1:1" ht="15.75" customHeight="1">
      <c r="A937" s="23"/>
    </row>
    <row r="938" spans="1:1" ht="15.75" customHeight="1">
      <c r="A938" s="23"/>
    </row>
    <row r="939" spans="1:1" ht="15.75" customHeight="1">
      <c r="A939" s="23"/>
    </row>
    <row r="940" spans="1:1" ht="15.75" customHeight="1">
      <c r="A940" s="23"/>
    </row>
    <row r="941" spans="1:1" ht="15.75" customHeight="1">
      <c r="A941" s="23"/>
    </row>
    <row r="942" spans="1:1" ht="15.75" customHeight="1">
      <c r="A942" s="23"/>
    </row>
    <row r="943" spans="1:1" ht="15.75" customHeight="1">
      <c r="A943" s="23"/>
    </row>
    <row r="944" spans="1:1" ht="15.75" customHeight="1">
      <c r="A944" s="23"/>
    </row>
    <row r="945" spans="1:1" ht="15.75" customHeight="1">
      <c r="A945" s="23"/>
    </row>
    <row r="946" spans="1:1" ht="15.75" customHeight="1">
      <c r="A946" s="23"/>
    </row>
    <row r="947" spans="1:1" ht="15.75" customHeight="1">
      <c r="A947" s="23"/>
    </row>
    <row r="948" spans="1:1" ht="15.75" customHeight="1">
      <c r="A948" s="23"/>
    </row>
    <row r="949" spans="1:1" ht="15.75" customHeight="1">
      <c r="A949" s="23"/>
    </row>
    <row r="950" spans="1:1" ht="15.75" customHeight="1">
      <c r="A950" s="23"/>
    </row>
    <row r="951" spans="1:1" ht="15.75" customHeight="1">
      <c r="A951" s="23"/>
    </row>
    <row r="952" spans="1:1" ht="15.75" customHeight="1">
      <c r="A952" s="23"/>
    </row>
    <row r="953" spans="1:1" ht="15.75" customHeight="1">
      <c r="A953" s="23"/>
    </row>
    <row r="954" spans="1:1" ht="15.75" customHeight="1">
      <c r="A954" s="23"/>
    </row>
    <row r="955" spans="1:1" ht="15.75" customHeight="1">
      <c r="A955" s="23"/>
    </row>
    <row r="956" spans="1:1" ht="15.75" customHeight="1">
      <c r="A956" s="23"/>
    </row>
    <row r="957" spans="1:1" ht="15.75" customHeight="1">
      <c r="A957" s="23"/>
    </row>
    <row r="958" spans="1:1" ht="15.75" customHeight="1">
      <c r="A958" s="23"/>
    </row>
    <row r="959" spans="1:1" ht="15.75" customHeight="1">
      <c r="A959" s="23"/>
    </row>
    <row r="960" spans="1:1" ht="15.75" customHeight="1">
      <c r="A960" s="23"/>
    </row>
    <row r="961" spans="1:1" ht="15.75" customHeight="1">
      <c r="A961" s="23"/>
    </row>
    <row r="962" spans="1:1" ht="15.75" customHeight="1">
      <c r="A962" s="23"/>
    </row>
    <row r="963" spans="1:1" ht="15.75" customHeight="1">
      <c r="A963" s="23"/>
    </row>
    <row r="964" spans="1:1" ht="15.75" customHeight="1">
      <c r="A964" s="23"/>
    </row>
    <row r="965" spans="1:1" ht="15.75" customHeight="1">
      <c r="A965" s="23"/>
    </row>
    <row r="966" spans="1:1" ht="15.75" customHeight="1">
      <c r="A966" s="23"/>
    </row>
    <row r="967" spans="1:1" ht="15.75" customHeight="1">
      <c r="A967" s="23"/>
    </row>
    <row r="968" spans="1:1" ht="15.75" customHeight="1">
      <c r="A968" s="23"/>
    </row>
    <row r="969" spans="1:1" ht="15.75" customHeight="1">
      <c r="A969" s="23"/>
    </row>
    <row r="970" spans="1:1" ht="15.75" customHeight="1">
      <c r="A970" s="23"/>
    </row>
    <row r="971" spans="1:1" ht="15.75" customHeight="1">
      <c r="A971" s="23"/>
    </row>
    <row r="972" spans="1:1" ht="15.75" customHeight="1">
      <c r="A972" s="23"/>
    </row>
    <row r="973" spans="1:1" ht="15.75" customHeight="1">
      <c r="A973" s="23"/>
    </row>
    <row r="974" spans="1:1" ht="15.75" customHeight="1">
      <c r="A974" s="23"/>
    </row>
    <row r="975" spans="1:1" ht="15.75" customHeight="1">
      <c r="A975" s="23"/>
    </row>
    <row r="976" spans="1:1" ht="15.75" customHeight="1">
      <c r="A976" s="23"/>
    </row>
    <row r="977" spans="1:1" ht="15.75" customHeight="1">
      <c r="A977" s="23"/>
    </row>
    <row r="978" spans="1:1" ht="15.75" customHeight="1">
      <c r="A978" s="23"/>
    </row>
    <row r="979" spans="1:1" ht="15.75" customHeight="1">
      <c r="A979" s="23"/>
    </row>
    <row r="980" spans="1:1" ht="15.75" customHeight="1">
      <c r="A980" s="23"/>
    </row>
    <row r="981" spans="1:1" ht="15.75" customHeight="1">
      <c r="A981" s="23"/>
    </row>
    <row r="982" spans="1:1" ht="15.75" customHeight="1">
      <c r="A982" s="23"/>
    </row>
    <row r="983" spans="1:1" ht="15.75" customHeight="1">
      <c r="A983" s="23"/>
    </row>
    <row r="984" spans="1:1" ht="15.75" customHeight="1">
      <c r="A984" s="23"/>
    </row>
    <row r="985" spans="1:1" ht="15.75" customHeight="1">
      <c r="A985" s="23"/>
    </row>
    <row r="986" spans="1:1" ht="15.75" customHeight="1">
      <c r="A986" s="23"/>
    </row>
    <row r="987" spans="1:1" ht="15.75" customHeight="1">
      <c r="A987" s="23"/>
    </row>
    <row r="988" spans="1:1" ht="15.75" customHeight="1">
      <c r="A988" s="23"/>
    </row>
    <row r="989" spans="1:1" ht="15.75" customHeight="1">
      <c r="A989" s="23"/>
    </row>
    <row r="990" spans="1:1" ht="15.75" customHeight="1">
      <c r="A990" s="23"/>
    </row>
    <row r="991" spans="1:1" ht="15.75" customHeight="1">
      <c r="A991" s="23"/>
    </row>
    <row r="992" spans="1:1" ht="15.75" customHeight="1">
      <c r="A992" s="23"/>
    </row>
    <row r="993" spans="1:1" ht="15.75" customHeight="1">
      <c r="A993" s="23"/>
    </row>
    <row r="994" spans="1:1" ht="15.75" customHeight="1">
      <c r="A994" s="23"/>
    </row>
    <row r="995" spans="1:1" ht="15.75" customHeight="1">
      <c r="A995" s="23"/>
    </row>
    <row r="996" spans="1:1" ht="15.75" customHeight="1">
      <c r="A996" s="23"/>
    </row>
    <row r="997" spans="1:1" ht="15.75" customHeight="1">
      <c r="A997" s="23"/>
    </row>
    <row r="998" spans="1:1" ht="15.75" customHeight="1">
      <c r="A998" s="23"/>
    </row>
    <row r="999" spans="1:1" ht="15.75" customHeight="1">
      <c r="A999" s="23"/>
    </row>
    <row r="1000" spans="1:1" ht="15.75" customHeight="1">
      <c r="A1000" s="23"/>
    </row>
  </sheetData>
  <mergeCells count="1">
    <mergeCell ref="A1:E1"/>
  </mergeCells>
  <pageMargins left="0.70866141732283472" right="0.70866141732283472" top="0.35433070866141736" bottom="0.35433070866141736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I63" sqref="I63"/>
    </sheetView>
  </sheetViews>
  <sheetFormatPr defaultColWidth="14.42578125" defaultRowHeight="15" customHeight="1"/>
  <cols>
    <col min="1" max="1" width="9.28515625" customWidth="1"/>
    <col min="2" max="2" width="69" customWidth="1"/>
    <col min="3" max="5" width="15.85546875" customWidth="1"/>
    <col min="6" max="26" width="8.7109375" customWidth="1"/>
  </cols>
  <sheetData>
    <row r="1" spans="1:26" ht="24" customHeight="1">
      <c r="A1" s="312" t="s">
        <v>3704</v>
      </c>
      <c r="B1" s="307"/>
      <c r="C1" s="307"/>
      <c r="D1" s="307"/>
      <c r="E1" s="307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39"/>
      <c r="Y1" s="139"/>
      <c r="Z1" s="2"/>
    </row>
    <row r="2" spans="1:26">
      <c r="A2" s="173"/>
      <c r="B2" s="172"/>
      <c r="E2" s="23" t="s">
        <v>56</v>
      </c>
    </row>
    <row r="3" spans="1:26" ht="25.5">
      <c r="A3" s="101" t="s">
        <v>3682</v>
      </c>
      <c r="B3" s="101" t="s">
        <v>3705</v>
      </c>
      <c r="C3" s="101" t="s">
        <v>3684</v>
      </c>
      <c r="D3" s="101" t="s">
        <v>3685</v>
      </c>
      <c r="E3" s="101" t="s">
        <v>3686</v>
      </c>
    </row>
    <row r="4" spans="1:26">
      <c r="A4" s="174"/>
      <c r="B4" s="166" t="s">
        <v>3687</v>
      </c>
      <c r="C4" s="144">
        <f t="shared" ref="C4:E4" si="0">+C5+C14+C20+C27+C37+C44+C51+C58+C65+C74</f>
        <v>70275906.939513892</v>
      </c>
      <c r="D4" s="144">
        <f t="shared" si="0"/>
        <v>37332206.299003847</v>
      </c>
      <c r="E4" s="144">
        <f t="shared" si="0"/>
        <v>31961159.2496439</v>
      </c>
    </row>
    <row r="5" spans="1:26">
      <c r="A5" s="175">
        <v>1</v>
      </c>
      <c r="B5" s="108" t="s">
        <v>3706</v>
      </c>
      <c r="C5" s="169">
        <f t="shared" ref="C5:E5" si="1">SUM(C6:C13)</f>
        <v>70275906.939513892</v>
      </c>
      <c r="D5" s="169">
        <f t="shared" si="1"/>
        <v>37332206.299003847</v>
      </c>
      <c r="E5" s="169">
        <f t="shared" si="1"/>
        <v>31961159.2496439</v>
      </c>
    </row>
    <row r="6" spans="1:26">
      <c r="A6" s="176">
        <v>11</v>
      </c>
      <c r="B6" s="104" t="s">
        <v>3707</v>
      </c>
      <c r="C6" s="171">
        <f>SUMIF('Unos rashoda i izdataka'!$R$3:$R$506,'A.4 RASHODI FUNK'!$A6,'Unos rashoda i izdataka'!$J$3:$J$506)+SUMIF('Unos rashoda P4'!$T$3:$T$501,'A.4 RASHODI FUNK'!$A6,'Unos rashoda P4'!$H$3:$H$501)</f>
        <v>0</v>
      </c>
      <c r="D6" s="171">
        <f>SUMIF('Unos rashoda i izdataka'!$R$3:$R$506,'A.4 RASHODI FUNK'!$A6,'Unos rashoda i izdataka'!$K$3:$K$506)+SUMIF('Unos rashoda P4'!$T$3:$T$501,'A.4 RASHODI FUNK'!$A6,'Unos rashoda P4'!$I$3:$I$501)</f>
        <v>0</v>
      </c>
      <c r="E6" s="171">
        <f>SUMIF('Unos rashoda i izdataka'!$R$3:$R$506,'A.4 RASHODI FUNK'!$A6,'Unos rashoda i izdataka'!$L$3:$L$506)+SUMIF('Unos rashoda P4'!$T$3:$T$501,'A.4 RASHODI FUNK'!$A6,'Unos rashoda P4'!$J$3:$J$501)</f>
        <v>0</v>
      </c>
    </row>
    <row r="7" spans="1:26">
      <c r="A7" s="176">
        <v>12</v>
      </c>
      <c r="B7" s="104" t="s">
        <v>3708</v>
      </c>
      <c r="C7" s="171">
        <f>SUMIF('Unos rashoda i izdataka'!$R$3:$R$506,'A.4 RASHODI FUNK'!$A7,'Unos rashoda i izdataka'!$J$3:$J$506)+SUMIF('Unos rashoda P4'!$T$3:$T$501,'A.4 RASHODI FUNK'!$A7,'Unos rashoda P4'!$H$3:$H$501)</f>
        <v>0</v>
      </c>
      <c r="D7" s="171">
        <f>SUMIF('Unos rashoda i izdataka'!$R$3:$R$506,'A.4 RASHODI FUNK'!$A7,'Unos rashoda i izdataka'!$K$3:$K$506)+SUMIF('Unos rashoda P4'!$T$3:$T$501,'A.4 RASHODI FUNK'!$A7,'Unos rashoda P4'!$I$3:$I$501)</f>
        <v>0</v>
      </c>
      <c r="E7" s="171">
        <f>SUMIF('Unos rashoda i izdataka'!$R$3:$R$506,'A.4 RASHODI FUNK'!$A7,'Unos rashoda i izdataka'!$L$3:$L$506)+SUMIF('Unos rashoda P4'!$T$3:$T$501,'A.4 RASHODI FUNK'!$A7,'Unos rashoda P4'!$J$3:$J$501)</f>
        <v>0</v>
      </c>
    </row>
    <row r="8" spans="1:26">
      <c r="A8" s="176">
        <v>13</v>
      </c>
      <c r="B8" s="104" t="s">
        <v>3709</v>
      </c>
      <c r="C8" s="171">
        <f>SUMIF('Unos rashoda i izdataka'!$R$3:$R$506,'A.4 RASHODI FUNK'!$A8,'Unos rashoda i izdataka'!$J$3:$J$506)+SUMIF('Unos rashoda P4'!$T$3:$T$501,'A.4 RASHODI FUNK'!$A8,'Unos rashoda P4'!$H$3:$H$501)</f>
        <v>0</v>
      </c>
      <c r="D8" s="171">
        <f>SUMIF('Unos rashoda i izdataka'!$R$3:$R$506,'A.4 RASHODI FUNK'!$A8,'Unos rashoda i izdataka'!$K$3:$K$506)+SUMIF('Unos rashoda P4'!$T$3:$T$501,'A.4 RASHODI FUNK'!$A8,'Unos rashoda P4'!$I$3:$I$501)</f>
        <v>0</v>
      </c>
      <c r="E8" s="171">
        <f>SUMIF('Unos rashoda i izdataka'!$R$3:$R$506,'A.4 RASHODI FUNK'!$A8,'Unos rashoda i izdataka'!$L$3:$L$506)+SUMIF('Unos rashoda P4'!$T$3:$T$501,'A.4 RASHODI FUNK'!$A8,'Unos rashoda P4'!$J$3:$J$501)</f>
        <v>0</v>
      </c>
    </row>
    <row r="9" spans="1:26">
      <c r="A9" s="176">
        <v>14</v>
      </c>
      <c r="B9" s="104" t="s">
        <v>3710</v>
      </c>
      <c r="C9" s="171">
        <f>SUMIF('Unos rashoda i izdataka'!$R$3:$R$506,'A.4 RASHODI FUNK'!$A9,'Unos rashoda i izdataka'!$J$3:$J$506)+SUMIF('Unos rashoda P4'!$T$3:$T$501,'A.4 RASHODI FUNK'!$A9,'Unos rashoda P4'!$H$3:$H$501)</f>
        <v>0</v>
      </c>
      <c r="D9" s="171">
        <f>SUMIF('Unos rashoda i izdataka'!$R$3:$R$506,'A.4 RASHODI FUNK'!$A9,'Unos rashoda i izdataka'!$K$3:$K$506)+SUMIF('Unos rashoda P4'!$T$3:$T$501,'A.4 RASHODI FUNK'!$A9,'Unos rashoda P4'!$I$3:$I$501)</f>
        <v>0</v>
      </c>
      <c r="E9" s="171">
        <f>SUMIF('Unos rashoda i izdataka'!$R$3:$R$506,'A.4 RASHODI FUNK'!$A9,'Unos rashoda i izdataka'!$L$3:$L$506)+SUMIF('Unos rashoda P4'!$T$3:$T$501,'A.4 RASHODI FUNK'!$A9,'Unos rashoda P4'!$J$3:$J$501)</f>
        <v>0</v>
      </c>
    </row>
    <row r="10" spans="1:26">
      <c r="A10" s="176">
        <v>15</v>
      </c>
      <c r="B10" s="104" t="s">
        <v>642</v>
      </c>
      <c r="C10" s="171">
        <v>70275906.939513892</v>
      </c>
      <c r="D10" s="171">
        <f>SUMIF('Unos rashoda i izdataka'!$R$3:$R$506,'A.4 RASHODI FUNK'!$A10,'Unos rashoda i izdataka'!$K$3:$K$506)+SUMIF('Unos rashoda P4'!$T$3:$T$501,'A.4 RASHODI FUNK'!$A10,'Unos rashoda P4'!$I$3:$I$501)</f>
        <v>37332206.299003847</v>
      </c>
      <c r="E10" s="171">
        <f>SUMIF('Unos rashoda i izdataka'!$R$3:$R$506,'A.4 RASHODI FUNK'!$A10,'Unos rashoda i izdataka'!$L$3:$L$506)+SUMIF('Unos rashoda P4'!$T$3:$T$501,'A.4 RASHODI FUNK'!$A10,'Unos rashoda P4'!$J$3:$J$501)</f>
        <v>31961159.2496439</v>
      </c>
    </row>
    <row r="11" spans="1:26">
      <c r="A11" s="176">
        <v>16</v>
      </c>
      <c r="B11" s="104" t="s">
        <v>3711</v>
      </c>
      <c r="C11" s="171">
        <f>SUMIF('Unos rashoda i izdataka'!$R$3:$R$506,'A.4 RASHODI FUNK'!$A11,'Unos rashoda i izdataka'!$J$3:$J$506)+SUMIF('Unos rashoda P4'!$T$3:$T$501,'A.4 RASHODI FUNK'!$A11,'Unos rashoda P4'!$H$3:$H$501)</f>
        <v>0</v>
      </c>
      <c r="D11" s="171">
        <f>SUMIF('Unos rashoda i izdataka'!$R$3:$R$506,'A.4 RASHODI FUNK'!$A11,'Unos rashoda i izdataka'!$K$3:$K$506)+SUMIF('Unos rashoda P4'!$T$3:$T$501,'A.4 RASHODI FUNK'!$A11,'Unos rashoda P4'!$I$3:$I$501)</f>
        <v>0</v>
      </c>
      <c r="E11" s="171">
        <f>SUMIF('Unos rashoda i izdataka'!$R$3:$R$506,'A.4 RASHODI FUNK'!$A11,'Unos rashoda i izdataka'!$L$3:$L$506)+SUMIF('Unos rashoda P4'!$T$3:$T$501,'A.4 RASHODI FUNK'!$A11,'Unos rashoda P4'!$J$3:$J$501)</f>
        <v>0</v>
      </c>
    </row>
    <row r="12" spans="1:26">
      <c r="A12" s="176">
        <v>17</v>
      </c>
      <c r="B12" s="104" t="s">
        <v>3712</v>
      </c>
      <c r="C12" s="171">
        <f>SUMIF('Unos rashoda i izdataka'!$R$3:$R$506,'A.4 RASHODI FUNK'!$A12,'Unos rashoda i izdataka'!$J$3:$J$506)+SUMIF('Unos rashoda P4'!$T$3:$T$501,'A.4 RASHODI FUNK'!$A12,'Unos rashoda P4'!$H$3:$H$501)</f>
        <v>0</v>
      </c>
      <c r="D12" s="171">
        <f>SUMIF('Unos rashoda i izdataka'!$R$3:$R$506,'A.4 RASHODI FUNK'!$A12,'Unos rashoda i izdataka'!$K$3:$K$506)+SUMIF('Unos rashoda P4'!$T$3:$T$501,'A.4 RASHODI FUNK'!$A12,'Unos rashoda P4'!$I$3:$I$501)</f>
        <v>0</v>
      </c>
      <c r="E12" s="171">
        <f>SUMIF('Unos rashoda i izdataka'!$R$3:$R$506,'A.4 RASHODI FUNK'!$A12,'Unos rashoda i izdataka'!$L$3:$L$506)+SUMIF('Unos rashoda P4'!$T$3:$T$501,'A.4 RASHODI FUNK'!$A12,'Unos rashoda P4'!$J$3:$J$501)</f>
        <v>0</v>
      </c>
    </row>
    <row r="13" spans="1:26">
      <c r="A13" s="176">
        <v>18</v>
      </c>
      <c r="B13" s="104" t="s">
        <v>750</v>
      </c>
      <c r="C13" s="171">
        <f>SUMIF('Unos rashoda i izdataka'!$R$3:$R$506,'A.4 RASHODI FUNK'!$A13,'Unos rashoda i izdataka'!$J$3:$J$506)+SUMIF('Unos rashoda P4'!$T$3:$T$501,'A.4 RASHODI FUNK'!$A13,'Unos rashoda P4'!$H$3:$H$501)</f>
        <v>0</v>
      </c>
      <c r="D13" s="171">
        <f>SUMIF('Unos rashoda i izdataka'!$R$3:$R$506,'A.4 RASHODI FUNK'!$A13,'Unos rashoda i izdataka'!$K$3:$K$506)+SUMIF('Unos rashoda P4'!$T$3:$T$501,'A.4 RASHODI FUNK'!$A13,'Unos rashoda P4'!$I$3:$I$501)</f>
        <v>0</v>
      </c>
      <c r="E13" s="171">
        <f>SUMIF('Unos rashoda i izdataka'!$R$3:$R$506,'A.4 RASHODI FUNK'!$A13,'Unos rashoda i izdataka'!$L$3:$L$506)+SUMIF('Unos rashoda P4'!$T$3:$T$501,'A.4 RASHODI FUNK'!$A13,'Unos rashoda P4'!$J$3:$J$501)</f>
        <v>0</v>
      </c>
    </row>
    <row r="14" spans="1:26">
      <c r="A14" s="175">
        <v>2</v>
      </c>
      <c r="B14" s="108" t="s">
        <v>3713</v>
      </c>
      <c r="C14" s="169">
        <f t="shared" ref="C14:E14" si="2">SUM(C15:C19)</f>
        <v>0</v>
      </c>
      <c r="D14" s="169">
        <f t="shared" si="2"/>
        <v>0</v>
      </c>
      <c r="E14" s="169">
        <f t="shared" si="2"/>
        <v>0</v>
      </c>
    </row>
    <row r="15" spans="1:26">
      <c r="A15" s="176">
        <v>21</v>
      </c>
      <c r="B15" s="104" t="s">
        <v>3714</v>
      </c>
      <c r="C15" s="171">
        <f>SUMIF('Unos rashoda i izdataka'!$R$3:$R$506,'A.4 RASHODI FUNK'!$A15,'Unos rashoda i izdataka'!$J$3:$J$506)+SUMIF('Unos rashoda P4'!$T$3:$T$501,'A.4 RASHODI FUNK'!$A15,'Unos rashoda P4'!$H$3:$H$501)</f>
        <v>0</v>
      </c>
      <c r="D15" s="171">
        <f>SUMIF('Unos rashoda i izdataka'!$R$3:$R$506,'A.4 RASHODI FUNK'!$A15,'Unos rashoda i izdataka'!$K$3:$K$506)+SUMIF('Unos rashoda P4'!$T$3:$T$501,'A.4 RASHODI FUNK'!$A15,'Unos rashoda P4'!$I$3:$I$501)</f>
        <v>0</v>
      </c>
      <c r="E15" s="171">
        <f>SUMIF('Unos rashoda i izdataka'!$R$3:$R$506,'A.4 RASHODI FUNK'!$A15,'Unos rashoda i izdataka'!$L$3:$L$506)+SUMIF('Unos rashoda P4'!$T$3:$T$501,'A.4 RASHODI FUNK'!$A15,'Unos rashoda P4'!$J$3:$J$501)</f>
        <v>0</v>
      </c>
    </row>
    <row r="16" spans="1:26">
      <c r="A16" s="176">
        <v>22</v>
      </c>
      <c r="B16" s="104" t="s">
        <v>3715</v>
      </c>
      <c r="C16" s="171">
        <f>SUMIF('Unos rashoda i izdataka'!$R$3:$R$506,'A.4 RASHODI FUNK'!$A16,'Unos rashoda i izdataka'!$J$3:$J$506)+SUMIF('Unos rashoda P4'!$T$3:$T$501,'A.4 RASHODI FUNK'!$A16,'Unos rashoda P4'!$H$3:$H$501)</f>
        <v>0</v>
      </c>
      <c r="D16" s="171">
        <f>SUMIF('Unos rashoda i izdataka'!$R$3:$R$506,'A.4 RASHODI FUNK'!$A16,'Unos rashoda i izdataka'!$K$3:$K$506)+SUMIF('Unos rashoda P4'!$T$3:$T$501,'A.4 RASHODI FUNK'!$A16,'Unos rashoda P4'!$I$3:$I$501)</f>
        <v>0</v>
      </c>
      <c r="E16" s="171">
        <f>SUMIF('Unos rashoda i izdataka'!$R$3:$R$506,'A.4 RASHODI FUNK'!$A16,'Unos rashoda i izdataka'!$L$3:$L$506)+SUMIF('Unos rashoda P4'!$T$3:$T$501,'A.4 RASHODI FUNK'!$A16,'Unos rashoda P4'!$J$3:$J$501)</f>
        <v>0</v>
      </c>
    </row>
    <row r="17" spans="1:5">
      <c r="A17" s="176">
        <v>23</v>
      </c>
      <c r="B17" s="104" t="s">
        <v>3716</v>
      </c>
      <c r="C17" s="171">
        <f>SUMIF('Unos rashoda i izdataka'!$R$3:$R$506,'A.4 RASHODI FUNK'!$A17,'Unos rashoda i izdataka'!$J$3:$J$506)+SUMIF('Unos rashoda P4'!$T$3:$T$501,'A.4 RASHODI FUNK'!$A17,'Unos rashoda P4'!$H$3:$H$501)</f>
        <v>0</v>
      </c>
      <c r="D17" s="171">
        <f>SUMIF('Unos rashoda i izdataka'!$R$3:$R$506,'A.4 RASHODI FUNK'!$A17,'Unos rashoda i izdataka'!$K$3:$K$506)+SUMIF('Unos rashoda P4'!$T$3:$T$501,'A.4 RASHODI FUNK'!$A17,'Unos rashoda P4'!$I$3:$I$501)</f>
        <v>0</v>
      </c>
      <c r="E17" s="171">
        <f>SUMIF('Unos rashoda i izdataka'!$R$3:$R$506,'A.4 RASHODI FUNK'!$A17,'Unos rashoda i izdataka'!$L$3:$L$506)+SUMIF('Unos rashoda P4'!$T$3:$T$501,'A.4 RASHODI FUNK'!$A17,'Unos rashoda P4'!$J$3:$J$501)</f>
        <v>0</v>
      </c>
    </row>
    <row r="18" spans="1:5">
      <c r="A18" s="176">
        <v>24</v>
      </c>
      <c r="B18" s="104" t="s">
        <v>3717</v>
      </c>
      <c r="C18" s="171">
        <f>SUMIF('Unos rashoda i izdataka'!$R$3:$R$506,'A.4 RASHODI FUNK'!$A18,'Unos rashoda i izdataka'!$J$3:$J$506)+SUMIF('Unos rashoda P4'!$T$3:$T$501,'A.4 RASHODI FUNK'!$A18,'Unos rashoda P4'!$H$3:$H$501)</f>
        <v>0</v>
      </c>
      <c r="D18" s="171">
        <f>SUMIF('Unos rashoda i izdataka'!$R$3:$R$506,'A.4 RASHODI FUNK'!$A18,'Unos rashoda i izdataka'!$K$3:$K$506)+SUMIF('Unos rashoda P4'!$T$3:$T$501,'A.4 RASHODI FUNK'!$A18,'Unos rashoda P4'!$I$3:$I$501)</f>
        <v>0</v>
      </c>
      <c r="E18" s="171">
        <f>SUMIF('Unos rashoda i izdataka'!$R$3:$R$506,'A.4 RASHODI FUNK'!$A18,'Unos rashoda i izdataka'!$L$3:$L$506)+SUMIF('Unos rashoda P4'!$T$3:$T$501,'A.4 RASHODI FUNK'!$A18,'Unos rashoda P4'!$J$3:$J$501)</f>
        <v>0</v>
      </c>
    </row>
    <row r="19" spans="1:5">
      <c r="A19" s="176">
        <v>25</v>
      </c>
      <c r="B19" s="104" t="s">
        <v>3718</v>
      </c>
      <c r="C19" s="171">
        <f>SUMIF('Unos rashoda i izdataka'!$R$3:$R$506,'A.4 RASHODI FUNK'!$A19,'Unos rashoda i izdataka'!$J$3:$J$506)+SUMIF('Unos rashoda P4'!$T$3:$T$501,'A.4 RASHODI FUNK'!$A19,'Unos rashoda P4'!$H$3:$H$501)</f>
        <v>0</v>
      </c>
      <c r="D19" s="171">
        <f>SUMIF('Unos rashoda i izdataka'!$R$3:$R$506,'A.4 RASHODI FUNK'!$A19,'Unos rashoda i izdataka'!$K$3:$K$506)+SUMIF('Unos rashoda P4'!$T$3:$T$501,'A.4 RASHODI FUNK'!$A19,'Unos rashoda P4'!$I$3:$I$501)</f>
        <v>0</v>
      </c>
      <c r="E19" s="171">
        <f>SUMIF('Unos rashoda i izdataka'!$R$3:$R$506,'A.4 RASHODI FUNK'!$A19,'Unos rashoda i izdataka'!$L$3:$L$506)+SUMIF('Unos rashoda P4'!$T$3:$T$501,'A.4 RASHODI FUNK'!$A19,'Unos rashoda P4'!$J$3:$J$501)</f>
        <v>0</v>
      </c>
    </row>
    <row r="20" spans="1:5">
      <c r="A20" s="175">
        <v>3</v>
      </c>
      <c r="B20" s="108" t="s">
        <v>3719</v>
      </c>
      <c r="C20" s="177">
        <f t="shared" ref="C20:E20" si="3">SUM(C21:C26)</f>
        <v>0</v>
      </c>
      <c r="D20" s="177">
        <f t="shared" si="3"/>
        <v>0</v>
      </c>
      <c r="E20" s="177">
        <f t="shared" si="3"/>
        <v>0</v>
      </c>
    </row>
    <row r="21" spans="1:5">
      <c r="A21" s="176">
        <v>31</v>
      </c>
      <c r="B21" s="104" t="s">
        <v>3720</v>
      </c>
      <c r="C21" s="171">
        <f>SUMIF('Unos rashoda i izdataka'!$R$3:$R$506,'A.4 RASHODI FUNK'!$A21,'Unos rashoda i izdataka'!$J$3:$J$506)+SUMIF('Unos rashoda P4'!$T$3:$T$501,'A.4 RASHODI FUNK'!$A21,'Unos rashoda P4'!$H$3:$H$501)</f>
        <v>0</v>
      </c>
      <c r="D21" s="171">
        <f>SUMIF('Unos rashoda i izdataka'!$R$3:$R$506,'A.4 RASHODI FUNK'!$A21,'Unos rashoda i izdataka'!$K$3:$K$506)+SUMIF('Unos rashoda P4'!$T$3:$T$501,'A.4 RASHODI FUNK'!$A21,'Unos rashoda P4'!$I$3:$I$501)</f>
        <v>0</v>
      </c>
      <c r="E21" s="171">
        <f>SUMIF('Unos rashoda i izdataka'!$R$3:$R$506,'A.4 RASHODI FUNK'!$A21,'Unos rashoda i izdataka'!$L$3:$L$506)+SUMIF('Unos rashoda P4'!$T$3:$T$501,'A.4 RASHODI FUNK'!$A21,'Unos rashoda P4'!$J$3:$J$501)</f>
        <v>0</v>
      </c>
    </row>
    <row r="22" spans="1:5">
      <c r="A22" s="176">
        <v>32</v>
      </c>
      <c r="B22" s="104" t="s">
        <v>3721</v>
      </c>
      <c r="C22" s="171">
        <f>SUMIF('Unos rashoda i izdataka'!$R$3:$R$506,'A.4 RASHODI FUNK'!$A22,'Unos rashoda i izdataka'!$J$3:$J$506)+SUMIF('Unos rashoda P4'!$T$3:$T$501,'A.4 RASHODI FUNK'!$A22,'Unos rashoda P4'!$H$3:$H$501)</f>
        <v>0</v>
      </c>
      <c r="D22" s="171">
        <f>SUMIF('Unos rashoda i izdataka'!$R$3:$R$506,'A.4 RASHODI FUNK'!$A22,'Unos rashoda i izdataka'!$K$3:$K$506)+SUMIF('Unos rashoda P4'!$T$3:$T$501,'A.4 RASHODI FUNK'!$A22,'Unos rashoda P4'!$I$3:$I$501)</f>
        <v>0</v>
      </c>
      <c r="E22" s="171">
        <f>SUMIF('Unos rashoda i izdataka'!$R$3:$R$506,'A.4 RASHODI FUNK'!$A22,'Unos rashoda i izdataka'!$L$3:$L$506)+SUMIF('Unos rashoda P4'!$T$3:$T$501,'A.4 RASHODI FUNK'!$A22,'Unos rashoda P4'!$J$3:$J$501)</f>
        <v>0</v>
      </c>
    </row>
    <row r="23" spans="1:5">
      <c r="A23" s="176">
        <v>33</v>
      </c>
      <c r="B23" s="104" t="s">
        <v>3722</v>
      </c>
      <c r="C23" s="171">
        <f>SUMIF('Unos rashoda i izdataka'!$R$3:$R$506,'A.4 RASHODI FUNK'!$A23,'Unos rashoda i izdataka'!$J$3:$J$506)+SUMIF('Unos rashoda P4'!$T$3:$T$501,'A.4 RASHODI FUNK'!$A23,'Unos rashoda P4'!$H$3:$H$501)</f>
        <v>0</v>
      </c>
      <c r="D23" s="171">
        <f>SUMIF('Unos rashoda i izdataka'!$R$3:$R$506,'A.4 RASHODI FUNK'!$A23,'Unos rashoda i izdataka'!$K$3:$K$506)+SUMIF('Unos rashoda P4'!$T$3:$T$501,'A.4 RASHODI FUNK'!$A23,'Unos rashoda P4'!$I$3:$I$501)</f>
        <v>0</v>
      </c>
      <c r="E23" s="171">
        <f>SUMIF('Unos rashoda i izdataka'!$R$3:$R$506,'A.4 RASHODI FUNK'!$A23,'Unos rashoda i izdataka'!$L$3:$L$506)+SUMIF('Unos rashoda P4'!$T$3:$T$501,'A.4 RASHODI FUNK'!$A23,'Unos rashoda P4'!$J$3:$J$501)</f>
        <v>0</v>
      </c>
    </row>
    <row r="24" spans="1:5">
      <c r="A24" s="176">
        <v>34</v>
      </c>
      <c r="B24" s="104" t="s">
        <v>3723</v>
      </c>
      <c r="C24" s="171">
        <f>SUMIF('Unos rashoda i izdataka'!$R$3:$R$506,'A.4 RASHODI FUNK'!$A24,'Unos rashoda i izdataka'!$J$3:$J$506)+SUMIF('Unos rashoda P4'!$T$3:$T$501,'A.4 RASHODI FUNK'!$A24,'Unos rashoda P4'!$H$3:$H$501)</f>
        <v>0</v>
      </c>
      <c r="D24" s="171">
        <f>SUMIF('Unos rashoda i izdataka'!$R$3:$R$506,'A.4 RASHODI FUNK'!$A24,'Unos rashoda i izdataka'!$K$3:$K$506)+SUMIF('Unos rashoda P4'!$T$3:$T$501,'A.4 RASHODI FUNK'!$A24,'Unos rashoda P4'!$I$3:$I$501)</f>
        <v>0</v>
      </c>
      <c r="E24" s="171">
        <f>SUMIF('Unos rashoda i izdataka'!$R$3:$R$506,'A.4 RASHODI FUNK'!$A24,'Unos rashoda i izdataka'!$L$3:$L$506)+SUMIF('Unos rashoda P4'!$T$3:$T$501,'A.4 RASHODI FUNK'!$A24,'Unos rashoda P4'!$J$3:$J$501)</f>
        <v>0</v>
      </c>
    </row>
    <row r="25" spans="1:5">
      <c r="A25" s="176">
        <v>35</v>
      </c>
      <c r="B25" s="104" t="s">
        <v>3724</v>
      </c>
      <c r="C25" s="171">
        <f>SUMIF('Unos rashoda i izdataka'!$R$3:$R$506,'A.4 RASHODI FUNK'!$A25,'Unos rashoda i izdataka'!$J$3:$J$506)+SUMIF('Unos rashoda P4'!$T$3:$T$501,'A.4 RASHODI FUNK'!$A25,'Unos rashoda P4'!$H$3:$H$501)</f>
        <v>0</v>
      </c>
      <c r="D25" s="171">
        <f>SUMIF('Unos rashoda i izdataka'!$R$3:$R$506,'A.4 RASHODI FUNK'!$A25,'Unos rashoda i izdataka'!$K$3:$K$506)+SUMIF('Unos rashoda P4'!$T$3:$T$501,'A.4 RASHODI FUNK'!$A25,'Unos rashoda P4'!$I$3:$I$501)</f>
        <v>0</v>
      </c>
      <c r="E25" s="171">
        <f>SUMIF('Unos rashoda i izdataka'!$R$3:$R$506,'A.4 RASHODI FUNK'!$A25,'Unos rashoda i izdataka'!$L$3:$L$506)+SUMIF('Unos rashoda P4'!$T$3:$T$501,'A.4 RASHODI FUNK'!$A25,'Unos rashoda P4'!$J$3:$J$501)</f>
        <v>0</v>
      </c>
    </row>
    <row r="26" spans="1:5">
      <c r="A26" s="176">
        <v>36</v>
      </c>
      <c r="B26" s="104" t="s">
        <v>3725</v>
      </c>
      <c r="C26" s="171">
        <f>SUMIF('Unos rashoda i izdataka'!$R$3:$R$506,'A.4 RASHODI FUNK'!$A26,'Unos rashoda i izdataka'!$J$3:$J$506)+SUMIF('Unos rashoda P4'!$T$3:$T$501,'A.4 RASHODI FUNK'!$A26,'Unos rashoda P4'!$H$3:$H$501)</f>
        <v>0</v>
      </c>
      <c r="D26" s="171">
        <f>SUMIF('Unos rashoda i izdataka'!$R$3:$R$506,'A.4 RASHODI FUNK'!$A26,'Unos rashoda i izdataka'!$K$3:$K$506)+SUMIF('Unos rashoda P4'!$T$3:$T$501,'A.4 RASHODI FUNK'!$A26,'Unos rashoda P4'!$I$3:$I$501)</f>
        <v>0</v>
      </c>
      <c r="E26" s="171">
        <f>SUMIF('Unos rashoda i izdataka'!$R$3:$R$506,'A.4 RASHODI FUNK'!$A26,'Unos rashoda i izdataka'!$L$3:$L$506)+SUMIF('Unos rashoda P4'!$T$3:$T$501,'A.4 RASHODI FUNK'!$A26,'Unos rashoda P4'!$J$3:$J$501)</f>
        <v>0</v>
      </c>
    </row>
    <row r="27" spans="1:5">
      <c r="A27" s="175">
        <v>4</v>
      </c>
      <c r="B27" s="108" t="s">
        <v>3726</v>
      </c>
      <c r="C27" s="177">
        <f t="shared" ref="C27:E27" si="4">SUM(C28:C36)</f>
        <v>0</v>
      </c>
      <c r="D27" s="177">
        <f t="shared" si="4"/>
        <v>0</v>
      </c>
      <c r="E27" s="177">
        <f t="shared" si="4"/>
        <v>0</v>
      </c>
    </row>
    <row r="28" spans="1:5">
      <c r="A28" s="176">
        <v>41</v>
      </c>
      <c r="B28" s="104" t="s">
        <v>3727</v>
      </c>
      <c r="C28" s="171">
        <f>SUMIF('Unos rashoda i izdataka'!$R$3:$R$506,'A.4 RASHODI FUNK'!$A28,'Unos rashoda i izdataka'!$J$3:$J$506)+SUMIF('Unos rashoda P4'!$T$3:$T$501,'A.4 RASHODI FUNK'!$A28,'Unos rashoda P4'!$H$3:$H$501)</f>
        <v>0</v>
      </c>
      <c r="D28" s="171">
        <f>SUMIF('Unos rashoda i izdataka'!$R$3:$R$506,'A.4 RASHODI FUNK'!$A28,'Unos rashoda i izdataka'!$K$3:$K$506)+SUMIF('Unos rashoda P4'!$T$3:$T$501,'A.4 RASHODI FUNK'!$A28,'Unos rashoda P4'!$I$3:$I$501)</f>
        <v>0</v>
      </c>
      <c r="E28" s="171">
        <f>SUMIF('Unos rashoda i izdataka'!$R$3:$R$506,'A.4 RASHODI FUNK'!$A28,'Unos rashoda i izdataka'!$L$3:$L$506)+SUMIF('Unos rashoda P4'!$T$3:$T$501,'A.4 RASHODI FUNK'!$A28,'Unos rashoda P4'!$J$3:$J$501)</f>
        <v>0</v>
      </c>
    </row>
    <row r="29" spans="1:5">
      <c r="A29" s="176">
        <v>42</v>
      </c>
      <c r="B29" s="104" t="s">
        <v>3728</v>
      </c>
      <c r="C29" s="171">
        <f>SUMIF('Unos rashoda i izdataka'!$R$3:$R$506,'A.4 RASHODI FUNK'!$A29,'Unos rashoda i izdataka'!$J$3:$J$506)+SUMIF('Unos rashoda P4'!$T$3:$T$501,'A.4 RASHODI FUNK'!$A29,'Unos rashoda P4'!$H$3:$H$501)</f>
        <v>0</v>
      </c>
      <c r="D29" s="171">
        <f>SUMIF('Unos rashoda i izdataka'!$R$3:$R$506,'A.4 RASHODI FUNK'!$A29,'Unos rashoda i izdataka'!$K$3:$K$506)+SUMIF('Unos rashoda P4'!$T$3:$T$501,'A.4 RASHODI FUNK'!$A29,'Unos rashoda P4'!$I$3:$I$501)</f>
        <v>0</v>
      </c>
      <c r="E29" s="171">
        <f>SUMIF('Unos rashoda i izdataka'!$R$3:$R$506,'A.4 RASHODI FUNK'!$A29,'Unos rashoda i izdataka'!$L$3:$L$506)+SUMIF('Unos rashoda P4'!$T$3:$T$501,'A.4 RASHODI FUNK'!$A29,'Unos rashoda P4'!$J$3:$J$501)</f>
        <v>0</v>
      </c>
    </row>
    <row r="30" spans="1:5">
      <c r="A30" s="176">
        <v>43</v>
      </c>
      <c r="B30" s="104" t="s">
        <v>3729</v>
      </c>
      <c r="C30" s="171">
        <f>SUMIF('Unos rashoda i izdataka'!$R$3:$R$506,'A.4 RASHODI FUNK'!$A30,'Unos rashoda i izdataka'!$J$3:$J$506)+SUMIF('Unos rashoda P4'!$T$3:$T$501,'A.4 RASHODI FUNK'!$A30,'Unos rashoda P4'!$H$3:$H$501)</f>
        <v>0</v>
      </c>
      <c r="D30" s="171">
        <f>SUMIF('Unos rashoda i izdataka'!$R$3:$R$506,'A.4 RASHODI FUNK'!$A30,'Unos rashoda i izdataka'!$K$3:$K$506)+SUMIF('Unos rashoda P4'!$T$3:$T$501,'A.4 RASHODI FUNK'!$A30,'Unos rashoda P4'!$I$3:$I$501)</f>
        <v>0</v>
      </c>
      <c r="E30" s="171">
        <f>SUMIF('Unos rashoda i izdataka'!$R$3:$R$506,'A.4 RASHODI FUNK'!$A30,'Unos rashoda i izdataka'!$L$3:$L$506)+SUMIF('Unos rashoda P4'!$T$3:$T$501,'A.4 RASHODI FUNK'!$A30,'Unos rashoda P4'!$J$3:$J$501)</f>
        <v>0</v>
      </c>
    </row>
    <row r="31" spans="1:5">
      <c r="A31" s="176">
        <v>44</v>
      </c>
      <c r="B31" s="104" t="s">
        <v>3730</v>
      </c>
      <c r="C31" s="171">
        <f>SUMIF('Unos rashoda i izdataka'!$R$3:$R$506,'A.4 RASHODI FUNK'!$A31,'Unos rashoda i izdataka'!$J$3:$J$506)+SUMIF('Unos rashoda P4'!$T$3:$T$501,'A.4 RASHODI FUNK'!$A31,'Unos rashoda P4'!$H$3:$H$501)</f>
        <v>0</v>
      </c>
      <c r="D31" s="171">
        <f>SUMIF('Unos rashoda i izdataka'!$R$3:$R$506,'A.4 RASHODI FUNK'!$A31,'Unos rashoda i izdataka'!$K$3:$K$506)+SUMIF('Unos rashoda P4'!$T$3:$T$501,'A.4 RASHODI FUNK'!$A31,'Unos rashoda P4'!$I$3:$I$501)</f>
        <v>0</v>
      </c>
      <c r="E31" s="171">
        <f>SUMIF('Unos rashoda i izdataka'!$R$3:$R$506,'A.4 RASHODI FUNK'!$A31,'Unos rashoda i izdataka'!$L$3:$L$506)+SUMIF('Unos rashoda P4'!$T$3:$T$501,'A.4 RASHODI FUNK'!$A31,'Unos rashoda P4'!$J$3:$J$501)</f>
        <v>0</v>
      </c>
    </row>
    <row r="32" spans="1:5">
      <c r="A32" s="176">
        <v>45</v>
      </c>
      <c r="B32" s="104" t="s">
        <v>3731</v>
      </c>
      <c r="C32" s="171">
        <f>SUMIF('Unos rashoda i izdataka'!$R$3:$R$506,'A.4 RASHODI FUNK'!$A32,'Unos rashoda i izdataka'!$J$3:$J$506)+SUMIF('Unos rashoda P4'!$T$3:$T$501,'A.4 RASHODI FUNK'!$A32,'Unos rashoda P4'!$H$3:$H$501)</f>
        <v>0</v>
      </c>
      <c r="D32" s="171">
        <f>SUMIF('Unos rashoda i izdataka'!$R$3:$R$506,'A.4 RASHODI FUNK'!$A32,'Unos rashoda i izdataka'!$K$3:$K$506)+SUMIF('Unos rashoda P4'!$T$3:$T$501,'A.4 RASHODI FUNK'!$A32,'Unos rashoda P4'!$I$3:$I$501)</f>
        <v>0</v>
      </c>
      <c r="E32" s="171">
        <f>SUMIF('Unos rashoda i izdataka'!$R$3:$R$506,'A.4 RASHODI FUNK'!$A32,'Unos rashoda i izdataka'!$L$3:$L$506)+SUMIF('Unos rashoda P4'!$T$3:$T$501,'A.4 RASHODI FUNK'!$A32,'Unos rashoda P4'!$J$3:$J$501)</f>
        <v>0</v>
      </c>
    </row>
    <row r="33" spans="1:5">
      <c r="A33" s="176">
        <v>46</v>
      </c>
      <c r="B33" s="104" t="s">
        <v>1188</v>
      </c>
      <c r="C33" s="171">
        <f>SUMIF('Unos rashoda i izdataka'!$R$3:$R$506,'A.4 RASHODI FUNK'!$A33,'Unos rashoda i izdataka'!$J$3:$J$506)+SUMIF('Unos rashoda P4'!$T$3:$T$501,'A.4 RASHODI FUNK'!$A33,'Unos rashoda P4'!$H$3:$H$501)</f>
        <v>0</v>
      </c>
      <c r="D33" s="171">
        <f>SUMIF('Unos rashoda i izdataka'!$R$3:$R$506,'A.4 RASHODI FUNK'!$A33,'Unos rashoda i izdataka'!$K$3:$K$506)+SUMIF('Unos rashoda P4'!$T$3:$T$501,'A.4 RASHODI FUNK'!$A33,'Unos rashoda P4'!$I$3:$I$501)</f>
        <v>0</v>
      </c>
      <c r="E33" s="171">
        <f>SUMIF('Unos rashoda i izdataka'!$R$3:$R$506,'A.4 RASHODI FUNK'!$A33,'Unos rashoda i izdataka'!$L$3:$L$506)+SUMIF('Unos rashoda P4'!$T$3:$T$501,'A.4 RASHODI FUNK'!$A33,'Unos rashoda P4'!$J$3:$J$501)</f>
        <v>0</v>
      </c>
    </row>
    <row r="34" spans="1:5">
      <c r="A34" s="176">
        <v>47</v>
      </c>
      <c r="B34" s="104" t="s">
        <v>3732</v>
      </c>
      <c r="C34" s="171">
        <f>SUMIF('Unos rashoda i izdataka'!$R$3:$R$506,'A.4 RASHODI FUNK'!$A34,'Unos rashoda i izdataka'!$J$3:$J$506)+SUMIF('Unos rashoda P4'!$T$3:$T$501,'A.4 RASHODI FUNK'!$A34,'Unos rashoda P4'!$H$3:$H$501)</f>
        <v>0</v>
      </c>
      <c r="D34" s="171">
        <f>SUMIF('Unos rashoda i izdataka'!$R$3:$R$506,'A.4 RASHODI FUNK'!$A34,'Unos rashoda i izdataka'!$K$3:$K$506)+SUMIF('Unos rashoda P4'!$T$3:$T$501,'A.4 RASHODI FUNK'!$A34,'Unos rashoda P4'!$I$3:$I$501)</f>
        <v>0</v>
      </c>
      <c r="E34" s="171">
        <f>SUMIF('Unos rashoda i izdataka'!$R$3:$R$506,'A.4 RASHODI FUNK'!$A34,'Unos rashoda i izdataka'!$L$3:$L$506)+SUMIF('Unos rashoda P4'!$T$3:$T$501,'A.4 RASHODI FUNK'!$A34,'Unos rashoda P4'!$J$3:$J$501)</f>
        <v>0</v>
      </c>
    </row>
    <row r="35" spans="1:5">
      <c r="A35" s="176">
        <v>48</v>
      </c>
      <c r="B35" s="104" t="s">
        <v>3733</v>
      </c>
      <c r="C35" s="171">
        <f>SUMIF('Unos rashoda i izdataka'!$R$3:$R$506,'A.4 RASHODI FUNK'!$A35,'Unos rashoda i izdataka'!$J$3:$J$506)+SUMIF('Unos rashoda P4'!$T$3:$T$501,'A.4 RASHODI FUNK'!$A35,'Unos rashoda P4'!$H$3:$H$501)</f>
        <v>0</v>
      </c>
      <c r="D35" s="171">
        <f>SUMIF('Unos rashoda i izdataka'!$R$3:$R$506,'A.4 RASHODI FUNK'!$A35,'Unos rashoda i izdataka'!$K$3:$K$506)+SUMIF('Unos rashoda P4'!$T$3:$T$501,'A.4 RASHODI FUNK'!$A35,'Unos rashoda P4'!$I$3:$I$501)</f>
        <v>0</v>
      </c>
      <c r="E35" s="171">
        <f>SUMIF('Unos rashoda i izdataka'!$R$3:$R$506,'A.4 RASHODI FUNK'!$A35,'Unos rashoda i izdataka'!$L$3:$L$506)+SUMIF('Unos rashoda P4'!$T$3:$T$501,'A.4 RASHODI FUNK'!$A35,'Unos rashoda P4'!$J$3:$J$501)</f>
        <v>0</v>
      </c>
    </row>
    <row r="36" spans="1:5">
      <c r="A36" s="176">
        <v>49</v>
      </c>
      <c r="B36" s="104" t="s">
        <v>3734</v>
      </c>
      <c r="C36" s="171">
        <f>SUMIF('Unos rashoda i izdataka'!$R$3:$R$506,'A.4 RASHODI FUNK'!$A36,'Unos rashoda i izdataka'!$J$3:$J$506)+SUMIF('Unos rashoda P4'!$T$3:$T$501,'A.4 RASHODI FUNK'!$A36,'Unos rashoda P4'!$H$3:$H$501)</f>
        <v>0</v>
      </c>
      <c r="D36" s="171">
        <f>SUMIF('Unos rashoda i izdataka'!$R$3:$R$506,'A.4 RASHODI FUNK'!$A36,'Unos rashoda i izdataka'!$K$3:$K$506)+SUMIF('Unos rashoda P4'!$T$3:$T$501,'A.4 RASHODI FUNK'!$A36,'Unos rashoda P4'!$I$3:$I$501)</f>
        <v>0</v>
      </c>
      <c r="E36" s="171">
        <f>SUMIF('Unos rashoda i izdataka'!$R$3:$R$506,'A.4 RASHODI FUNK'!$A36,'Unos rashoda i izdataka'!$L$3:$L$506)+SUMIF('Unos rashoda P4'!$T$3:$T$501,'A.4 RASHODI FUNK'!$A36,'Unos rashoda P4'!$J$3:$J$501)</f>
        <v>0</v>
      </c>
    </row>
    <row r="37" spans="1:5">
      <c r="A37" s="175">
        <v>5</v>
      </c>
      <c r="B37" s="108" t="s">
        <v>3735</v>
      </c>
      <c r="C37" s="177">
        <f t="shared" ref="C37:E37" si="5">SUM(C38:C43)</f>
        <v>0</v>
      </c>
      <c r="D37" s="177">
        <f t="shared" si="5"/>
        <v>0</v>
      </c>
      <c r="E37" s="177">
        <f t="shared" si="5"/>
        <v>0</v>
      </c>
    </row>
    <row r="38" spans="1:5">
      <c r="A38" s="176">
        <v>51</v>
      </c>
      <c r="B38" s="104" t="s">
        <v>3736</v>
      </c>
      <c r="C38" s="171">
        <f>SUMIF('Unos rashoda i izdataka'!$R$3:$R$506,'A.4 RASHODI FUNK'!$A38,'Unos rashoda i izdataka'!$J$3:$J$506)+SUMIF('Unos rashoda P4'!$T$3:$T$501,'A.4 RASHODI FUNK'!$A38,'Unos rashoda P4'!$H$3:$H$501)</f>
        <v>0</v>
      </c>
      <c r="D38" s="171">
        <f>SUMIF('Unos rashoda i izdataka'!$R$3:$R$506,'A.4 RASHODI FUNK'!$A38,'Unos rashoda i izdataka'!$K$3:$K$506)+SUMIF('Unos rashoda P4'!$T$3:$T$501,'A.4 RASHODI FUNK'!$A38,'Unos rashoda P4'!$I$3:$I$501)</f>
        <v>0</v>
      </c>
      <c r="E38" s="171">
        <f>SUMIF('Unos rashoda i izdataka'!$R$3:$R$506,'A.4 RASHODI FUNK'!$A38,'Unos rashoda i izdataka'!$L$3:$L$506)+SUMIF('Unos rashoda P4'!$T$3:$T$501,'A.4 RASHODI FUNK'!$A38,'Unos rashoda P4'!$J$3:$J$501)</f>
        <v>0</v>
      </c>
    </row>
    <row r="39" spans="1:5">
      <c r="A39" s="176">
        <v>52</v>
      </c>
      <c r="B39" s="104" t="s">
        <v>3737</v>
      </c>
      <c r="C39" s="171">
        <f>SUMIF('Unos rashoda i izdataka'!$R$3:$R$506,'A.4 RASHODI FUNK'!$A39,'Unos rashoda i izdataka'!$J$3:$J$506)+SUMIF('Unos rashoda P4'!$T$3:$T$501,'A.4 RASHODI FUNK'!$A39,'Unos rashoda P4'!$H$3:$H$501)</f>
        <v>0</v>
      </c>
      <c r="D39" s="171">
        <f>SUMIF('Unos rashoda i izdataka'!$R$3:$R$506,'A.4 RASHODI FUNK'!$A39,'Unos rashoda i izdataka'!$K$3:$K$506)+SUMIF('Unos rashoda P4'!$T$3:$T$501,'A.4 RASHODI FUNK'!$A39,'Unos rashoda P4'!$I$3:$I$501)</f>
        <v>0</v>
      </c>
      <c r="E39" s="171">
        <f>SUMIF('Unos rashoda i izdataka'!$R$3:$R$506,'A.4 RASHODI FUNK'!$A39,'Unos rashoda i izdataka'!$L$3:$L$506)+SUMIF('Unos rashoda P4'!$T$3:$T$501,'A.4 RASHODI FUNK'!$A39,'Unos rashoda P4'!$J$3:$J$501)</f>
        <v>0</v>
      </c>
    </row>
    <row r="40" spans="1:5">
      <c r="A40" s="176">
        <v>53</v>
      </c>
      <c r="B40" s="104" t="s">
        <v>3738</v>
      </c>
      <c r="C40" s="171">
        <f>SUMIF('Unos rashoda i izdataka'!$R$3:$R$506,'A.4 RASHODI FUNK'!$A40,'Unos rashoda i izdataka'!$J$3:$J$506)+SUMIF('Unos rashoda P4'!$T$3:$T$501,'A.4 RASHODI FUNK'!$A40,'Unos rashoda P4'!$H$3:$H$501)</f>
        <v>0</v>
      </c>
      <c r="D40" s="171">
        <f>SUMIF('Unos rashoda i izdataka'!$R$3:$R$506,'A.4 RASHODI FUNK'!$A40,'Unos rashoda i izdataka'!$K$3:$K$506)+SUMIF('Unos rashoda P4'!$T$3:$T$501,'A.4 RASHODI FUNK'!$A40,'Unos rashoda P4'!$I$3:$I$501)</f>
        <v>0</v>
      </c>
      <c r="E40" s="171">
        <f>SUMIF('Unos rashoda i izdataka'!$R$3:$R$506,'A.4 RASHODI FUNK'!$A40,'Unos rashoda i izdataka'!$L$3:$L$506)+SUMIF('Unos rashoda P4'!$T$3:$T$501,'A.4 RASHODI FUNK'!$A40,'Unos rashoda P4'!$J$3:$J$501)</f>
        <v>0</v>
      </c>
    </row>
    <row r="41" spans="1:5">
      <c r="A41" s="176">
        <v>54</v>
      </c>
      <c r="B41" s="104" t="s">
        <v>3739</v>
      </c>
      <c r="C41" s="171">
        <f>SUMIF('Unos rashoda i izdataka'!$R$3:$R$506,'A.4 RASHODI FUNK'!$A41,'Unos rashoda i izdataka'!$J$3:$J$506)+SUMIF('Unos rashoda P4'!$T$3:$T$501,'A.4 RASHODI FUNK'!$A41,'Unos rashoda P4'!$H$3:$H$501)</f>
        <v>0</v>
      </c>
      <c r="D41" s="171">
        <f>SUMIF('Unos rashoda i izdataka'!$R$3:$R$506,'A.4 RASHODI FUNK'!$A41,'Unos rashoda i izdataka'!$K$3:$K$506)+SUMIF('Unos rashoda P4'!$T$3:$T$501,'A.4 RASHODI FUNK'!$A41,'Unos rashoda P4'!$I$3:$I$501)</f>
        <v>0</v>
      </c>
      <c r="E41" s="171">
        <f>SUMIF('Unos rashoda i izdataka'!$R$3:$R$506,'A.4 RASHODI FUNK'!$A41,'Unos rashoda i izdataka'!$L$3:$L$506)+SUMIF('Unos rashoda P4'!$T$3:$T$501,'A.4 RASHODI FUNK'!$A41,'Unos rashoda P4'!$J$3:$J$501)</f>
        <v>0</v>
      </c>
    </row>
    <row r="42" spans="1:5">
      <c r="A42" s="176">
        <v>55</v>
      </c>
      <c r="B42" s="104" t="s">
        <v>3740</v>
      </c>
      <c r="C42" s="171">
        <f>SUMIF('Unos rashoda i izdataka'!$R$3:$R$506,'A.4 RASHODI FUNK'!$A42,'Unos rashoda i izdataka'!$J$3:$J$506)+SUMIF('Unos rashoda P4'!$T$3:$T$501,'A.4 RASHODI FUNK'!$A42,'Unos rashoda P4'!$H$3:$H$501)</f>
        <v>0</v>
      </c>
      <c r="D42" s="171">
        <f>SUMIF('Unos rashoda i izdataka'!$R$3:$R$506,'A.4 RASHODI FUNK'!$A42,'Unos rashoda i izdataka'!$K$3:$K$506)+SUMIF('Unos rashoda P4'!$T$3:$T$501,'A.4 RASHODI FUNK'!$A42,'Unos rashoda P4'!$I$3:$I$501)</f>
        <v>0</v>
      </c>
      <c r="E42" s="171">
        <f>SUMIF('Unos rashoda i izdataka'!$R$3:$R$506,'A.4 RASHODI FUNK'!$A42,'Unos rashoda i izdataka'!$L$3:$L$506)+SUMIF('Unos rashoda P4'!$T$3:$T$501,'A.4 RASHODI FUNK'!$A42,'Unos rashoda P4'!$J$3:$J$501)</f>
        <v>0</v>
      </c>
    </row>
    <row r="43" spans="1:5">
      <c r="A43" s="176">
        <v>56</v>
      </c>
      <c r="B43" s="104" t="s">
        <v>3741</v>
      </c>
      <c r="C43" s="171">
        <f>SUMIF('Unos rashoda i izdataka'!$R$3:$R$506,'A.4 RASHODI FUNK'!$A43,'Unos rashoda i izdataka'!$J$3:$J$506)+SUMIF('Unos rashoda P4'!$T$3:$T$501,'A.4 RASHODI FUNK'!$A43,'Unos rashoda P4'!$H$3:$H$501)</f>
        <v>0</v>
      </c>
      <c r="D43" s="171">
        <f>SUMIF('Unos rashoda i izdataka'!$R$3:$R$506,'A.4 RASHODI FUNK'!$A43,'Unos rashoda i izdataka'!$K$3:$K$506)+SUMIF('Unos rashoda P4'!$T$3:$T$501,'A.4 RASHODI FUNK'!$A43,'Unos rashoda P4'!$I$3:$I$501)</f>
        <v>0</v>
      </c>
      <c r="E43" s="171">
        <f>SUMIF('Unos rashoda i izdataka'!$R$3:$R$506,'A.4 RASHODI FUNK'!$A43,'Unos rashoda i izdataka'!$L$3:$L$506)+SUMIF('Unos rashoda P4'!$T$3:$T$501,'A.4 RASHODI FUNK'!$A43,'Unos rashoda P4'!$J$3:$J$501)</f>
        <v>0</v>
      </c>
    </row>
    <row r="44" spans="1:5">
      <c r="A44" s="175">
        <v>6</v>
      </c>
      <c r="B44" s="108" t="s">
        <v>3742</v>
      </c>
      <c r="C44" s="177">
        <f t="shared" ref="C44:E44" si="6">SUM(C45:C50)</f>
        <v>0</v>
      </c>
      <c r="D44" s="177">
        <f t="shared" si="6"/>
        <v>0</v>
      </c>
      <c r="E44" s="177">
        <f t="shared" si="6"/>
        <v>0</v>
      </c>
    </row>
    <row r="45" spans="1:5">
      <c r="A45" s="176">
        <v>61</v>
      </c>
      <c r="B45" s="104" t="s">
        <v>3743</v>
      </c>
      <c r="C45" s="171">
        <f>SUMIF('Unos rashoda i izdataka'!$R$3:$R$506,'A.4 RASHODI FUNK'!$A45,'Unos rashoda i izdataka'!$J$3:$J$506)+SUMIF('Unos rashoda P4'!$T$3:$T$501,'A.4 RASHODI FUNK'!$A45,'Unos rashoda P4'!$H$3:$H$501)</f>
        <v>0</v>
      </c>
      <c r="D45" s="171">
        <f>SUMIF('Unos rashoda i izdataka'!$R$3:$R$506,'A.4 RASHODI FUNK'!$A45,'Unos rashoda i izdataka'!$K$3:$K$506)+SUMIF('Unos rashoda P4'!$T$3:$T$501,'A.4 RASHODI FUNK'!$A45,'Unos rashoda P4'!$I$3:$I$501)</f>
        <v>0</v>
      </c>
      <c r="E45" s="171">
        <f>SUMIF('Unos rashoda i izdataka'!$R$3:$R$506,'A.4 RASHODI FUNK'!$A45,'Unos rashoda i izdataka'!$L$3:$L$506)+SUMIF('Unos rashoda P4'!$T$3:$T$501,'A.4 RASHODI FUNK'!$A45,'Unos rashoda P4'!$J$3:$J$501)</f>
        <v>0</v>
      </c>
    </row>
    <row r="46" spans="1:5">
      <c r="A46" s="176">
        <v>62</v>
      </c>
      <c r="B46" s="104" t="s">
        <v>3744</v>
      </c>
      <c r="C46" s="171">
        <f>SUMIF('Unos rashoda i izdataka'!$R$3:$R$506,'A.4 RASHODI FUNK'!$A46,'Unos rashoda i izdataka'!$J$3:$J$506)+SUMIF('Unos rashoda P4'!$T$3:$T$501,'A.4 RASHODI FUNK'!$A46,'Unos rashoda P4'!$H$3:$H$501)</f>
        <v>0</v>
      </c>
      <c r="D46" s="171">
        <f>SUMIF('Unos rashoda i izdataka'!$R$3:$R$506,'A.4 RASHODI FUNK'!$A46,'Unos rashoda i izdataka'!$K$3:$K$506)+SUMIF('Unos rashoda P4'!$T$3:$T$501,'A.4 RASHODI FUNK'!$A46,'Unos rashoda P4'!$I$3:$I$501)</f>
        <v>0</v>
      </c>
      <c r="E46" s="171">
        <f>SUMIF('Unos rashoda i izdataka'!$R$3:$R$506,'A.4 RASHODI FUNK'!$A46,'Unos rashoda i izdataka'!$L$3:$L$506)+SUMIF('Unos rashoda P4'!$T$3:$T$501,'A.4 RASHODI FUNK'!$A46,'Unos rashoda P4'!$J$3:$J$501)</f>
        <v>0</v>
      </c>
    </row>
    <row r="47" spans="1:5">
      <c r="A47" s="176">
        <v>63</v>
      </c>
      <c r="B47" s="104" t="s">
        <v>3745</v>
      </c>
      <c r="C47" s="171">
        <f>SUMIF('Unos rashoda i izdataka'!$R$3:$R$506,'A.4 RASHODI FUNK'!$A47,'Unos rashoda i izdataka'!$J$3:$J$506)+SUMIF('Unos rashoda P4'!$T$3:$T$501,'A.4 RASHODI FUNK'!$A47,'Unos rashoda P4'!$H$3:$H$501)</f>
        <v>0</v>
      </c>
      <c r="D47" s="171">
        <f>SUMIF('Unos rashoda i izdataka'!$R$3:$R$506,'A.4 RASHODI FUNK'!$A47,'Unos rashoda i izdataka'!$K$3:$K$506)+SUMIF('Unos rashoda P4'!$T$3:$T$501,'A.4 RASHODI FUNK'!$A47,'Unos rashoda P4'!$I$3:$I$501)</f>
        <v>0</v>
      </c>
      <c r="E47" s="171">
        <f>SUMIF('Unos rashoda i izdataka'!$R$3:$R$506,'A.4 RASHODI FUNK'!$A47,'Unos rashoda i izdataka'!$L$3:$L$506)+SUMIF('Unos rashoda P4'!$T$3:$T$501,'A.4 RASHODI FUNK'!$A47,'Unos rashoda P4'!$J$3:$J$501)</f>
        <v>0</v>
      </c>
    </row>
    <row r="48" spans="1:5">
      <c r="A48" s="176">
        <v>64</v>
      </c>
      <c r="B48" s="104" t="s">
        <v>3746</v>
      </c>
      <c r="C48" s="171">
        <f>SUMIF('Unos rashoda i izdataka'!$R$3:$R$506,'A.4 RASHODI FUNK'!$A48,'Unos rashoda i izdataka'!$J$3:$J$506)+SUMIF('Unos rashoda P4'!$T$3:$T$501,'A.4 RASHODI FUNK'!$A48,'Unos rashoda P4'!$H$3:$H$501)</f>
        <v>0</v>
      </c>
      <c r="D48" s="171">
        <f>SUMIF('Unos rashoda i izdataka'!$R$3:$R$506,'A.4 RASHODI FUNK'!$A48,'Unos rashoda i izdataka'!$K$3:$K$506)+SUMIF('Unos rashoda P4'!$T$3:$T$501,'A.4 RASHODI FUNK'!$A48,'Unos rashoda P4'!$I$3:$I$501)</f>
        <v>0</v>
      </c>
      <c r="E48" s="171">
        <f>SUMIF('Unos rashoda i izdataka'!$R$3:$R$506,'A.4 RASHODI FUNK'!$A48,'Unos rashoda i izdataka'!$L$3:$L$506)+SUMIF('Unos rashoda P4'!$T$3:$T$501,'A.4 RASHODI FUNK'!$A48,'Unos rashoda P4'!$J$3:$J$501)</f>
        <v>0</v>
      </c>
    </row>
    <row r="49" spans="1:5">
      <c r="A49" s="176">
        <v>65</v>
      </c>
      <c r="B49" s="104" t="s">
        <v>3747</v>
      </c>
      <c r="C49" s="171">
        <f>SUMIF('Unos rashoda i izdataka'!$R$3:$R$506,'A.4 RASHODI FUNK'!$A49,'Unos rashoda i izdataka'!$J$3:$J$506)+SUMIF('Unos rashoda P4'!$T$3:$T$501,'A.4 RASHODI FUNK'!$A49,'Unos rashoda P4'!$H$3:$H$501)</f>
        <v>0</v>
      </c>
      <c r="D49" s="171">
        <f>SUMIF('Unos rashoda i izdataka'!$R$3:$R$506,'A.4 RASHODI FUNK'!$A49,'Unos rashoda i izdataka'!$K$3:$K$506)+SUMIF('Unos rashoda P4'!$T$3:$T$501,'A.4 RASHODI FUNK'!$A49,'Unos rashoda P4'!$I$3:$I$501)</f>
        <v>0</v>
      </c>
      <c r="E49" s="171">
        <f>SUMIF('Unos rashoda i izdataka'!$R$3:$R$506,'A.4 RASHODI FUNK'!$A49,'Unos rashoda i izdataka'!$L$3:$L$506)+SUMIF('Unos rashoda P4'!$T$3:$T$501,'A.4 RASHODI FUNK'!$A49,'Unos rashoda P4'!$J$3:$J$501)</f>
        <v>0</v>
      </c>
    </row>
    <row r="50" spans="1:5">
      <c r="A50" s="176">
        <v>66</v>
      </c>
      <c r="B50" s="104" t="s">
        <v>3748</v>
      </c>
      <c r="C50" s="171">
        <f>SUMIF('Unos rashoda i izdataka'!$R$3:$R$506,'A.4 RASHODI FUNK'!$A50,'Unos rashoda i izdataka'!$J$3:$J$506)+SUMIF('Unos rashoda P4'!$T$3:$T$501,'A.4 RASHODI FUNK'!$A50,'Unos rashoda P4'!$H$3:$H$501)</f>
        <v>0</v>
      </c>
      <c r="D50" s="171">
        <f>SUMIF('Unos rashoda i izdataka'!$R$3:$R$506,'A.4 RASHODI FUNK'!$A50,'Unos rashoda i izdataka'!$K$3:$K$506)+SUMIF('Unos rashoda P4'!$T$3:$T$501,'A.4 RASHODI FUNK'!$A50,'Unos rashoda P4'!$I$3:$I$501)</f>
        <v>0</v>
      </c>
      <c r="E50" s="171">
        <f>SUMIF('Unos rashoda i izdataka'!$R$3:$R$506,'A.4 RASHODI FUNK'!$A50,'Unos rashoda i izdataka'!$L$3:$L$506)+SUMIF('Unos rashoda P4'!$T$3:$T$501,'A.4 RASHODI FUNK'!$A50,'Unos rashoda P4'!$J$3:$J$501)</f>
        <v>0</v>
      </c>
    </row>
    <row r="51" spans="1:5">
      <c r="A51" s="175">
        <v>7</v>
      </c>
      <c r="B51" s="108" t="s">
        <v>3749</v>
      </c>
      <c r="C51" s="177">
        <f t="shared" ref="C51:E51" si="7">SUM(C52:C57)</f>
        <v>0</v>
      </c>
      <c r="D51" s="177">
        <f t="shared" si="7"/>
        <v>0</v>
      </c>
      <c r="E51" s="177">
        <f t="shared" si="7"/>
        <v>0</v>
      </c>
    </row>
    <row r="52" spans="1:5">
      <c r="A52" s="176">
        <v>71</v>
      </c>
      <c r="B52" s="104" t="s">
        <v>3750</v>
      </c>
      <c r="C52" s="171">
        <f>SUMIF('Unos rashoda i izdataka'!$R$3:$R$506,'A.4 RASHODI FUNK'!$A52,'Unos rashoda i izdataka'!$J$3:$J$506)+SUMIF('Unos rashoda P4'!$T$3:$T$501,'A.4 RASHODI FUNK'!$A52,'Unos rashoda P4'!$H$3:$H$501)</f>
        <v>0</v>
      </c>
      <c r="D52" s="171">
        <f>SUMIF('Unos rashoda i izdataka'!$R$3:$R$506,'A.4 RASHODI FUNK'!$A52,'Unos rashoda i izdataka'!$K$3:$K$506)+SUMIF('Unos rashoda P4'!$T$3:$T$501,'A.4 RASHODI FUNK'!$A52,'Unos rashoda P4'!$I$3:$I$501)</f>
        <v>0</v>
      </c>
      <c r="E52" s="171">
        <f>SUMIF('Unos rashoda i izdataka'!$R$3:$R$506,'A.4 RASHODI FUNK'!$A52,'Unos rashoda i izdataka'!$L$3:$L$506)+SUMIF('Unos rashoda P4'!$T$3:$T$501,'A.4 RASHODI FUNK'!$A52,'Unos rashoda P4'!$J$3:$J$501)</f>
        <v>0</v>
      </c>
    </row>
    <row r="53" spans="1:5">
      <c r="A53" s="176">
        <v>72</v>
      </c>
      <c r="B53" s="104" t="s">
        <v>3751</v>
      </c>
      <c r="C53" s="171">
        <f>SUMIF('Unos rashoda i izdataka'!$R$3:$R$506,'A.4 RASHODI FUNK'!$A53,'Unos rashoda i izdataka'!$J$3:$J$506)+SUMIF('Unos rashoda P4'!$T$3:$T$501,'A.4 RASHODI FUNK'!$A53,'Unos rashoda P4'!$H$3:$H$501)</f>
        <v>0</v>
      </c>
      <c r="D53" s="171">
        <f>SUMIF('Unos rashoda i izdataka'!$R$3:$R$506,'A.4 RASHODI FUNK'!$A53,'Unos rashoda i izdataka'!$K$3:$K$506)+SUMIF('Unos rashoda P4'!$T$3:$T$501,'A.4 RASHODI FUNK'!$A53,'Unos rashoda P4'!$I$3:$I$501)</f>
        <v>0</v>
      </c>
      <c r="E53" s="171">
        <f>SUMIF('Unos rashoda i izdataka'!$R$3:$R$506,'A.4 RASHODI FUNK'!$A53,'Unos rashoda i izdataka'!$L$3:$L$506)+SUMIF('Unos rashoda P4'!$T$3:$T$501,'A.4 RASHODI FUNK'!$A53,'Unos rashoda P4'!$J$3:$J$501)</f>
        <v>0</v>
      </c>
    </row>
    <row r="54" spans="1:5">
      <c r="A54" s="176">
        <v>73</v>
      </c>
      <c r="B54" s="104" t="s">
        <v>3752</v>
      </c>
      <c r="C54" s="171">
        <f>SUMIF('Unos rashoda i izdataka'!$R$3:$R$506,'A.4 RASHODI FUNK'!$A54,'Unos rashoda i izdataka'!$J$3:$J$506)+SUMIF('Unos rashoda P4'!$T$3:$T$501,'A.4 RASHODI FUNK'!$A54,'Unos rashoda P4'!$H$3:$H$501)</f>
        <v>0</v>
      </c>
      <c r="D54" s="171">
        <f>SUMIF('Unos rashoda i izdataka'!$R$3:$R$506,'A.4 RASHODI FUNK'!$A54,'Unos rashoda i izdataka'!$K$3:$K$506)+SUMIF('Unos rashoda P4'!$T$3:$T$501,'A.4 RASHODI FUNK'!$A54,'Unos rashoda P4'!$I$3:$I$501)</f>
        <v>0</v>
      </c>
      <c r="E54" s="171">
        <f>SUMIF('Unos rashoda i izdataka'!$R$3:$R$506,'A.4 RASHODI FUNK'!$A54,'Unos rashoda i izdataka'!$L$3:$L$506)+SUMIF('Unos rashoda P4'!$T$3:$T$501,'A.4 RASHODI FUNK'!$A54,'Unos rashoda P4'!$J$3:$J$501)</f>
        <v>0</v>
      </c>
    </row>
    <row r="55" spans="1:5">
      <c r="A55" s="176">
        <v>74</v>
      </c>
      <c r="B55" s="104" t="s">
        <v>3753</v>
      </c>
      <c r="C55" s="171">
        <f>SUMIF('Unos rashoda i izdataka'!$R$3:$R$506,'A.4 RASHODI FUNK'!$A55,'Unos rashoda i izdataka'!$J$3:$J$506)+SUMIF('Unos rashoda P4'!$T$3:$T$501,'A.4 RASHODI FUNK'!$A55,'Unos rashoda P4'!$H$3:$H$501)</f>
        <v>0</v>
      </c>
      <c r="D55" s="171">
        <f>SUMIF('Unos rashoda i izdataka'!$R$3:$R$506,'A.4 RASHODI FUNK'!$A55,'Unos rashoda i izdataka'!$K$3:$K$506)+SUMIF('Unos rashoda P4'!$T$3:$T$501,'A.4 RASHODI FUNK'!$A55,'Unos rashoda P4'!$I$3:$I$501)</f>
        <v>0</v>
      </c>
      <c r="E55" s="171">
        <f>SUMIF('Unos rashoda i izdataka'!$R$3:$R$506,'A.4 RASHODI FUNK'!$A55,'Unos rashoda i izdataka'!$L$3:$L$506)+SUMIF('Unos rashoda P4'!$T$3:$T$501,'A.4 RASHODI FUNK'!$A55,'Unos rashoda P4'!$J$3:$J$501)</f>
        <v>0</v>
      </c>
    </row>
    <row r="56" spans="1:5">
      <c r="A56" s="176">
        <v>75</v>
      </c>
      <c r="B56" s="104" t="s">
        <v>3754</v>
      </c>
      <c r="C56" s="171">
        <f>SUMIF('Unos rashoda i izdataka'!$R$3:$R$506,'A.4 RASHODI FUNK'!$A56,'Unos rashoda i izdataka'!$J$3:$J$506)+SUMIF('Unos rashoda P4'!$T$3:$T$501,'A.4 RASHODI FUNK'!$A56,'Unos rashoda P4'!$H$3:$H$501)</f>
        <v>0</v>
      </c>
      <c r="D56" s="171">
        <f>SUMIF('Unos rashoda i izdataka'!$R$3:$R$506,'A.4 RASHODI FUNK'!$A56,'Unos rashoda i izdataka'!$K$3:$K$506)+SUMIF('Unos rashoda P4'!$T$3:$T$501,'A.4 RASHODI FUNK'!$A56,'Unos rashoda P4'!$I$3:$I$501)</f>
        <v>0</v>
      </c>
      <c r="E56" s="171">
        <f>SUMIF('Unos rashoda i izdataka'!$R$3:$R$506,'A.4 RASHODI FUNK'!$A56,'Unos rashoda i izdataka'!$L$3:$L$506)+SUMIF('Unos rashoda P4'!$T$3:$T$501,'A.4 RASHODI FUNK'!$A56,'Unos rashoda P4'!$J$3:$J$501)</f>
        <v>0</v>
      </c>
    </row>
    <row r="57" spans="1:5">
      <c r="A57" s="176">
        <v>76</v>
      </c>
      <c r="B57" s="104" t="s">
        <v>3755</v>
      </c>
      <c r="C57" s="171">
        <f>SUMIF('Unos rashoda i izdataka'!$R$3:$R$506,'A.4 RASHODI FUNK'!$A57,'Unos rashoda i izdataka'!$J$3:$J$506)+SUMIF('Unos rashoda P4'!$T$3:$T$501,'A.4 RASHODI FUNK'!$A57,'Unos rashoda P4'!$H$3:$H$501)</f>
        <v>0</v>
      </c>
      <c r="D57" s="171">
        <f>SUMIF('Unos rashoda i izdataka'!$R$3:$R$506,'A.4 RASHODI FUNK'!$A57,'Unos rashoda i izdataka'!$K$3:$K$506)+SUMIF('Unos rashoda P4'!$T$3:$T$501,'A.4 RASHODI FUNK'!$A57,'Unos rashoda P4'!$I$3:$I$501)</f>
        <v>0</v>
      </c>
      <c r="E57" s="171">
        <f>SUMIF('Unos rashoda i izdataka'!$R$3:$R$506,'A.4 RASHODI FUNK'!$A57,'Unos rashoda i izdataka'!$L$3:$L$506)+SUMIF('Unos rashoda P4'!$T$3:$T$501,'A.4 RASHODI FUNK'!$A57,'Unos rashoda P4'!$J$3:$J$501)</f>
        <v>0</v>
      </c>
    </row>
    <row r="58" spans="1:5">
      <c r="A58" s="175">
        <v>8</v>
      </c>
      <c r="B58" s="108" t="s">
        <v>3756</v>
      </c>
      <c r="C58" s="177">
        <f t="shared" ref="C58:E58" si="8">SUM(C59:C64)</f>
        <v>0</v>
      </c>
      <c r="D58" s="177">
        <f t="shared" si="8"/>
        <v>0</v>
      </c>
      <c r="E58" s="177">
        <f t="shared" si="8"/>
        <v>0</v>
      </c>
    </row>
    <row r="59" spans="1:5">
      <c r="A59" s="176">
        <v>81</v>
      </c>
      <c r="B59" s="104" t="s">
        <v>3757</v>
      </c>
      <c r="C59" s="171">
        <f>SUMIF('Unos rashoda i izdataka'!$R$3:$R$506,'A.4 RASHODI FUNK'!$A59,'Unos rashoda i izdataka'!$J$3:$J$506)+SUMIF('Unos rashoda P4'!$T$3:$T$501,'A.4 RASHODI FUNK'!$A59,'Unos rashoda P4'!$H$3:$H$501)</f>
        <v>0</v>
      </c>
      <c r="D59" s="171">
        <f>SUMIF('Unos rashoda i izdataka'!$R$3:$R$506,'A.4 RASHODI FUNK'!$A59,'Unos rashoda i izdataka'!$K$3:$K$506)+SUMIF('Unos rashoda P4'!$T$3:$T$501,'A.4 RASHODI FUNK'!$A59,'Unos rashoda P4'!$I$3:$I$501)</f>
        <v>0</v>
      </c>
      <c r="E59" s="171">
        <f>SUMIF('Unos rashoda i izdataka'!$R$3:$R$506,'A.4 RASHODI FUNK'!$A59,'Unos rashoda i izdataka'!$L$3:$L$506)+SUMIF('Unos rashoda P4'!$T$3:$T$501,'A.4 RASHODI FUNK'!$A59,'Unos rashoda P4'!$J$3:$J$501)</f>
        <v>0</v>
      </c>
    </row>
    <row r="60" spans="1:5">
      <c r="A60" s="176">
        <v>82</v>
      </c>
      <c r="B60" s="104" t="s">
        <v>678</v>
      </c>
      <c r="C60" s="171">
        <f>SUMIF('Unos rashoda i izdataka'!$R$3:$R$506,'A.4 RASHODI FUNK'!$A60,'Unos rashoda i izdataka'!$J$3:$J$506)+SUMIF('Unos rashoda P4'!$T$3:$T$501,'A.4 RASHODI FUNK'!$A60,'Unos rashoda P4'!$H$3:$H$501)</f>
        <v>0</v>
      </c>
      <c r="D60" s="171">
        <f>SUMIF('Unos rashoda i izdataka'!$R$3:$R$506,'A.4 RASHODI FUNK'!$A60,'Unos rashoda i izdataka'!$K$3:$K$506)+SUMIF('Unos rashoda P4'!$T$3:$T$501,'A.4 RASHODI FUNK'!$A60,'Unos rashoda P4'!$I$3:$I$501)</f>
        <v>0</v>
      </c>
      <c r="E60" s="171">
        <f>SUMIF('Unos rashoda i izdataka'!$R$3:$R$506,'A.4 RASHODI FUNK'!$A60,'Unos rashoda i izdataka'!$L$3:$L$506)+SUMIF('Unos rashoda P4'!$T$3:$T$501,'A.4 RASHODI FUNK'!$A60,'Unos rashoda P4'!$J$3:$J$501)</f>
        <v>0</v>
      </c>
    </row>
    <row r="61" spans="1:5">
      <c r="A61" s="176">
        <v>83</v>
      </c>
      <c r="B61" s="104" t="s">
        <v>3758</v>
      </c>
      <c r="C61" s="171">
        <f>SUMIF('Unos rashoda i izdataka'!$R$3:$R$506,'A.4 RASHODI FUNK'!$A61,'Unos rashoda i izdataka'!$J$3:$J$506)+SUMIF('Unos rashoda P4'!$T$3:$T$501,'A.4 RASHODI FUNK'!$A61,'Unos rashoda P4'!$H$3:$H$501)</f>
        <v>0</v>
      </c>
      <c r="D61" s="171">
        <f>SUMIF('Unos rashoda i izdataka'!$R$3:$R$506,'A.4 RASHODI FUNK'!$A61,'Unos rashoda i izdataka'!$K$3:$K$506)+SUMIF('Unos rashoda P4'!$T$3:$T$501,'A.4 RASHODI FUNK'!$A61,'Unos rashoda P4'!$I$3:$I$501)</f>
        <v>0</v>
      </c>
      <c r="E61" s="171">
        <f>SUMIF('Unos rashoda i izdataka'!$R$3:$R$506,'A.4 RASHODI FUNK'!$A61,'Unos rashoda i izdataka'!$L$3:$L$506)+SUMIF('Unos rashoda P4'!$T$3:$T$501,'A.4 RASHODI FUNK'!$A61,'Unos rashoda P4'!$J$3:$J$501)</f>
        <v>0</v>
      </c>
    </row>
    <row r="62" spans="1:5">
      <c r="A62" s="176">
        <v>84</v>
      </c>
      <c r="B62" s="104" t="s">
        <v>3759</v>
      </c>
      <c r="C62" s="171">
        <f>SUMIF('Unos rashoda i izdataka'!$R$3:$R$506,'A.4 RASHODI FUNK'!$A62,'Unos rashoda i izdataka'!$J$3:$J$506)+SUMIF('Unos rashoda P4'!$T$3:$T$501,'A.4 RASHODI FUNK'!$A62,'Unos rashoda P4'!$H$3:$H$501)</f>
        <v>0</v>
      </c>
      <c r="D62" s="171">
        <f>SUMIF('Unos rashoda i izdataka'!$R$3:$R$506,'A.4 RASHODI FUNK'!$A62,'Unos rashoda i izdataka'!$K$3:$K$506)+SUMIF('Unos rashoda P4'!$T$3:$T$501,'A.4 RASHODI FUNK'!$A62,'Unos rashoda P4'!$I$3:$I$501)</f>
        <v>0</v>
      </c>
      <c r="E62" s="171">
        <f>SUMIF('Unos rashoda i izdataka'!$R$3:$R$506,'A.4 RASHODI FUNK'!$A62,'Unos rashoda i izdataka'!$L$3:$L$506)+SUMIF('Unos rashoda P4'!$T$3:$T$501,'A.4 RASHODI FUNK'!$A62,'Unos rashoda P4'!$J$3:$J$501)</f>
        <v>0</v>
      </c>
    </row>
    <row r="63" spans="1:5">
      <c r="A63" s="176">
        <v>85</v>
      </c>
      <c r="B63" s="104" t="s">
        <v>3760</v>
      </c>
      <c r="C63" s="171">
        <f>SUMIF('Unos rashoda i izdataka'!$R$3:$R$506,'A.4 RASHODI FUNK'!$A63,'Unos rashoda i izdataka'!$J$3:$J$506)+SUMIF('Unos rashoda P4'!$T$3:$T$501,'A.4 RASHODI FUNK'!$A63,'Unos rashoda P4'!$H$3:$H$501)</f>
        <v>0</v>
      </c>
      <c r="D63" s="171">
        <f>SUMIF('Unos rashoda i izdataka'!$R$3:$R$506,'A.4 RASHODI FUNK'!$A63,'Unos rashoda i izdataka'!$K$3:$K$506)+SUMIF('Unos rashoda P4'!$T$3:$T$501,'A.4 RASHODI FUNK'!$A63,'Unos rashoda P4'!$I$3:$I$501)</f>
        <v>0</v>
      </c>
      <c r="E63" s="171">
        <f>SUMIF('Unos rashoda i izdataka'!$R$3:$R$506,'A.4 RASHODI FUNK'!$A63,'Unos rashoda i izdataka'!$L$3:$L$506)+SUMIF('Unos rashoda P4'!$T$3:$T$501,'A.4 RASHODI FUNK'!$A63,'Unos rashoda P4'!$J$3:$J$501)</f>
        <v>0</v>
      </c>
    </row>
    <row r="64" spans="1:5">
      <c r="A64" s="176">
        <v>86</v>
      </c>
      <c r="B64" s="104" t="s">
        <v>3761</v>
      </c>
      <c r="C64" s="171">
        <f>SUMIF('Unos rashoda i izdataka'!$R$3:$R$506,'A.4 RASHODI FUNK'!$A64,'Unos rashoda i izdataka'!$J$3:$J$506)+SUMIF('Unos rashoda P4'!$T$3:$T$501,'A.4 RASHODI FUNK'!$A64,'Unos rashoda P4'!$H$3:$H$501)</f>
        <v>0</v>
      </c>
      <c r="D64" s="171">
        <f>SUMIF('Unos rashoda i izdataka'!$R$3:$R$506,'A.4 RASHODI FUNK'!$A64,'Unos rashoda i izdataka'!$K$3:$K$506)+SUMIF('Unos rashoda P4'!$T$3:$T$501,'A.4 RASHODI FUNK'!$A64,'Unos rashoda P4'!$I$3:$I$501)</f>
        <v>0</v>
      </c>
      <c r="E64" s="171">
        <f>SUMIF('Unos rashoda i izdataka'!$R$3:$R$506,'A.4 RASHODI FUNK'!$A64,'Unos rashoda i izdataka'!$L$3:$L$506)+SUMIF('Unos rashoda P4'!$T$3:$T$501,'A.4 RASHODI FUNK'!$A64,'Unos rashoda P4'!$J$3:$J$501)</f>
        <v>0</v>
      </c>
    </row>
    <row r="65" spans="1:5">
      <c r="A65" s="175">
        <v>9</v>
      </c>
      <c r="B65" s="108" t="s">
        <v>3762</v>
      </c>
      <c r="C65" s="177">
        <f t="shared" ref="C65:E65" si="9">SUM(C66:C73)</f>
        <v>0</v>
      </c>
      <c r="D65" s="177">
        <f t="shared" si="9"/>
        <v>0</v>
      </c>
      <c r="E65" s="177">
        <f t="shared" si="9"/>
        <v>0</v>
      </c>
    </row>
    <row r="66" spans="1:5">
      <c r="A66" s="176">
        <v>91</v>
      </c>
      <c r="B66" s="104" t="s">
        <v>3763</v>
      </c>
      <c r="C66" s="171">
        <f>SUMIF('Unos rashoda i izdataka'!$R$3:$R$506,'A.4 RASHODI FUNK'!$A66,'Unos rashoda i izdataka'!$J$3:$J$506)+SUMIF('Unos rashoda P4'!$T$3:$T$501,'A.4 RASHODI FUNK'!$A66,'Unos rashoda P4'!$H$3:$H$501)</f>
        <v>0</v>
      </c>
      <c r="D66" s="171">
        <f>SUMIF('Unos rashoda i izdataka'!$R$3:$R$506,'A.4 RASHODI FUNK'!$A66,'Unos rashoda i izdataka'!$K$3:$K$506)+SUMIF('Unos rashoda P4'!$T$3:$T$501,'A.4 RASHODI FUNK'!$A66,'Unos rashoda P4'!$I$3:$I$501)</f>
        <v>0</v>
      </c>
      <c r="E66" s="171">
        <f>SUMIF('Unos rashoda i izdataka'!$R$3:$R$506,'A.4 RASHODI FUNK'!$A66,'Unos rashoda i izdataka'!$L$3:$L$506)+SUMIF('Unos rashoda P4'!$T$3:$T$501,'A.4 RASHODI FUNK'!$A66,'Unos rashoda P4'!$J$3:$J$501)</f>
        <v>0</v>
      </c>
    </row>
    <row r="67" spans="1:5">
      <c r="A67" s="176">
        <v>92</v>
      </c>
      <c r="B67" s="104" t="s">
        <v>3764</v>
      </c>
      <c r="C67" s="171">
        <f>SUMIF('Unos rashoda i izdataka'!$R$3:$R$506,'A.4 RASHODI FUNK'!$A67,'Unos rashoda i izdataka'!$J$3:$J$506)+SUMIF('Unos rashoda P4'!$T$3:$T$501,'A.4 RASHODI FUNK'!$A67,'Unos rashoda P4'!$H$3:$H$501)</f>
        <v>0</v>
      </c>
      <c r="D67" s="171">
        <f>SUMIF('Unos rashoda i izdataka'!$R$3:$R$506,'A.4 RASHODI FUNK'!$A67,'Unos rashoda i izdataka'!$K$3:$K$506)+SUMIF('Unos rashoda P4'!$T$3:$T$501,'A.4 RASHODI FUNK'!$A67,'Unos rashoda P4'!$I$3:$I$501)</f>
        <v>0</v>
      </c>
      <c r="E67" s="171">
        <f>SUMIF('Unos rashoda i izdataka'!$R$3:$R$506,'A.4 RASHODI FUNK'!$A67,'Unos rashoda i izdataka'!$L$3:$L$506)+SUMIF('Unos rashoda P4'!$T$3:$T$501,'A.4 RASHODI FUNK'!$A67,'Unos rashoda P4'!$J$3:$J$501)</f>
        <v>0</v>
      </c>
    </row>
    <row r="68" spans="1:5">
      <c r="A68" s="176">
        <v>93</v>
      </c>
      <c r="B68" s="104" t="s">
        <v>3765</v>
      </c>
      <c r="C68" s="171">
        <f>SUMIF('Unos rashoda i izdataka'!$R$3:$R$506,'A.4 RASHODI FUNK'!$A68,'Unos rashoda i izdataka'!$J$3:$J$506)+SUMIF('Unos rashoda P4'!$T$3:$T$501,'A.4 RASHODI FUNK'!$A68,'Unos rashoda P4'!$H$3:$H$501)</f>
        <v>0</v>
      </c>
      <c r="D68" s="171">
        <f>SUMIF('Unos rashoda i izdataka'!$R$3:$R$506,'A.4 RASHODI FUNK'!$A68,'Unos rashoda i izdataka'!$K$3:$K$506)+SUMIF('Unos rashoda P4'!$T$3:$T$501,'A.4 RASHODI FUNK'!$A68,'Unos rashoda P4'!$I$3:$I$501)</f>
        <v>0</v>
      </c>
      <c r="E68" s="171">
        <f>SUMIF('Unos rashoda i izdataka'!$R$3:$R$506,'A.4 RASHODI FUNK'!$A68,'Unos rashoda i izdataka'!$L$3:$L$506)+SUMIF('Unos rashoda P4'!$T$3:$T$501,'A.4 RASHODI FUNK'!$A68,'Unos rashoda P4'!$J$3:$J$501)</f>
        <v>0</v>
      </c>
    </row>
    <row r="69" spans="1:5">
      <c r="A69" s="176">
        <v>94</v>
      </c>
      <c r="B69" s="104" t="s">
        <v>3766</v>
      </c>
      <c r="C69" s="171">
        <v>0</v>
      </c>
      <c r="D69" s="171">
        <f>SUMIF('Unos rashoda i izdataka'!$R$3:$R$506,'A.4 RASHODI FUNK'!$A69,'Unos rashoda i izdataka'!$K$3:$K$506)+SUMIF('Unos rashoda P4'!$T$3:$T$501,'A.4 RASHODI FUNK'!$A69,'Unos rashoda P4'!$I$3:$I$501)</f>
        <v>0</v>
      </c>
      <c r="E69" s="171">
        <f>SUMIF('Unos rashoda i izdataka'!$R$3:$R$506,'A.4 RASHODI FUNK'!$A69,'Unos rashoda i izdataka'!$L$3:$L$506)+SUMIF('Unos rashoda P4'!$T$3:$T$501,'A.4 RASHODI FUNK'!$A69,'Unos rashoda P4'!$J$3:$J$501)</f>
        <v>0</v>
      </c>
    </row>
    <row r="70" spans="1:5">
      <c r="A70" s="176">
        <v>95</v>
      </c>
      <c r="B70" s="104" t="s">
        <v>1042</v>
      </c>
      <c r="C70" s="171">
        <f>SUMIF('Unos rashoda i izdataka'!$R$3:$R$506,'A.4 RASHODI FUNK'!$A70,'Unos rashoda i izdataka'!$J$3:$J$506)+SUMIF('Unos rashoda P4'!$T$3:$T$501,'A.4 RASHODI FUNK'!$A70,'Unos rashoda P4'!$H$3:$H$501)</f>
        <v>0</v>
      </c>
      <c r="D70" s="171">
        <f>SUMIF('Unos rashoda i izdataka'!$R$3:$R$506,'A.4 RASHODI FUNK'!$A70,'Unos rashoda i izdataka'!$K$3:$K$506)+SUMIF('Unos rashoda P4'!$T$3:$T$501,'A.4 RASHODI FUNK'!$A70,'Unos rashoda P4'!$I$3:$I$501)</f>
        <v>0</v>
      </c>
      <c r="E70" s="171">
        <f>SUMIF('Unos rashoda i izdataka'!$R$3:$R$506,'A.4 RASHODI FUNK'!$A70,'Unos rashoda i izdataka'!$L$3:$L$506)+SUMIF('Unos rashoda P4'!$T$3:$T$501,'A.4 RASHODI FUNK'!$A70,'Unos rashoda P4'!$J$3:$J$501)</f>
        <v>0</v>
      </c>
    </row>
    <row r="71" spans="1:5">
      <c r="A71" s="176">
        <v>96</v>
      </c>
      <c r="B71" s="104" t="s">
        <v>795</v>
      </c>
      <c r="C71" s="171">
        <f>SUMIF('Unos rashoda i izdataka'!$R$3:$R$506,'A.4 RASHODI FUNK'!$A71,'Unos rashoda i izdataka'!$J$3:$J$506)+SUMIF('Unos rashoda P4'!$T$3:$T$501,'A.4 RASHODI FUNK'!$A71,'Unos rashoda P4'!$H$3:$H$501)</f>
        <v>0</v>
      </c>
      <c r="D71" s="171">
        <f>SUMIF('Unos rashoda i izdataka'!$R$3:$R$506,'A.4 RASHODI FUNK'!$A71,'Unos rashoda i izdataka'!$K$3:$K$506)+SUMIF('Unos rashoda P4'!$T$3:$T$501,'A.4 RASHODI FUNK'!$A71,'Unos rashoda P4'!$I$3:$I$501)</f>
        <v>0</v>
      </c>
      <c r="E71" s="171">
        <f>SUMIF('Unos rashoda i izdataka'!$R$3:$R$506,'A.4 RASHODI FUNK'!$A71,'Unos rashoda i izdataka'!$L$3:$L$506)+SUMIF('Unos rashoda P4'!$T$3:$T$501,'A.4 RASHODI FUNK'!$A71,'Unos rashoda P4'!$J$3:$J$501)</f>
        <v>0</v>
      </c>
    </row>
    <row r="72" spans="1:5">
      <c r="A72" s="176">
        <v>97</v>
      </c>
      <c r="B72" s="104" t="s">
        <v>649</v>
      </c>
      <c r="C72" s="171">
        <f>SUMIF('Unos rashoda i izdataka'!$R$3:$R$506,'A.4 RASHODI FUNK'!$A72,'Unos rashoda i izdataka'!$J$3:$J$506)+SUMIF('Unos rashoda P4'!$T$3:$T$501,'A.4 RASHODI FUNK'!$A72,'Unos rashoda P4'!$H$3:$H$501)</f>
        <v>0</v>
      </c>
      <c r="D72" s="171">
        <f>SUMIF('Unos rashoda i izdataka'!$R$3:$R$506,'A.4 RASHODI FUNK'!$A72,'Unos rashoda i izdataka'!$K$3:$K$506)+SUMIF('Unos rashoda P4'!$T$3:$T$501,'A.4 RASHODI FUNK'!$A72,'Unos rashoda P4'!$I$3:$I$501)</f>
        <v>0</v>
      </c>
      <c r="E72" s="171">
        <f>SUMIF('Unos rashoda i izdataka'!$R$3:$R$506,'A.4 RASHODI FUNK'!$A72,'Unos rashoda i izdataka'!$L$3:$L$506)+SUMIF('Unos rashoda P4'!$T$3:$T$501,'A.4 RASHODI FUNK'!$A72,'Unos rashoda P4'!$J$3:$J$501)</f>
        <v>0</v>
      </c>
    </row>
    <row r="73" spans="1:5">
      <c r="A73" s="176">
        <v>98</v>
      </c>
      <c r="B73" s="104" t="s">
        <v>657</v>
      </c>
      <c r="C73" s="171">
        <f>SUMIF('Unos rashoda i izdataka'!$R$3:$R$506,'A.4 RASHODI FUNK'!$A73,'Unos rashoda i izdataka'!$J$3:$J$506)+SUMIF('Unos rashoda P4'!$T$3:$T$501,'A.4 RASHODI FUNK'!$A73,'Unos rashoda P4'!$H$3:$H$501)</f>
        <v>0</v>
      </c>
      <c r="D73" s="171">
        <f>SUMIF('Unos rashoda i izdataka'!$R$3:$R$506,'A.4 RASHODI FUNK'!$A73,'Unos rashoda i izdataka'!$K$3:$K$506)+SUMIF('Unos rashoda P4'!$T$3:$T$501,'A.4 RASHODI FUNK'!$A73,'Unos rashoda P4'!$I$3:$I$501)</f>
        <v>0</v>
      </c>
      <c r="E73" s="171">
        <f>SUMIF('Unos rashoda i izdataka'!$R$3:$R$506,'A.4 RASHODI FUNK'!$A73,'Unos rashoda i izdataka'!$L$3:$L$506)+SUMIF('Unos rashoda P4'!$T$3:$T$501,'A.4 RASHODI FUNK'!$A73,'Unos rashoda P4'!$J$3:$J$501)</f>
        <v>0</v>
      </c>
    </row>
    <row r="74" spans="1:5">
      <c r="A74" s="175">
        <v>10</v>
      </c>
      <c r="B74" s="108" t="s">
        <v>3767</v>
      </c>
      <c r="C74" s="177">
        <f t="shared" ref="C74:E74" si="10">SUM(C75:C83)</f>
        <v>0</v>
      </c>
      <c r="D74" s="177">
        <f t="shared" si="10"/>
        <v>0</v>
      </c>
      <c r="E74" s="177">
        <f t="shared" si="10"/>
        <v>0</v>
      </c>
    </row>
    <row r="75" spans="1:5">
      <c r="A75" s="176">
        <v>101</v>
      </c>
      <c r="B75" s="104" t="s">
        <v>3768</v>
      </c>
      <c r="C75" s="171">
        <f>SUMIF('Unos rashoda i izdataka'!$R$3:$R$506,'A.4 RASHODI FUNK'!$A75,'Unos rashoda i izdataka'!$J$3:$J$506)+SUMIF('Unos rashoda P4'!$T$3:$T$501,'A.4 RASHODI FUNK'!$A75,'Unos rashoda P4'!$H$3:$H$501)</f>
        <v>0</v>
      </c>
      <c r="D75" s="171">
        <f>SUMIF('Unos rashoda i izdataka'!$R$3:$R$506,'A.4 RASHODI FUNK'!$A75,'Unos rashoda i izdataka'!$K$3:$K$506)+SUMIF('Unos rashoda P4'!$T$3:$T$501,'A.4 RASHODI FUNK'!$A75,'Unos rashoda P4'!$I$3:$I$501)</f>
        <v>0</v>
      </c>
      <c r="E75" s="171">
        <f>SUMIF('Unos rashoda i izdataka'!$R$3:$R$506,'A.4 RASHODI FUNK'!$A75,'Unos rashoda i izdataka'!$L$3:$L$506)+SUMIF('Unos rashoda P4'!$T$3:$T$501,'A.4 RASHODI FUNK'!$A75,'Unos rashoda P4'!$J$3:$J$501)</f>
        <v>0</v>
      </c>
    </row>
    <row r="76" spans="1:5">
      <c r="A76" s="176">
        <v>102</v>
      </c>
      <c r="B76" s="104" t="s">
        <v>3769</v>
      </c>
      <c r="C76" s="171">
        <f>SUMIF('Unos rashoda i izdataka'!$R$3:$R$506,'A.4 RASHODI FUNK'!$A76,'Unos rashoda i izdataka'!$J$3:$J$506)+SUMIF('Unos rashoda P4'!$T$3:$T$501,'A.4 RASHODI FUNK'!$A76,'Unos rashoda P4'!$H$3:$H$501)</f>
        <v>0</v>
      </c>
      <c r="D76" s="171">
        <f>SUMIF('Unos rashoda i izdataka'!$R$3:$R$506,'A.4 RASHODI FUNK'!$A76,'Unos rashoda i izdataka'!$K$3:$K$506)+SUMIF('Unos rashoda P4'!$T$3:$T$501,'A.4 RASHODI FUNK'!$A76,'Unos rashoda P4'!$I$3:$I$501)</f>
        <v>0</v>
      </c>
      <c r="E76" s="171">
        <f>SUMIF('Unos rashoda i izdataka'!$R$3:$R$506,'A.4 RASHODI FUNK'!$A76,'Unos rashoda i izdataka'!$L$3:$L$506)+SUMIF('Unos rashoda P4'!$T$3:$T$501,'A.4 RASHODI FUNK'!$A76,'Unos rashoda P4'!$J$3:$J$501)</f>
        <v>0</v>
      </c>
    </row>
    <row r="77" spans="1:5">
      <c r="A77" s="176">
        <v>103</v>
      </c>
      <c r="B77" s="104" t="s">
        <v>3770</v>
      </c>
      <c r="C77" s="171">
        <f>SUMIF('Unos rashoda i izdataka'!$R$3:$R$506,'A.4 RASHODI FUNK'!$A77,'Unos rashoda i izdataka'!$J$3:$J$506)+SUMIF('Unos rashoda P4'!$T$3:$T$501,'A.4 RASHODI FUNK'!$A77,'Unos rashoda P4'!$H$3:$H$501)</f>
        <v>0</v>
      </c>
      <c r="D77" s="171">
        <f>SUMIF('Unos rashoda i izdataka'!$R$3:$R$506,'A.4 RASHODI FUNK'!$A77,'Unos rashoda i izdataka'!$K$3:$K$506)+SUMIF('Unos rashoda P4'!$T$3:$T$501,'A.4 RASHODI FUNK'!$A77,'Unos rashoda P4'!$I$3:$I$501)</f>
        <v>0</v>
      </c>
      <c r="E77" s="171">
        <f>SUMIF('Unos rashoda i izdataka'!$R$3:$R$506,'A.4 RASHODI FUNK'!$A77,'Unos rashoda i izdataka'!$L$3:$L$506)+SUMIF('Unos rashoda P4'!$T$3:$T$501,'A.4 RASHODI FUNK'!$A77,'Unos rashoda P4'!$J$3:$J$501)</f>
        <v>0</v>
      </c>
    </row>
    <row r="78" spans="1:5">
      <c r="A78" s="176">
        <v>104</v>
      </c>
      <c r="B78" s="104" t="s">
        <v>3771</v>
      </c>
      <c r="C78" s="171">
        <f>SUMIF('Unos rashoda i izdataka'!$R$3:$R$506,'A.4 RASHODI FUNK'!$A78,'Unos rashoda i izdataka'!$J$3:$J$506)+SUMIF('Unos rashoda P4'!$T$3:$T$501,'A.4 RASHODI FUNK'!$A78,'Unos rashoda P4'!$H$3:$H$501)</f>
        <v>0</v>
      </c>
      <c r="D78" s="171">
        <f>SUMIF('Unos rashoda i izdataka'!$R$3:$R$506,'A.4 RASHODI FUNK'!$A78,'Unos rashoda i izdataka'!$K$3:$K$506)+SUMIF('Unos rashoda P4'!$T$3:$T$501,'A.4 RASHODI FUNK'!$A78,'Unos rashoda P4'!$I$3:$I$501)</f>
        <v>0</v>
      </c>
      <c r="E78" s="171">
        <f>SUMIF('Unos rashoda i izdataka'!$R$3:$R$506,'A.4 RASHODI FUNK'!$A78,'Unos rashoda i izdataka'!$L$3:$L$506)+SUMIF('Unos rashoda P4'!$T$3:$T$501,'A.4 RASHODI FUNK'!$A78,'Unos rashoda P4'!$J$3:$J$501)</f>
        <v>0</v>
      </c>
    </row>
    <row r="79" spans="1:5">
      <c r="A79" s="176">
        <v>105</v>
      </c>
      <c r="B79" s="104" t="s">
        <v>3772</v>
      </c>
      <c r="C79" s="171">
        <f>SUMIF('Unos rashoda i izdataka'!$R$3:$R$506,'A.4 RASHODI FUNK'!$A79,'Unos rashoda i izdataka'!$J$3:$J$506)+SUMIF('Unos rashoda P4'!$T$3:$T$501,'A.4 RASHODI FUNK'!$A79,'Unos rashoda P4'!$H$3:$H$501)</f>
        <v>0</v>
      </c>
      <c r="D79" s="171">
        <f>SUMIF('Unos rashoda i izdataka'!$R$3:$R$506,'A.4 RASHODI FUNK'!$A79,'Unos rashoda i izdataka'!$K$3:$K$506)+SUMIF('Unos rashoda P4'!$T$3:$T$501,'A.4 RASHODI FUNK'!$A79,'Unos rashoda P4'!$I$3:$I$501)</f>
        <v>0</v>
      </c>
      <c r="E79" s="171">
        <f>SUMIF('Unos rashoda i izdataka'!$R$3:$R$506,'A.4 RASHODI FUNK'!$A79,'Unos rashoda i izdataka'!$L$3:$L$506)+SUMIF('Unos rashoda P4'!$T$3:$T$501,'A.4 RASHODI FUNK'!$A79,'Unos rashoda P4'!$J$3:$J$501)</f>
        <v>0</v>
      </c>
    </row>
    <row r="80" spans="1:5">
      <c r="A80" s="176">
        <v>106</v>
      </c>
      <c r="B80" s="104" t="s">
        <v>3773</v>
      </c>
      <c r="C80" s="171">
        <f>SUMIF('Unos rashoda i izdataka'!$R$3:$R$506,'A.4 RASHODI FUNK'!$A80,'Unos rashoda i izdataka'!$J$3:$J$506)+SUMIF('Unos rashoda P4'!$T$3:$T$501,'A.4 RASHODI FUNK'!$A80,'Unos rashoda P4'!$H$3:$H$501)</f>
        <v>0</v>
      </c>
      <c r="D80" s="171">
        <f>SUMIF('Unos rashoda i izdataka'!$R$3:$R$506,'A.4 RASHODI FUNK'!$A80,'Unos rashoda i izdataka'!$K$3:$K$506)+SUMIF('Unos rashoda P4'!$T$3:$T$501,'A.4 RASHODI FUNK'!$A80,'Unos rashoda P4'!$I$3:$I$501)</f>
        <v>0</v>
      </c>
      <c r="E80" s="171">
        <f>SUMIF('Unos rashoda i izdataka'!$R$3:$R$506,'A.4 RASHODI FUNK'!$A80,'Unos rashoda i izdataka'!$L$3:$L$506)+SUMIF('Unos rashoda P4'!$T$3:$T$501,'A.4 RASHODI FUNK'!$A80,'Unos rashoda P4'!$J$3:$J$501)</f>
        <v>0</v>
      </c>
    </row>
    <row r="81" spans="1:5" s="289" customFormat="1" ht="25.5">
      <c r="A81" s="176">
        <v>107</v>
      </c>
      <c r="B81" s="104" t="s">
        <v>3774</v>
      </c>
      <c r="C81" s="171">
        <f>SUMIF('Unos rashoda i izdataka'!$R$3:$R$506,'A.4 RASHODI FUNK'!$A81,'Unos rashoda i izdataka'!$J$3:$J$506)+SUMIF('Unos rashoda P4'!$T$3:$T$501,'A.4 RASHODI FUNK'!$A81,'Unos rashoda P4'!$H$3:$H$501)</f>
        <v>0</v>
      </c>
      <c r="D81" s="171">
        <f>SUMIF('Unos rashoda i izdataka'!$R$3:$R$506,'A.4 RASHODI FUNK'!$A81,'Unos rashoda i izdataka'!$K$3:$K$506)+SUMIF('Unos rashoda P4'!$T$3:$T$501,'A.4 RASHODI FUNK'!$A81,'Unos rashoda P4'!$I$3:$I$501)</f>
        <v>0</v>
      </c>
      <c r="E81" s="171">
        <f>SUMIF('Unos rashoda i izdataka'!$R$3:$R$506,'A.4 RASHODI FUNK'!$A81,'Unos rashoda i izdataka'!$L$3:$L$506)+SUMIF('Unos rashoda P4'!$T$3:$T$501,'A.4 RASHODI FUNK'!$A81,'Unos rashoda P4'!$J$3:$J$501)</f>
        <v>0</v>
      </c>
    </row>
    <row r="82" spans="1:5">
      <c r="A82" s="176">
        <v>108</v>
      </c>
      <c r="B82" s="104" t="s">
        <v>3775</v>
      </c>
      <c r="C82" s="171">
        <f>SUMIF('Unos rashoda i izdataka'!$R$3:$R$506,'A.4 RASHODI FUNK'!$A82,'Unos rashoda i izdataka'!$J$3:$J$506)+SUMIF('Unos rashoda P4'!$T$3:$T$501,'A.4 RASHODI FUNK'!$A82,'Unos rashoda P4'!$H$3:$H$501)</f>
        <v>0</v>
      </c>
      <c r="D82" s="171">
        <f>SUMIF('Unos rashoda i izdataka'!$R$3:$R$506,'A.4 RASHODI FUNK'!$A82,'Unos rashoda i izdataka'!$K$3:$K$506)+SUMIF('Unos rashoda P4'!$T$3:$T$501,'A.4 RASHODI FUNK'!$A82,'Unos rashoda P4'!$I$3:$I$501)</f>
        <v>0</v>
      </c>
      <c r="E82" s="171">
        <f>SUMIF('Unos rashoda i izdataka'!$R$3:$R$506,'A.4 RASHODI FUNK'!$A82,'Unos rashoda i izdataka'!$L$3:$L$506)+SUMIF('Unos rashoda P4'!$T$3:$T$501,'A.4 RASHODI FUNK'!$A82,'Unos rashoda P4'!$J$3:$J$501)</f>
        <v>0</v>
      </c>
    </row>
    <row r="83" spans="1:5">
      <c r="A83" s="176">
        <v>109</v>
      </c>
      <c r="B83" s="104" t="s">
        <v>3776</v>
      </c>
      <c r="C83" s="171">
        <f>SUMIF('Unos rashoda i izdataka'!$R$3:$R$506,'A.4 RASHODI FUNK'!$A83,'Unos rashoda i izdataka'!$J$3:$J$506)+SUMIF('Unos rashoda P4'!$T$3:$T$501,'A.4 RASHODI FUNK'!$A83,'Unos rashoda P4'!$H$3:$H$501)</f>
        <v>0</v>
      </c>
      <c r="D83" s="171">
        <f>SUMIF('Unos rashoda i izdataka'!$R$3:$R$506,'A.4 RASHODI FUNK'!$A83,'Unos rashoda i izdataka'!$K$3:$K$506)+SUMIF('Unos rashoda P4'!$T$3:$T$501,'A.4 RASHODI FUNK'!$A83,'Unos rashoda P4'!$I$3:$I$501)</f>
        <v>0</v>
      </c>
      <c r="E83" s="171">
        <f>SUMIF('Unos rashoda i izdataka'!$R$3:$R$506,'A.4 RASHODI FUNK'!$A83,'Unos rashoda i izdataka'!$L$3:$L$506)+SUMIF('Unos rashoda P4'!$T$3:$T$501,'A.4 RASHODI FUNK'!$A83,'Unos rashoda P4'!$J$3:$J$501)</f>
        <v>0</v>
      </c>
    </row>
    <row r="84" spans="1:5" ht="15.75" customHeight="1">
      <c r="A84" s="173"/>
      <c r="B84" s="172"/>
    </row>
    <row r="85" spans="1:5" ht="15.75" customHeight="1">
      <c r="A85" s="173"/>
      <c r="B85" s="172"/>
    </row>
    <row r="86" spans="1:5" ht="15.75" customHeight="1">
      <c r="A86" s="173"/>
      <c r="B86" s="172"/>
    </row>
    <row r="87" spans="1:5" ht="15.75" customHeight="1">
      <c r="A87" s="173"/>
      <c r="B87" s="172"/>
    </row>
    <row r="88" spans="1:5" ht="15.75" customHeight="1">
      <c r="A88" s="173"/>
      <c r="B88" s="172"/>
    </row>
    <row r="89" spans="1:5" ht="15.75" customHeight="1">
      <c r="A89" s="173"/>
      <c r="B89" s="172"/>
    </row>
    <row r="90" spans="1:5" ht="15.75" customHeight="1">
      <c r="A90" s="173"/>
      <c r="B90" s="172"/>
    </row>
    <row r="91" spans="1:5" ht="15.75" customHeight="1">
      <c r="A91" s="173"/>
      <c r="B91" s="172"/>
    </row>
    <row r="92" spans="1:5" ht="15.75" customHeight="1">
      <c r="A92" s="173"/>
      <c r="B92" s="172"/>
    </row>
    <row r="93" spans="1:5" ht="15.75" customHeight="1">
      <c r="A93" s="173"/>
      <c r="B93" s="172"/>
    </row>
    <row r="94" spans="1:5" ht="15.75" customHeight="1">
      <c r="A94" s="173"/>
      <c r="B94" s="172"/>
    </row>
    <row r="95" spans="1:5" ht="15.75" customHeight="1">
      <c r="A95" s="173"/>
      <c r="B95" s="172"/>
    </row>
    <row r="96" spans="1:5" ht="15.75" customHeight="1">
      <c r="A96" s="173"/>
      <c r="B96" s="172"/>
    </row>
    <row r="97" spans="1:2" ht="15.75" customHeight="1">
      <c r="A97" s="173"/>
      <c r="B97" s="172"/>
    </row>
    <row r="98" spans="1:2" ht="15.75" customHeight="1">
      <c r="A98" s="173"/>
      <c r="B98" s="172"/>
    </row>
    <row r="99" spans="1:2" ht="15.75" customHeight="1">
      <c r="A99" s="173"/>
      <c r="B99" s="172"/>
    </row>
    <row r="100" spans="1:2" ht="15.75" customHeight="1">
      <c r="A100" s="173"/>
      <c r="B100" s="172"/>
    </row>
    <row r="101" spans="1:2" ht="15.75" customHeight="1">
      <c r="A101" s="173"/>
      <c r="B101" s="172"/>
    </row>
    <row r="102" spans="1:2" ht="15.75" customHeight="1">
      <c r="A102" s="173"/>
      <c r="B102" s="172"/>
    </row>
    <row r="103" spans="1:2" ht="15.75" customHeight="1">
      <c r="A103" s="173"/>
      <c r="B103" s="172"/>
    </row>
    <row r="104" spans="1:2" ht="15.75" customHeight="1">
      <c r="A104" s="173"/>
      <c r="B104" s="172"/>
    </row>
    <row r="105" spans="1:2" ht="15.75" customHeight="1">
      <c r="A105" s="173"/>
      <c r="B105" s="172"/>
    </row>
    <row r="106" spans="1:2" ht="15.75" customHeight="1">
      <c r="A106" s="173"/>
      <c r="B106" s="172"/>
    </row>
    <row r="107" spans="1:2" ht="15.75" customHeight="1">
      <c r="A107" s="173"/>
      <c r="B107" s="172"/>
    </row>
    <row r="108" spans="1:2" ht="15.75" customHeight="1">
      <c r="A108" s="173"/>
      <c r="B108" s="172"/>
    </row>
    <row r="109" spans="1:2" ht="15.75" customHeight="1">
      <c r="A109" s="173"/>
      <c r="B109" s="172"/>
    </row>
    <row r="110" spans="1:2" ht="15.75" customHeight="1">
      <c r="A110" s="173"/>
      <c r="B110" s="172"/>
    </row>
    <row r="111" spans="1:2" ht="15.75" customHeight="1">
      <c r="A111" s="173"/>
      <c r="B111" s="172"/>
    </row>
    <row r="112" spans="1:2" ht="15.75" customHeight="1">
      <c r="A112" s="173"/>
      <c r="B112" s="172"/>
    </row>
    <row r="113" spans="1:2" ht="15.75" customHeight="1">
      <c r="A113" s="173"/>
      <c r="B113" s="172"/>
    </row>
    <row r="114" spans="1:2" ht="15.75" customHeight="1">
      <c r="A114" s="173"/>
      <c r="B114" s="172"/>
    </row>
    <row r="115" spans="1:2" ht="15.75" customHeight="1">
      <c r="A115" s="173"/>
      <c r="B115" s="172"/>
    </row>
    <row r="116" spans="1:2" ht="15.75" customHeight="1">
      <c r="A116" s="173"/>
      <c r="B116" s="172"/>
    </row>
    <row r="117" spans="1:2" ht="15.75" customHeight="1">
      <c r="A117" s="173"/>
      <c r="B117" s="172"/>
    </row>
    <row r="118" spans="1:2" ht="15.75" customHeight="1">
      <c r="A118" s="173"/>
      <c r="B118" s="172"/>
    </row>
    <row r="119" spans="1:2" ht="15.75" customHeight="1">
      <c r="A119" s="173"/>
      <c r="B119" s="172"/>
    </row>
    <row r="120" spans="1:2" ht="15.75" customHeight="1">
      <c r="A120" s="173"/>
      <c r="B120" s="172"/>
    </row>
    <row r="121" spans="1:2" ht="15.75" customHeight="1">
      <c r="A121" s="173"/>
      <c r="B121" s="172"/>
    </row>
    <row r="122" spans="1:2" ht="15.75" customHeight="1">
      <c r="A122" s="173"/>
      <c r="B122" s="172"/>
    </row>
    <row r="123" spans="1:2" ht="15.75" customHeight="1">
      <c r="A123" s="173"/>
      <c r="B123" s="172"/>
    </row>
    <row r="124" spans="1:2" ht="15.75" customHeight="1">
      <c r="A124" s="173"/>
      <c r="B124" s="172"/>
    </row>
    <row r="125" spans="1:2" ht="15.75" customHeight="1">
      <c r="A125" s="173"/>
      <c r="B125" s="172"/>
    </row>
    <row r="126" spans="1:2" ht="15.75" customHeight="1">
      <c r="A126" s="173"/>
      <c r="B126" s="172"/>
    </row>
    <row r="127" spans="1:2" ht="15.75" customHeight="1">
      <c r="A127" s="173"/>
      <c r="B127" s="172"/>
    </row>
    <row r="128" spans="1:2" ht="15.75" customHeight="1">
      <c r="A128" s="173"/>
      <c r="B128" s="172"/>
    </row>
    <row r="129" spans="1:2" ht="15.75" customHeight="1">
      <c r="A129" s="173"/>
      <c r="B129" s="172"/>
    </row>
    <row r="130" spans="1:2" ht="15.75" customHeight="1">
      <c r="A130" s="173"/>
      <c r="B130" s="172"/>
    </row>
    <row r="131" spans="1:2" ht="15.75" customHeight="1">
      <c r="A131" s="173"/>
      <c r="B131" s="172"/>
    </row>
    <row r="132" spans="1:2" ht="15.75" customHeight="1">
      <c r="A132" s="173"/>
      <c r="B132" s="172"/>
    </row>
    <row r="133" spans="1:2" ht="15.75" customHeight="1">
      <c r="A133" s="173"/>
      <c r="B133" s="172"/>
    </row>
    <row r="134" spans="1:2" ht="15.75" customHeight="1">
      <c r="A134" s="173"/>
      <c r="B134" s="172"/>
    </row>
    <row r="135" spans="1:2" ht="15.75" customHeight="1">
      <c r="A135" s="173"/>
      <c r="B135" s="172"/>
    </row>
    <row r="136" spans="1:2" ht="15.75" customHeight="1">
      <c r="A136" s="173"/>
      <c r="B136" s="172"/>
    </row>
    <row r="137" spans="1:2" ht="15.75" customHeight="1">
      <c r="A137" s="173"/>
      <c r="B137" s="172"/>
    </row>
    <row r="138" spans="1:2" ht="15.75" customHeight="1">
      <c r="A138" s="173"/>
      <c r="B138" s="172"/>
    </row>
    <row r="139" spans="1:2" ht="15.75" customHeight="1">
      <c r="A139" s="173"/>
      <c r="B139" s="172"/>
    </row>
    <row r="140" spans="1:2" ht="15.75" customHeight="1">
      <c r="A140" s="173"/>
      <c r="B140" s="172"/>
    </row>
    <row r="141" spans="1:2" ht="15.75" customHeight="1">
      <c r="A141" s="173"/>
      <c r="B141" s="172"/>
    </row>
    <row r="142" spans="1:2" ht="15.75" customHeight="1">
      <c r="A142" s="173"/>
      <c r="B142" s="172"/>
    </row>
    <row r="143" spans="1:2" ht="15.75" customHeight="1">
      <c r="A143" s="173"/>
      <c r="B143" s="172"/>
    </row>
    <row r="144" spans="1:2" ht="15.75" customHeight="1">
      <c r="A144" s="173"/>
      <c r="B144" s="172"/>
    </row>
    <row r="145" spans="1:2" ht="15.75" customHeight="1">
      <c r="A145" s="173"/>
      <c r="B145" s="172"/>
    </row>
    <row r="146" spans="1:2" ht="15.75" customHeight="1">
      <c r="A146" s="173"/>
      <c r="B146" s="172"/>
    </row>
    <row r="147" spans="1:2" ht="15.75" customHeight="1">
      <c r="A147" s="173"/>
      <c r="B147" s="172"/>
    </row>
    <row r="148" spans="1:2" ht="15.75" customHeight="1">
      <c r="A148" s="173"/>
      <c r="B148" s="172"/>
    </row>
    <row r="149" spans="1:2" ht="15.75" customHeight="1">
      <c r="A149" s="173"/>
      <c r="B149" s="172"/>
    </row>
    <row r="150" spans="1:2" ht="15.75" customHeight="1">
      <c r="A150" s="173"/>
      <c r="B150" s="172"/>
    </row>
    <row r="151" spans="1:2" ht="15.75" customHeight="1">
      <c r="A151" s="173"/>
      <c r="B151" s="172"/>
    </row>
    <row r="152" spans="1:2" ht="15.75" customHeight="1">
      <c r="A152" s="173"/>
      <c r="B152" s="172"/>
    </row>
    <row r="153" spans="1:2" ht="15.75" customHeight="1">
      <c r="A153" s="173"/>
      <c r="B153" s="172"/>
    </row>
    <row r="154" spans="1:2" ht="15.75" customHeight="1">
      <c r="A154" s="173"/>
      <c r="B154" s="172"/>
    </row>
    <row r="155" spans="1:2" ht="15.75" customHeight="1">
      <c r="A155" s="173"/>
      <c r="B155" s="172"/>
    </row>
    <row r="156" spans="1:2" ht="15.75" customHeight="1">
      <c r="A156" s="173"/>
      <c r="B156" s="172"/>
    </row>
    <row r="157" spans="1:2" ht="15.75" customHeight="1">
      <c r="A157" s="173"/>
      <c r="B157" s="172"/>
    </row>
    <row r="158" spans="1:2" ht="15.75" customHeight="1">
      <c r="A158" s="173"/>
      <c r="B158" s="172"/>
    </row>
    <row r="159" spans="1:2" ht="15.75" customHeight="1">
      <c r="A159" s="173"/>
      <c r="B159" s="172"/>
    </row>
    <row r="160" spans="1:2" ht="15.75" customHeight="1">
      <c r="A160" s="173"/>
      <c r="B160" s="172"/>
    </row>
    <row r="161" spans="1:2" ht="15.75" customHeight="1">
      <c r="A161" s="173"/>
      <c r="B161" s="172"/>
    </row>
    <row r="162" spans="1:2" ht="15.75" customHeight="1">
      <c r="A162" s="173"/>
      <c r="B162" s="172"/>
    </row>
    <row r="163" spans="1:2" ht="15.75" customHeight="1">
      <c r="A163" s="173"/>
      <c r="B163" s="172"/>
    </row>
    <row r="164" spans="1:2" ht="15.75" customHeight="1">
      <c r="A164" s="173"/>
      <c r="B164" s="172"/>
    </row>
    <row r="165" spans="1:2" ht="15.75" customHeight="1">
      <c r="A165" s="173"/>
      <c r="B165" s="172"/>
    </row>
    <row r="166" spans="1:2" ht="15.75" customHeight="1">
      <c r="A166" s="173"/>
      <c r="B166" s="172"/>
    </row>
    <row r="167" spans="1:2" ht="15.75" customHeight="1">
      <c r="A167" s="173"/>
      <c r="B167" s="172"/>
    </row>
    <row r="168" spans="1:2" ht="15.75" customHeight="1">
      <c r="A168" s="173"/>
      <c r="B168" s="172"/>
    </row>
    <row r="169" spans="1:2" ht="15.75" customHeight="1">
      <c r="A169" s="173"/>
      <c r="B169" s="172"/>
    </row>
    <row r="170" spans="1:2" ht="15.75" customHeight="1">
      <c r="A170" s="173"/>
      <c r="B170" s="172"/>
    </row>
    <row r="171" spans="1:2" ht="15.75" customHeight="1">
      <c r="A171" s="173"/>
      <c r="B171" s="172"/>
    </row>
    <row r="172" spans="1:2" ht="15.75" customHeight="1">
      <c r="A172" s="173"/>
      <c r="B172" s="172"/>
    </row>
    <row r="173" spans="1:2" ht="15.75" customHeight="1">
      <c r="A173" s="173"/>
      <c r="B173" s="172"/>
    </row>
    <row r="174" spans="1:2" ht="15.75" customHeight="1">
      <c r="A174" s="173"/>
      <c r="B174" s="172"/>
    </row>
    <row r="175" spans="1:2" ht="15.75" customHeight="1">
      <c r="A175" s="173"/>
      <c r="B175" s="172"/>
    </row>
    <row r="176" spans="1:2" ht="15.75" customHeight="1">
      <c r="A176" s="173"/>
      <c r="B176" s="172"/>
    </row>
    <row r="177" spans="1:2" ht="15.75" customHeight="1">
      <c r="A177" s="173"/>
      <c r="B177" s="172"/>
    </row>
    <row r="178" spans="1:2" ht="15.75" customHeight="1">
      <c r="A178" s="173"/>
      <c r="B178" s="172"/>
    </row>
    <row r="179" spans="1:2" ht="15.75" customHeight="1">
      <c r="A179" s="173"/>
      <c r="B179" s="172"/>
    </row>
    <row r="180" spans="1:2" ht="15.75" customHeight="1">
      <c r="A180" s="173"/>
      <c r="B180" s="172"/>
    </row>
    <row r="181" spans="1:2" ht="15.75" customHeight="1">
      <c r="A181" s="173"/>
      <c r="B181" s="172"/>
    </row>
    <row r="182" spans="1:2" ht="15.75" customHeight="1">
      <c r="A182" s="173"/>
      <c r="B182" s="172"/>
    </row>
    <row r="183" spans="1:2" ht="15.75" customHeight="1">
      <c r="A183" s="173"/>
      <c r="B183" s="172"/>
    </row>
    <row r="184" spans="1:2" ht="15.75" customHeight="1">
      <c r="A184" s="173"/>
      <c r="B184" s="172"/>
    </row>
    <row r="185" spans="1:2" ht="15.75" customHeight="1">
      <c r="A185" s="173"/>
      <c r="B185" s="172"/>
    </row>
    <row r="186" spans="1:2" ht="15.75" customHeight="1">
      <c r="A186" s="173"/>
      <c r="B186" s="172"/>
    </row>
    <row r="187" spans="1:2" ht="15.75" customHeight="1">
      <c r="A187" s="173"/>
      <c r="B187" s="172"/>
    </row>
    <row r="188" spans="1:2" ht="15.75" customHeight="1">
      <c r="A188" s="173"/>
      <c r="B188" s="172"/>
    </row>
    <row r="189" spans="1:2" ht="15.75" customHeight="1">
      <c r="A189" s="173"/>
      <c r="B189" s="172"/>
    </row>
    <row r="190" spans="1:2" ht="15.75" customHeight="1">
      <c r="A190" s="173"/>
      <c r="B190" s="172"/>
    </row>
    <row r="191" spans="1:2" ht="15.75" customHeight="1">
      <c r="A191" s="173"/>
      <c r="B191" s="172"/>
    </row>
    <row r="192" spans="1:2" ht="15.75" customHeight="1">
      <c r="A192" s="173"/>
      <c r="B192" s="172"/>
    </row>
    <row r="193" spans="1:2" ht="15.75" customHeight="1">
      <c r="A193" s="173"/>
      <c r="B193" s="172"/>
    </row>
    <row r="194" spans="1:2" ht="15.75" customHeight="1">
      <c r="A194" s="173"/>
      <c r="B194" s="172"/>
    </row>
    <row r="195" spans="1:2" ht="15.75" customHeight="1">
      <c r="A195" s="173"/>
      <c r="B195" s="172"/>
    </row>
    <row r="196" spans="1:2" ht="15.75" customHeight="1">
      <c r="A196" s="173"/>
      <c r="B196" s="172"/>
    </row>
    <row r="197" spans="1:2" ht="15.75" customHeight="1">
      <c r="A197" s="173"/>
      <c r="B197" s="172"/>
    </row>
    <row r="198" spans="1:2" ht="15.75" customHeight="1">
      <c r="A198" s="173"/>
      <c r="B198" s="172"/>
    </row>
    <row r="199" spans="1:2" ht="15.75" customHeight="1">
      <c r="A199" s="173"/>
      <c r="B199" s="172"/>
    </row>
    <row r="200" spans="1:2" ht="15.75" customHeight="1">
      <c r="A200" s="173"/>
      <c r="B200" s="172"/>
    </row>
    <row r="201" spans="1:2" ht="15.75" customHeight="1">
      <c r="A201" s="173"/>
      <c r="B201" s="172"/>
    </row>
    <row r="202" spans="1:2" ht="15.75" customHeight="1">
      <c r="A202" s="173"/>
      <c r="B202" s="172"/>
    </row>
    <row r="203" spans="1:2" ht="15.75" customHeight="1">
      <c r="A203" s="173"/>
      <c r="B203" s="172"/>
    </row>
    <row r="204" spans="1:2" ht="15.75" customHeight="1">
      <c r="A204" s="173"/>
      <c r="B204" s="172"/>
    </row>
    <row r="205" spans="1:2" ht="15.75" customHeight="1">
      <c r="A205" s="173"/>
      <c r="B205" s="172"/>
    </row>
    <row r="206" spans="1:2" ht="15.75" customHeight="1">
      <c r="A206" s="173"/>
      <c r="B206" s="172"/>
    </row>
    <row r="207" spans="1:2" ht="15.75" customHeight="1">
      <c r="A207" s="173"/>
      <c r="B207" s="172"/>
    </row>
    <row r="208" spans="1:2" ht="15.75" customHeight="1">
      <c r="A208" s="173"/>
      <c r="B208" s="172"/>
    </row>
    <row r="209" spans="1:2" ht="15.75" customHeight="1">
      <c r="A209" s="173"/>
      <c r="B209" s="172"/>
    </row>
    <row r="210" spans="1:2" ht="15.75" customHeight="1">
      <c r="A210" s="173"/>
      <c r="B210" s="172"/>
    </row>
    <row r="211" spans="1:2" ht="15.75" customHeight="1">
      <c r="A211" s="173"/>
      <c r="B211" s="172"/>
    </row>
    <row r="212" spans="1:2" ht="15.75" customHeight="1">
      <c r="A212" s="173"/>
      <c r="B212" s="172"/>
    </row>
    <row r="213" spans="1:2" ht="15.75" customHeight="1">
      <c r="A213" s="173"/>
      <c r="B213" s="172"/>
    </row>
    <row r="214" spans="1:2" ht="15.75" customHeight="1">
      <c r="A214" s="173"/>
      <c r="B214" s="172"/>
    </row>
    <row r="215" spans="1:2" ht="15.75" customHeight="1">
      <c r="A215" s="173"/>
      <c r="B215" s="172"/>
    </row>
    <row r="216" spans="1:2" ht="15.75" customHeight="1">
      <c r="A216" s="173"/>
      <c r="B216" s="172"/>
    </row>
    <row r="217" spans="1:2" ht="15.75" customHeight="1">
      <c r="A217" s="173"/>
      <c r="B217" s="172"/>
    </row>
    <row r="218" spans="1:2" ht="15.75" customHeight="1">
      <c r="A218" s="173"/>
      <c r="B218" s="172"/>
    </row>
    <row r="219" spans="1:2" ht="15.75" customHeight="1">
      <c r="A219" s="173"/>
      <c r="B219" s="172"/>
    </row>
    <row r="220" spans="1:2" ht="15.75" customHeight="1">
      <c r="A220" s="173"/>
      <c r="B220" s="172"/>
    </row>
    <row r="221" spans="1:2" ht="15.75" customHeight="1">
      <c r="A221" s="173"/>
      <c r="B221" s="172"/>
    </row>
    <row r="222" spans="1:2" ht="15.75" customHeight="1">
      <c r="A222" s="173"/>
      <c r="B222" s="172"/>
    </row>
    <row r="223" spans="1:2" ht="15.75" customHeight="1">
      <c r="A223" s="173"/>
      <c r="B223" s="172"/>
    </row>
    <row r="224" spans="1:2" ht="15.75" customHeight="1">
      <c r="A224" s="173"/>
      <c r="B224" s="172"/>
    </row>
    <row r="225" spans="1:2" ht="15.75" customHeight="1">
      <c r="A225" s="173"/>
      <c r="B225" s="172"/>
    </row>
    <row r="226" spans="1:2" ht="15.75" customHeight="1">
      <c r="A226" s="173"/>
      <c r="B226" s="172"/>
    </row>
    <row r="227" spans="1:2" ht="15.75" customHeight="1">
      <c r="A227" s="173"/>
      <c r="B227" s="172"/>
    </row>
    <row r="228" spans="1:2" ht="15.75" customHeight="1">
      <c r="A228" s="173"/>
      <c r="B228" s="172"/>
    </row>
    <row r="229" spans="1:2" ht="15.75" customHeight="1">
      <c r="A229" s="173"/>
      <c r="B229" s="172"/>
    </row>
    <row r="230" spans="1:2" ht="15.75" customHeight="1">
      <c r="A230" s="173"/>
      <c r="B230" s="172"/>
    </row>
    <row r="231" spans="1:2" ht="15.75" customHeight="1">
      <c r="A231" s="173"/>
      <c r="B231" s="172"/>
    </row>
    <row r="232" spans="1:2" ht="15.75" customHeight="1">
      <c r="A232" s="173"/>
      <c r="B232" s="172"/>
    </row>
    <row r="233" spans="1:2" ht="15.75" customHeight="1">
      <c r="A233" s="173"/>
      <c r="B233" s="172"/>
    </row>
    <row r="234" spans="1:2" ht="15.75" customHeight="1">
      <c r="A234" s="173"/>
      <c r="B234" s="172"/>
    </row>
    <row r="235" spans="1:2" ht="15.75" customHeight="1">
      <c r="A235" s="173"/>
      <c r="B235" s="172"/>
    </row>
    <row r="236" spans="1:2" ht="15.75" customHeight="1">
      <c r="A236" s="173"/>
      <c r="B236" s="172"/>
    </row>
    <row r="237" spans="1:2" ht="15.75" customHeight="1">
      <c r="A237" s="173"/>
      <c r="B237" s="172"/>
    </row>
    <row r="238" spans="1:2" ht="15.75" customHeight="1">
      <c r="A238" s="173"/>
      <c r="B238" s="172"/>
    </row>
    <row r="239" spans="1:2" ht="15.75" customHeight="1">
      <c r="A239" s="173"/>
      <c r="B239" s="172"/>
    </row>
    <row r="240" spans="1:2" ht="15.75" customHeight="1">
      <c r="A240" s="173"/>
      <c r="B240" s="172"/>
    </row>
    <row r="241" spans="1:2" ht="15.75" customHeight="1">
      <c r="A241" s="173"/>
      <c r="B241" s="172"/>
    </row>
    <row r="242" spans="1:2" ht="15.75" customHeight="1">
      <c r="A242" s="173"/>
      <c r="B242" s="172"/>
    </row>
    <row r="243" spans="1:2" ht="15.75" customHeight="1">
      <c r="A243" s="173"/>
      <c r="B243" s="172"/>
    </row>
    <row r="244" spans="1:2" ht="15.75" customHeight="1">
      <c r="A244" s="173"/>
      <c r="B244" s="172"/>
    </row>
    <row r="245" spans="1:2" ht="15.75" customHeight="1">
      <c r="A245" s="173"/>
      <c r="B245" s="172"/>
    </row>
    <row r="246" spans="1:2" ht="15.75" customHeight="1">
      <c r="A246" s="173"/>
      <c r="B246" s="172"/>
    </row>
    <row r="247" spans="1:2" ht="15.75" customHeight="1">
      <c r="A247" s="173"/>
      <c r="B247" s="172"/>
    </row>
    <row r="248" spans="1:2" ht="15.75" customHeight="1">
      <c r="A248" s="173"/>
      <c r="B248" s="172"/>
    </row>
    <row r="249" spans="1:2" ht="15.75" customHeight="1">
      <c r="A249" s="173"/>
      <c r="B249" s="172"/>
    </row>
    <row r="250" spans="1:2" ht="15.75" customHeight="1">
      <c r="A250" s="173"/>
      <c r="B250" s="172"/>
    </row>
    <row r="251" spans="1:2" ht="15.75" customHeight="1">
      <c r="A251" s="173"/>
      <c r="B251" s="172"/>
    </row>
    <row r="252" spans="1:2" ht="15.75" customHeight="1">
      <c r="A252" s="173"/>
      <c r="B252" s="172"/>
    </row>
    <row r="253" spans="1:2" ht="15.75" customHeight="1">
      <c r="A253" s="173"/>
      <c r="B253" s="172"/>
    </row>
    <row r="254" spans="1:2" ht="15.75" customHeight="1">
      <c r="A254" s="173"/>
      <c r="B254" s="172"/>
    </row>
    <row r="255" spans="1:2" ht="15.75" customHeight="1">
      <c r="A255" s="173"/>
      <c r="B255" s="172"/>
    </row>
    <row r="256" spans="1:2" ht="15.75" customHeight="1">
      <c r="A256" s="173"/>
      <c r="B256" s="172"/>
    </row>
    <row r="257" spans="1:2" ht="15.75" customHeight="1">
      <c r="A257" s="173"/>
      <c r="B257" s="172"/>
    </row>
    <row r="258" spans="1:2" ht="15.75" customHeight="1">
      <c r="A258" s="173"/>
      <c r="B258" s="172"/>
    </row>
    <row r="259" spans="1:2" ht="15.75" customHeight="1">
      <c r="A259" s="173"/>
      <c r="B259" s="172"/>
    </row>
    <row r="260" spans="1:2" ht="15.75" customHeight="1">
      <c r="A260" s="173"/>
      <c r="B260" s="172"/>
    </row>
    <row r="261" spans="1:2" ht="15.75" customHeight="1">
      <c r="A261" s="173"/>
      <c r="B261" s="172"/>
    </row>
    <row r="262" spans="1:2" ht="15.75" customHeight="1">
      <c r="A262" s="173"/>
      <c r="B262" s="172"/>
    </row>
    <row r="263" spans="1:2" ht="15.75" customHeight="1">
      <c r="A263" s="173"/>
      <c r="B263" s="172"/>
    </row>
    <row r="264" spans="1:2" ht="15.75" customHeight="1">
      <c r="A264" s="173"/>
      <c r="B264" s="172"/>
    </row>
    <row r="265" spans="1:2" ht="15.75" customHeight="1">
      <c r="A265" s="173"/>
      <c r="B265" s="172"/>
    </row>
    <row r="266" spans="1:2" ht="15.75" customHeight="1">
      <c r="A266" s="173"/>
      <c r="B266" s="172"/>
    </row>
    <row r="267" spans="1:2" ht="15.75" customHeight="1">
      <c r="A267" s="173"/>
      <c r="B267" s="172"/>
    </row>
    <row r="268" spans="1:2" ht="15.75" customHeight="1">
      <c r="A268" s="173"/>
      <c r="B268" s="172"/>
    </row>
    <row r="269" spans="1:2" ht="15.75" customHeight="1">
      <c r="A269" s="173"/>
      <c r="B269" s="172"/>
    </row>
    <row r="270" spans="1:2" ht="15.75" customHeight="1">
      <c r="A270" s="173"/>
      <c r="B270" s="172"/>
    </row>
    <row r="271" spans="1:2" ht="15.75" customHeight="1">
      <c r="A271" s="173"/>
      <c r="B271" s="172"/>
    </row>
    <row r="272" spans="1:2" ht="15.75" customHeight="1">
      <c r="A272" s="173"/>
      <c r="B272" s="172"/>
    </row>
    <row r="273" spans="1:2" ht="15.75" customHeight="1">
      <c r="A273" s="173"/>
      <c r="B273" s="172"/>
    </row>
    <row r="274" spans="1:2" ht="15.75" customHeight="1">
      <c r="A274" s="173"/>
      <c r="B274" s="172"/>
    </row>
    <row r="275" spans="1:2" ht="15.75" customHeight="1">
      <c r="A275" s="173"/>
      <c r="B275" s="172"/>
    </row>
    <row r="276" spans="1:2" ht="15.75" customHeight="1">
      <c r="A276" s="173"/>
      <c r="B276" s="172"/>
    </row>
    <row r="277" spans="1:2" ht="15.75" customHeight="1">
      <c r="A277" s="173"/>
      <c r="B277" s="172"/>
    </row>
    <row r="278" spans="1:2" ht="15.75" customHeight="1">
      <c r="A278" s="173"/>
      <c r="B278" s="172"/>
    </row>
    <row r="279" spans="1:2" ht="15.75" customHeight="1">
      <c r="A279" s="173"/>
      <c r="B279" s="172"/>
    </row>
    <row r="280" spans="1:2" ht="15.75" customHeight="1">
      <c r="A280" s="173"/>
      <c r="B280" s="172"/>
    </row>
    <row r="281" spans="1:2" ht="15.75" customHeight="1">
      <c r="A281" s="173"/>
      <c r="B281" s="172"/>
    </row>
    <row r="282" spans="1:2" ht="15.75" customHeight="1">
      <c r="A282" s="173"/>
      <c r="B282" s="172"/>
    </row>
    <row r="283" spans="1:2" ht="15.75" customHeight="1">
      <c r="A283" s="173"/>
      <c r="B283" s="172"/>
    </row>
    <row r="284" spans="1:2" ht="15.75" customHeight="1">
      <c r="A284" s="173"/>
      <c r="B284" s="172"/>
    </row>
    <row r="285" spans="1:2" ht="15.75" customHeight="1">
      <c r="A285" s="173"/>
      <c r="B285" s="172"/>
    </row>
    <row r="286" spans="1:2" ht="15.75" customHeight="1">
      <c r="A286" s="173"/>
      <c r="B286" s="172"/>
    </row>
    <row r="287" spans="1:2" ht="15.75" customHeight="1">
      <c r="A287" s="173"/>
      <c r="B287" s="172"/>
    </row>
    <row r="288" spans="1:2" ht="15.75" customHeight="1">
      <c r="A288" s="173"/>
      <c r="B288" s="172"/>
    </row>
    <row r="289" spans="1:2" ht="15.75" customHeight="1">
      <c r="A289" s="173"/>
      <c r="B289" s="172"/>
    </row>
    <row r="290" spans="1:2" ht="15.75" customHeight="1">
      <c r="A290" s="173"/>
      <c r="B290" s="172"/>
    </row>
    <row r="291" spans="1:2" ht="15.75" customHeight="1">
      <c r="A291" s="173"/>
      <c r="B291" s="172"/>
    </row>
    <row r="292" spans="1:2" ht="15.75" customHeight="1">
      <c r="A292" s="173"/>
      <c r="B292" s="172"/>
    </row>
    <row r="293" spans="1:2" ht="15.75" customHeight="1">
      <c r="A293" s="173"/>
      <c r="B293" s="172"/>
    </row>
    <row r="294" spans="1:2" ht="15.75" customHeight="1">
      <c r="A294" s="173"/>
      <c r="B294" s="172"/>
    </row>
    <row r="295" spans="1:2" ht="15.75" customHeight="1">
      <c r="A295" s="173"/>
      <c r="B295" s="172"/>
    </row>
    <row r="296" spans="1:2" ht="15.75" customHeight="1">
      <c r="A296" s="173"/>
      <c r="B296" s="172"/>
    </row>
    <row r="297" spans="1:2" ht="15.75" customHeight="1">
      <c r="A297" s="173"/>
      <c r="B297" s="172"/>
    </row>
    <row r="298" spans="1:2" ht="15.75" customHeight="1">
      <c r="A298" s="173"/>
      <c r="B298" s="172"/>
    </row>
    <row r="299" spans="1:2" ht="15.75" customHeight="1">
      <c r="A299" s="173"/>
      <c r="B299" s="172"/>
    </row>
    <row r="300" spans="1:2" ht="15.75" customHeight="1">
      <c r="A300" s="173"/>
      <c r="B300" s="172"/>
    </row>
    <row r="301" spans="1:2" ht="15.75" customHeight="1">
      <c r="A301" s="173"/>
      <c r="B301" s="172"/>
    </row>
    <row r="302" spans="1:2" ht="15.75" customHeight="1">
      <c r="A302" s="173"/>
      <c r="B302" s="172"/>
    </row>
    <row r="303" spans="1:2" ht="15.75" customHeight="1">
      <c r="A303" s="173"/>
      <c r="B303" s="172"/>
    </row>
    <row r="304" spans="1:2" ht="15.75" customHeight="1">
      <c r="A304" s="173"/>
      <c r="B304" s="172"/>
    </row>
    <row r="305" spans="1:2" ht="15.75" customHeight="1">
      <c r="A305" s="173"/>
      <c r="B305" s="172"/>
    </row>
    <row r="306" spans="1:2" ht="15.75" customHeight="1">
      <c r="A306" s="173"/>
      <c r="B306" s="172"/>
    </row>
    <row r="307" spans="1:2" ht="15.75" customHeight="1">
      <c r="A307" s="173"/>
      <c r="B307" s="172"/>
    </row>
    <row r="308" spans="1:2" ht="15.75" customHeight="1">
      <c r="A308" s="173"/>
      <c r="B308" s="172"/>
    </row>
    <row r="309" spans="1:2" ht="15.75" customHeight="1">
      <c r="A309" s="173"/>
      <c r="B309" s="172"/>
    </row>
    <row r="310" spans="1:2" ht="15.75" customHeight="1">
      <c r="A310" s="173"/>
      <c r="B310" s="172"/>
    </row>
    <row r="311" spans="1:2" ht="15.75" customHeight="1">
      <c r="A311" s="173"/>
      <c r="B311" s="172"/>
    </row>
    <row r="312" spans="1:2" ht="15.75" customHeight="1">
      <c r="A312" s="173"/>
      <c r="B312" s="172"/>
    </row>
    <row r="313" spans="1:2" ht="15.75" customHeight="1">
      <c r="A313" s="173"/>
      <c r="B313" s="172"/>
    </row>
    <row r="314" spans="1:2" ht="15.75" customHeight="1">
      <c r="A314" s="173"/>
      <c r="B314" s="172"/>
    </row>
    <row r="315" spans="1:2" ht="15.75" customHeight="1">
      <c r="A315" s="173"/>
      <c r="B315" s="172"/>
    </row>
    <row r="316" spans="1:2" ht="15.75" customHeight="1">
      <c r="A316" s="173"/>
      <c r="B316" s="172"/>
    </row>
    <row r="317" spans="1:2" ht="15.75" customHeight="1">
      <c r="A317" s="173"/>
      <c r="B317" s="172"/>
    </row>
    <row r="318" spans="1:2" ht="15.75" customHeight="1">
      <c r="A318" s="173"/>
      <c r="B318" s="172"/>
    </row>
    <row r="319" spans="1:2" ht="15.75" customHeight="1">
      <c r="A319" s="173"/>
      <c r="B319" s="172"/>
    </row>
    <row r="320" spans="1:2" ht="15.75" customHeight="1">
      <c r="A320" s="173"/>
      <c r="B320" s="172"/>
    </row>
    <row r="321" spans="1:2" ht="15.75" customHeight="1">
      <c r="A321" s="173"/>
      <c r="B321" s="172"/>
    </row>
    <row r="322" spans="1:2" ht="15.75" customHeight="1">
      <c r="A322" s="173"/>
      <c r="B322" s="172"/>
    </row>
    <row r="323" spans="1:2" ht="15.75" customHeight="1">
      <c r="A323" s="173"/>
      <c r="B323" s="172"/>
    </row>
    <row r="324" spans="1:2" ht="15.75" customHeight="1">
      <c r="A324" s="173"/>
      <c r="B324" s="172"/>
    </row>
    <row r="325" spans="1:2" ht="15.75" customHeight="1">
      <c r="A325" s="173"/>
      <c r="B325" s="172"/>
    </row>
    <row r="326" spans="1:2" ht="15.75" customHeight="1">
      <c r="A326" s="173"/>
      <c r="B326" s="172"/>
    </row>
    <row r="327" spans="1:2" ht="15.75" customHeight="1">
      <c r="A327" s="173"/>
      <c r="B327" s="172"/>
    </row>
    <row r="328" spans="1:2" ht="15.75" customHeight="1">
      <c r="A328" s="173"/>
      <c r="B328" s="172"/>
    </row>
    <row r="329" spans="1:2" ht="15.75" customHeight="1">
      <c r="A329" s="173"/>
      <c r="B329" s="172"/>
    </row>
    <row r="330" spans="1:2" ht="15.75" customHeight="1">
      <c r="A330" s="173"/>
      <c r="B330" s="172"/>
    </row>
    <row r="331" spans="1:2" ht="15.75" customHeight="1">
      <c r="A331" s="173"/>
      <c r="B331" s="172"/>
    </row>
    <row r="332" spans="1:2" ht="15.75" customHeight="1">
      <c r="A332" s="173"/>
      <c r="B332" s="172"/>
    </row>
    <row r="333" spans="1:2" ht="15.75" customHeight="1">
      <c r="A333" s="173"/>
      <c r="B333" s="172"/>
    </row>
    <row r="334" spans="1:2" ht="15.75" customHeight="1">
      <c r="A334" s="173"/>
      <c r="B334" s="172"/>
    </row>
    <row r="335" spans="1:2" ht="15.75" customHeight="1">
      <c r="A335" s="173"/>
      <c r="B335" s="172"/>
    </row>
    <row r="336" spans="1:2" ht="15.75" customHeight="1">
      <c r="A336" s="173"/>
      <c r="B336" s="172"/>
    </row>
    <row r="337" spans="1:2" ht="15.75" customHeight="1">
      <c r="A337" s="173"/>
      <c r="B337" s="172"/>
    </row>
    <row r="338" spans="1:2" ht="15.75" customHeight="1">
      <c r="A338" s="173"/>
      <c r="B338" s="172"/>
    </row>
    <row r="339" spans="1:2" ht="15.75" customHeight="1">
      <c r="A339" s="173"/>
      <c r="B339" s="172"/>
    </row>
    <row r="340" spans="1:2" ht="15.75" customHeight="1">
      <c r="A340" s="173"/>
      <c r="B340" s="172"/>
    </row>
    <row r="341" spans="1:2" ht="15.75" customHeight="1">
      <c r="A341" s="173"/>
      <c r="B341" s="172"/>
    </row>
    <row r="342" spans="1:2" ht="15.75" customHeight="1">
      <c r="A342" s="173"/>
      <c r="B342" s="172"/>
    </row>
    <row r="343" spans="1:2" ht="15.75" customHeight="1">
      <c r="A343" s="173"/>
      <c r="B343" s="172"/>
    </row>
    <row r="344" spans="1:2" ht="15.75" customHeight="1">
      <c r="A344" s="173"/>
      <c r="B344" s="172"/>
    </row>
    <row r="345" spans="1:2" ht="15.75" customHeight="1">
      <c r="A345" s="173"/>
      <c r="B345" s="172"/>
    </row>
    <row r="346" spans="1:2" ht="15.75" customHeight="1">
      <c r="A346" s="173"/>
      <c r="B346" s="172"/>
    </row>
    <row r="347" spans="1:2" ht="15.75" customHeight="1">
      <c r="A347" s="173"/>
      <c r="B347" s="172"/>
    </row>
    <row r="348" spans="1:2" ht="15.75" customHeight="1">
      <c r="A348" s="173"/>
      <c r="B348" s="172"/>
    </row>
    <row r="349" spans="1:2" ht="15.75" customHeight="1">
      <c r="A349" s="173"/>
      <c r="B349" s="172"/>
    </row>
    <row r="350" spans="1:2" ht="15.75" customHeight="1">
      <c r="A350" s="173"/>
      <c r="B350" s="172"/>
    </row>
    <row r="351" spans="1:2" ht="15.75" customHeight="1">
      <c r="A351" s="173"/>
      <c r="B351" s="172"/>
    </row>
    <row r="352" spans="1:2" ht="15.75" customHeight="1">
      <c r="A352" s="173"/>
      <c r="B352" s="172"/>
    </row>
    <row r="353" spans="1:2" ht="15.75" customHeight="1">
      <c r="A353" s="173"/>
      <c r="B353" s="172"/>
    </row>
    <row r="354" spans="1:2" ht="15.75" customHeight="1">
      <c r="A354" s="173"/>
      <c r="B354" s="172"/>
    </row>
    <row r="355" spans="1:2" ht="15.75" customHeight="1">
      <c r="A355" s="173"/>
      <c r="B355" s="172"/>
    </row>
    <row r="356" spans="1:2" ht="15.75" customHeight="1">
      <c r="A356" s="173"/>
      <c r="B356" s="172"/>
    </row>
    <row r="357" spans="1:2" ht="15.75" customHeight="1">
      <c r="A357" s="173"/>
      <c r="B357" s="172"/>
    </row>
    <row r="358" spans="1:2" ht="15.75" customHeight="1">
      <c r="A358" s="173"/>
      <c r="B358" s="172"/>
    </row>
    <row r="359" spans="1:2" ht="15.75" customHeight="1">
      <c r="A359" s="173"/>
      <c r="B359" s="172"/>
    </row>
    <row r="360" spans="1:2" ht="15.75" customHeight="1">
      <c r="A360" s="173"/>
      <c r="B360" s="172"/>
    </row>
    <row r="361" spans="1:2" ht="15.75" customHeight="1">
      <c r="A361" s="173"/>
      <c r="B361" s="172"/>
    </row>
    <row r="362" spans="1:2" ht="15.75" customHeight="1">
      <c r="A362" s="173"/>
      <c r="B362" s="172"/>
    </row>
    <row r="363" spans="1:2" ht="15.75" customHeight="1">
      <c r="A363" s="173"/>
      <c r="B363" s="172"/>
    </row>
    <row r="364" spans="1:2" ht="15.75" customHeight="1">
      <c r="A364" s="173"/>
      <c r="B364" s="172"/>
    </row>
    <row r="365" spans="1:2" ht="15.75" customHeight="1">
      <c r="A365" s="173"/>
      <c r="B365" s="172"/>
    </row>
    <row r="366" spans="1:2" ht="15.75" customHeight="1">
      <c r="A366" s="173"/>
      <c r="B366" s="172"/>
    </row>
    <row r="367" spans="1:2" ht="15.75" customHeight="1">
      <c r="A367" s="173"/>
      <c r="B367" s="172"/>
    </row>
    <row r="368" spans="1:2" ht="15.75" customHeight="1">
      <c r="A368" s="173"/>
      <c r="B368" s="172"/>
    </row>
    <row r="369" spans="1:2" ht="15.75" customHeight="1">
      <c r="A369" s="173"/>
      <c r="B369" s="172"/>
    </row>
    <row r="370" spans="1:2" ht="15.75" customHeight="1">
      <c r="A370" s="173"/>
      <c r="B370" s="172"/>
    </row>
    <row r="371" spans="1:2" ht="15.75" customHeight="1">
      <c r="A371" s="173"/>
      <c r="B371" s="172"/>
    </row>
    <row r="372" spans="1:2" ht="15.75" customHeight="1">
      <c r="A372" s="173"/>
      <c r="B372" s="172"/>
    </row>
    <row r="373" spans="1:2" ht="15.75" customHeight="1">
      <c r="A373" s="173"/>
      <c r="B373" s="172"/>
    </row>
    <row r="374" spans="1:2" ht="15.75" customHeight="1">
      <c r="A374" s="173"/>
      <c r="B374" s="172"/>
    </row>
    <row r="375" spans="1:2" ht="15.75" customHeight="1">
      <c r="A375" s="173"/>
      <c r="B375" s="172"/>
    </row>
    <row r="376" spans="1:2" ht="15.75" customHeight="1">
      <c r="A376" s="173"/>
      <c r="B376" s="172"/>
    </row>
    <row r="377" spans="1:2" ht="15.75" customHeight="1">
      <c r="A377" s="173"/>
      <c r="B377" s="172"/>
    </row>
    <row r="378" spans="1:2" ht="15.75" customHeight="1">
      <c r="A378" s="173"/>
      <c r="B378" s="172"/>
    </row>
    <row r="379" spans="1:2" ht="15.75" customHeight="1">
      <c r="A379" s="173"/>
      <c r="B379" s="172"/>
    </row>
    <row r="380" spans="1:2" ht="15.75" customHeight="1">
      <c r="A380" s="173"/>
      <c r="B380" s="172"/>
    </row>
    <row r="381" spans="1:2" ht="15.75" customHeight="1">
      <c r="A381" s="173"/>
      <c r="B381" s="172"/>
    </row>
    <row r="382" spans="1:2" ht="15.75" customHeight="1">
      <c r="A382" s="173"/>
      <c r="B382" s="172"/>
    </row>
    <row r="383" spans="1:2" ht="15.75" customHeight="1">
      <c r="A383" s="173"/>
      <c r="B383" s="172"/>
    </row>
    <row r="384" spans="1:2" ht="15.75" customHeight="1">
      <c r="A384" s="173"/>
      <c r="B384" s="172"/>
    </row>
    <row r="385" spans="1:2" ht="15.75" customHeight="1">
      <c r="A385" s="173"/>
      <c r="B385" s="172"/>
    </row>
    <row r="386" spans="1:2" ht="15.75" customHeight="1">
      <c r="A386" s="173"/>
      <c r="B386" s="172"/>
    </row>
    <row r="387" spans="1:2" ht="15.75" customHeight="1">
      <c r="A387" s="173"/>
      <c r="B387" s="172"/>
    </row>
    <row r="388" spans="1:2" ht="15.75" customHeight="1">
      <c r="A388" s="173"/>
      <c r="B388" s="172"/>
    </row>
    <row r="389" spans="1:2" ht="15.75" customHeight="1">
      <c r="A389" s="173"/>
      <c r="B389" s="172"/>
    </row>
    <row r="390" spans="1:2" ht="15.75" customHeight="1">
      <c r="A390" s="173"/>
      <c r="B390" s="172"/>
    </row>
    <row r="391" spans="1:2" ht="15.75" customHeight="1">
      <c r="A391" s="173"/>
      <c r="B391" s="172"/>
    </row>
    <row r="392" spans="1:2" ht="15.75" customHeight="1">
      <c r="A392" s="173"/>
      <c r="B392" s="172"/>
    </row>
    <row r="393" spans="1:2" ht="15.75" customHeight="1">
      <c r="A393" s="173"/>
      <c r="B393" s="172"/>
    </row>
    <row r="394" spans="1:2" ht="15.75" customHeight="1">
      <c r="A394" s="173"/>
      <c r="B394" s="172"/>
    </row>
    <row r="395" spans="1:2" ht="15.75" customHeight="1">
      <c r="A395" s="173"/>
      <c r="B395" s="172"/>
    </row>
    <row r="396" spans="1:2" ht="15.75" customHeight="1">
      <c r="A396" s="173"/>
      <c r="B396" s="172"/>
    </row>
    <row r="397" spans="1:2" ht="15.75" customHeight="1">
      <c r="A397" s="173"/>
      <c r="B397" s="172"/>
    </row>
    <row r="398" spans="1:2" ht="15.75" customHeight="1">
      <c r="A398" s="173"/>
      <c r="B398" s="172"/>
    </row>
    <row r="399" spans="1:2" ht="15.75" customHeight="1">
      <c r="A399" s="173"/>
      <c r="B399" s="172"/>
    </row>
    <row r="400" spans="1:2" ht="15.75" customHeight="1">
      <c r="A400" s="173"/>
      <c r="B400" s="172"/>
    </row>
    <row r="401" spans="1:2" ht="15.75" customHeight="1">
      <c r="A401" s="173"/>
      <c r="B401" s="172"/>
    </row>
    <row r="402" spans="1:2" ht="15.75" customHeight="1">
      <c r="A402" s="173"/>
      <c r="B402" s="172"/>
    </row>
    <row r="403" spans="1:2" ht="15.75" customHeight="1">
      <c r="A403" s="173"/>
      <c r="B403" s="172"/>
    </row>
    <row r="404" spans="1:2" ht="15.75" customHeight="1">
      <c r="A404" s="173"/>
      <c r="B404" s="172"/>
    </row>
    <row r="405" spans="1:2" ht="15.75" customHeight="1">
      <c r="A405" s="173"/>
      <c r="B405" s="172"/>
    </row>
    <row r="406" spans="1:2" ht="15.75" customHeight="1">
      <c r="A406" s="173"/>
      <c r="B406" s="172"/>
    </row>
    <row r="407" spans="1:2" ht="15.75" customHeight="1">
      <c r="A407" s="173"/>
      <c r="B407" s="172"/>
    </row>
    <row r="408" spans="1:2" ht="15.75" customHeight="1">
      <c r="A408" s="173"/>
      <c r="B408" s="172"/>
    </row>
    <row r="409" spans="1:2" ht="15.75" customHeight="1">
      <c r="A409" s="173"/>
      <c r="B409" s="172"/>
    </row>
    <row r="410" spans="1:2" ht="15.75" customHeight="1">
      <c r="A410" s="173"/>
      <c r="B410" s="172"/>
    </row>
    <row r="411" spans="1:2" ht="15.75" customHeight="1">
      <c r="A411" s="173"/>
      <c r="B411" s="172"/>
    </row>
    <row r="412" spans="1:2" ht="15.75" customHeight="1">
      <c r="A412" s="173"/>
      <c r="B412" s="172"/>
    </row>
    <row r="413" spans="1:2" ht="15.75" customHeight="1">
      <c r="A413" s="173"/>
      <c r="B413" s="172"/>
    </row>
    <row r="414" spans="1:2" ht="15.75" customHeight="1">
      <c r="A414" s="173"/>
      <c r="B414" s="172"/>
    </row>
    <row r="415" spans="1:2" ht="15.75" customHeight="1">
      <c r="A415" s="173"/>
      <c r="B415" s="172"/>
    </row>
    <row r="416" spans="1:2" ht="15.75" customHeight="1">
      <c r="A416" s="173"/>
      <c r="B416" s="172"/>
    </row>
    <row r="417" spans="1:2" ht="15.75" customHeight="1">
      <c r="A417" s="173"/>
      <c r="B417" s="172"/>
    </row>
    <row r="418" spans="1:2" ht="15.75" customHeight="1">
      <c r="A418" s="173"/>
      <c r="B418" s="172"/>
    </row>
    <row r="419" spans="1:2" ht="15.75" customHeight="1">
      <c r="A419" s="173"/>
      <c r="B419" s="172"/>
    </row>
    <row r="420" spans="1:2" ht="15.75" customHeight="1">
      <c r="A420" s="173"/>
      <c r="B420" s="172"/>
    </row>
    <row r="421" spans="1:2" ht="15.75" customHeight="1">
      <c r="A421" s="173"/>
      <c r="B421" s="172"/>
    </row>
    <row r="422" spans="1:2" ht="15.75" customHeight="1">
      <c r="A422" s="173"/>
      <c r="B422" s="172"/>
    </row>
    <row r="423" spans="1:2" ht="15.75" customHeight="1">
      <c r="A423" s="173"/>
      <c r="B423" s="172"/>
    </row>
    <row r="424" spans="1:2" ht="15.75" customHeight="1">
      <c r="A424" s="173"/>
      <c r="B424" s="172"/>
    </row>
    <row r="425" spans="1:2" ht="15.75" customHeight="1">
      <c r="A425" s="173"/>
      <c r="B425" s="172"/>
    </row>
    <row r="426" spans="1:2" ht="15.75" customHeight="1">
      <c r="A426" s="173"/>
      <c r="B426" s="172"/>
    </row>
    <row r="427" spans="1:2" ht="15.75" customHeight="1">
      <c r="A427" s="173"/>
      <c r="B427" s="172"/>
    </row>
    <row r="428" spans="1:2" ht="15.75" customHeight="1">
      <c r="A428" s="173"/>
      <c r="B428" s="172"/>
    </row>
    <row r="429" spans="1:2" ht="15.75" customHeight="1">
      <c r="A429" s="173"/>
      <c r="B429" s="172"/>
    </row>
    <row r="430" spans="1:2" ht="15.75" customHeight="1">
      <c r="A430" s="173"/>
      <c r="B430" s="172"/>
    </row>
    <row r="431" spans="1:2" ht="15.75" customHeight="1">
      <c r="A431" s="173"/>
      <c r="B431" s="172"/>
    </row>
    <row r="432" spans="1:2" ht="15.75" customHeight="1">
      <c r="A432" s="173"/>
      <c r="B432" s="172"/>
    </row>
    <row r="433" spans="1:2" ht="15.75" customHeight="1">
      <c r="A433" s="173"/>
      <c r="B433" s="172"/>
    </row>
    <row r="434" spans="1:2" ht="15.75" customHeight="1">
      <c r="A434" s="173"/>
      <c r="B434" s="172"/>
    </row>
    <row r="435" spans="1:2" ht="15.75" customHeight="1">
      <c r="A435" s="173"/>
      <c r="B435" s="172"/>
    </row>
    <row r="436" spans="1:2" ht="15.75" customHeight="1">
      <c r="A436" s="173"/>
      <c r="B436" s="172"/>
    </row>
    <row r="437" spans="1:2" ht="15.75" customHeight="1">
      <c r="A437" s="173"/>
      <c r="B437" s="172"/>
    </row>
    <row r="438" spans="1:2" ht="15.75" customHeight="1">
      <c r="A438" s="173"/>
      <c r="B438" s="172"/>
    </row>
    <row r="439" spans="1:2" ht="15.75" customHeight="1">
      <c r="A439" s="173"/>
      <c r="B439" s="172"/>
    </row>
    <row r="440" spans="1:2" ht="15.75" customHeight="1">
      <c r="A440" s="173"/>
      <c r="B440" s="172"/>
    </row>
    <row r="441" spans="1:2" ht="15.75" customHeight="1">
      <c r="A441" s="173"/>
      <c r="B441" s="172"/>
    </row>
    <row r="442" spans="1:2" ht="15.75" customHeight="1">
      <c r="A442" s="173"/>
      <c r="B442" s="172"/>
    </row>
    <row r="443" spans="1:2" ht="15.75" customHeight="1">
      <c r="A443" s="173"/>
      <c r="B443" s="172"/>
    </row>
    <row r="444" spans="1:2" ht="15.75" customHeight="1">
      <c r="A444" s="173"/>
      <c r="B444" s="172"/>
    </row>
    <row r="445" spans="1:2" ht="15.75" customHeight="1">
      <c r="A445" s="173"/>
      <c r="B445" s="172"/>
    </row>
    <row r="446" spans="1:2" ht="15.75" customHeight="1">
      <c r="A446" s="173"/>
      <c r="B446" s="172"/>
    </row>
    <row r="447" spans="1:2" ht="15.75" customHeight="1">
      <c r="A447" s="173"/>
      <c r="B447" s="172"/>
    </row>
    <row r="448" spans="1:2" ht="15.75" customHeight="1">
      <c r="A448" s="173"/>
      <c r="B448" s="172"/>
    </row>
    <row r="449" spans="1:2" ht="15.75" customHeight="1">
      <c r="A449" s="173"/>
      <c r="B449" s="172"/>
    </row>
    <row r="450" spans="1:2" ht="15.75" customHeight="1">
      <c r="A450" s="173"/>
      <c r="B450" s="172"/>
    </row>
    <row r="451" spans="1:2" ht="15.75" customHeight="1">
      <c r="A451" s="173"/>
      <c r="B451" s="172"/>
    </row>
    <row r="452" spans="1:2" ht="15.75" customHeight="1">
      <c r="A452" s="173"/>
      <c r="B452" s="172"/>
    </row>
    <row r="453" spans="1:2" ht="15.75" customHeight="1">
      <c r="A453" s="173"/>
      <c r="B453" s="172"/>
    </row>
    <row r="454" spans="1:2" ht="15.75" customHeight="1">
      <c r="A454" s="173"/>
      <c r="B454" s="172"/>
    </row>
    <row r="455" spans="1:2" ht="15.75" customHeight="1">
      <c r="A455" s="173"/>
      <c r="B455" s="172"/>
    </row>
    <row r="456" spans="1:2" ht="15.75" customHeight="1">
      <c r="A456" s="173"/>
      <c r="B456" s="172"/>
    </row>
    <row r="457" spans="1:2" ht="15.75" customHeight="1">
      <c r="A457" s="173"/>
      <c r="B457" s="172"/>
    </row>
    <row r="458" spans="1:2" ht="15.75" customHeight="1">
      <c r="A458" s="173"/>
      <c r="B458" s="172"/>
    </row>
    <row r="459" spans="1:2" ht="15.75" customHeight="1">
      <c r="A459" s="173"/>
      <c r="B459" s="172"/>
    </row>
    <row r="460" spans="1:2" ht="15.75" customHeight="1">
      <c r="A460" s="173"/>
      <c r="B460" s="172"/>
    </row>
    <row r="461" spans="1:2" ht="15.75" customHeight="1">
      <c r="A461" s="173"/>
      <c r="B461" s="172"/>
    </row>
    <row r="462" spans="1:2" ht="15.75" customHeight="1">
      <c r="A462" s="173"/>
      <c r="B462" s="172"/>
    </row>
    <row r="463" spans="1:2" ht="15.75" customHeight="1">
      <c r="A463" s="173"/>
      <c r="B463" s="172"/>
    </row>
    <row r="464" spans="1:2" ht="15.75" customHeight="1">
      <c r="A464" s="173"/>
      <c r="B464" s="172"/>
    </row>
    <row r="465" spans="1:2" ht="15.75" customHeight="1">
      <c r="A465" s="173"/>
      <c r="B465" s="172"/>
    </row>
    <row r="466" spans="1:2" ht="15.75" customHeight="1">
      <c r="A466" s="173"/>
      <c r="B466" s="172"/>
    </row>
    <row r="467" spans="1:2" ht="15.75" customHeight="1">
      <c r="A467" s="173"/>
      <c r="B467" s="172"/>
    </row>
    <row r="468" spans="1:2" ht="15.75" customHeight="1">
      <c r="A468" s="173"/>
      <c r="B468" s="172"/>
    </row>
    <row r="469" spans="1:2" ht="15.75" customHeight="1">
      <c r="A469" s="173"/>
      <c r="B469" s="172"/>
    </row>
    <row r="470" spans="1:2" ht="15.75" customHeight="1">
      <c r="A470" s="173"/>
      <c r="B470" s="172"/>
    </row>
    <row r="471" spans="1:2" ht="15.75" customHeight="1">
      <c r="A471" s="173"/>
      <c r="B471" s="172"/>
    </row>
    <row r="472" spans="1:2" ht="15.75" customHeight="1">
      <c r="A472" s="173"/>
      <c r="B472" s="172"/>
    </row>
    <row r="473" spans="1:2" ht="15.75" customHeight="1">
      <c r="A473" s="173"/>
      <c r="B473" s="172"/>
    </row>
    <row r="474" spans="1:2" ht="15.75" customHeight="1">
      <c r="A474" s="173"/>
      <c r="B474" s="172"/>
    </row>
    <row r="475" spans="1:2" ht="15.75" customHeight="1">
      <c r="A475" s="173"/>
      <c r="B475" s="172"/>
    </row>
    <row r="476" spans="1:2" ht="15.75" customHeight="1">
      <c r="A476" s="173"/>
      <c r="B476" s="172"/>
    </row>
    <row r="477" spans="1:2" ht="15.75" customHeight="1">
      <c r="A477" s="173"/>
      <c r="B477" s="172"/>
    </row>
    <row r="478" spans="1:2" ht="15.75" customHeight="1">
      <c r="A478" s="173"/>
      <c r="B478" s="172"/>
    </row>
    <row r="479" spans="1:2" ht="15.75" customHeight="1">
      <c r="A479" s="173"/>
      <c r="B479" s="172"/>
    </row>
    <row r="480" spans="1:2" ht="15.75" customHeight="1">
      <c r="A480" s="173"/>
      <c r="B480" s="172"/>
    </row>
    <row r="481" spans="1:2" ht="15.75" customHeight="1">
      <c r="A481" s="173"/>
      <c r="B481" s="172"/>
    </row>
    <row r="482" spans="1:2" ht="15.75" customHeight="1">
      <c r="A482" s="173"/>
      <c r="B482" s="172"/>
    </row>
    <row r="483" spans="1:2" ht="15.75" customHeight="1">
      <c r="A483" s="173"/>
      <c r="B483" s="172"/>
    </row>
    <row r="484" spans="1:2" ht="15.75" customHeight="1">
      <c r="A484" s="173"/>
      <c r="B484" s="172"/>
    </row>
    <row r="485" spans="1:2" ht="15.75" customHeight="1">
      <c r="A485" s="173"/>
      <c r="B485" s="172"/>
    </row>
    <row r="486" spans="1:2" ht="15.75" customHeight="1">
      <c r="A486" s="173"/>
      <c r="B486" s="172"/>
    </row>
    <row r="487" spans="1:2" ht="15.75" customHeight="1">
      <c r="A487" s="173"/>
      <c r="B487" s="172"/>
    </row>
    <row r="488" spans="1:2" ht="15.75" customHeight="1">
      <c r="A488" s="173"/>
      <c r="B488" s="172"/>
    </row>
    <row r="489" spans="1:2" ht="15.75" customHeight="1">
      <c r="A489" s="173"/>
      <c r="B489" s="172"/>
    </row>
    <row r="490" spans="1:2" ht="15.75" customHeight="1">
      <c r="A490" s="173"/>
      <c r="B490" s="172"/>
    </row>
    <row r="491" spans="1:2" ht="15.75" customHeight="1">
      <c r="A491" s="173"/>
      <c r="B491" s="172"/>
    </row>
    <row r="492" spans="1:2" ht="15.75" customHeight="1">
      <c r="A492" s="173"/>
      <c r="B492" s="172"/>
    </row>
    <row r="493" spans="1:2" ht="15.75" customHeight="1">
      <c r="A493" s="173"/>
      <c r="B493" s="172"/>
    </row>
    <row r="494" spans="1:2" ht="15.75" customHeight="1">
      <c r="A494" s="173"/>
      <c r="B494" s="172"/>
    </row>
    <row r="495" spans="1:2" ht="15.75" customHeight="1">
      <c r="A495" s="173"/>
      <c r="B495" s="172"/>
    </row>
    <row r="496" spans="1:2" ht="15.75" customHeight="1">
      <c r="A496" s="173"/>
      <c r="B496" s="172"/>
    </row>
    <row r="497" spans="1:2" ht="15.75" customHeight="1">
      <c r="A497" s="173"/>
      <c r="B497" s="172"/>
    </row>
    <row r="498" spans="1:2" ht="15.75" customHeight="1">
      <c r="A498" s="173"/>
      <c r="B498" s="172"/>
    </row>
    <row r="499" spans="1:2" ht="15.75" customHeight="1">
      <c r="A499" s="173"/>
      <c r="B499" s="172"/>
    </row>
    <row r="500" spans="1:2" ht="15.75" customHeight="1">
      <c r="A500" s="173"/>
      <c r="B500" s="172"/>
    </row>
    <row r="501" spans="1:2" ht="15.75" customHeight="1">
      <c r="A501" s="173"/>
      <c r="B501" s="172"/>
    </row>
    <row r="502" spans="1:2" ht="15.75" customHeight="1">
      <c r="A502" s="173"/>
      <c r="B502" s="172"/>
    </row>
    <row r="503" spans="1:2" ht="15.75" customHeight="1">
      <c r="A503" s="173"/>
      <c r="B503" s="172"/>
    </row>
    <row r="504" spans="1:2" ht="15.75" customHeight="1">
      <c r="A504" s="173"/>
      <c r="B504" s="172"/>
    </row>
    <row r="505" spans="1:2" ht="15.75" customHeight="1">
      <c r="A505" s="173"/>
      <c r="B505" s="172"/>
    </row>
    <row r="506" spans="1:2" ht="15.75" customHeight="1">
      <c r="A506" s="173"/>
      <c r="B506" s="172"/>
    </row>
    <row r="507" spans="1:2" ht="15.75" customHeight="1">
      <c r="A507" s="173"/>
      <c r="B507" s="172"/>
    </row>
    <row r="508" spans="1:2" ht="15.75" customHeight="1">
      <c r="A508" s="173"/>
      <c r="B508" s="172"/>
    </row>
    <row r="509" spans="1:2" ht="15.75" customHeight="1">
      <c r="A509" s="173"/>
      <c r="B509" s="172"/>
    </row>
    <row r="510" spans="1:2" ht="15.75" customHeight="1">
      <c r="A510" s="173"/>
      <c r="B510" s="172"/>
    </row>
    <row r="511" spans="1:2" ht="15.75" customHeight="1">
      <c r="A511" s="173"/>
      <c r="B511" s="172"/>
    </row>
    <row r="512" spans="1:2" ht="15.75" customHeight="1">
      <c r="A512" s="173"/>
      <c r="B512" s="172"/>
    </row>
    <row r="513" spans="1:2" ht="15.75" customHeight="1">
      <c r="A513" s="173"/>
      <c r="B513" s="172"/>
    </row>
    <row r="514" spans="1:2" ht="15.75" customHeight="1">
      <c r="A514" s="173"/>
      <c r="B514" s="172"/>
    </row>
    <row r="515" spans="1:2" ht="15.75" customHeight="1">
      <c r="A515" s="173"/>
      <c r="B515" s="172"/>
    </row>
    <row r="516" spans="1:2" ht="15.75" customHeight="1">
      <c r="A516" s="173"/>
      <c r="B516" s="172"/>
    </row>
    <row r="517" spans="1:2" ht="15.75" customHeight="1">
      <c r="A517" s="173"/>
      <c r="B517" s="172"/>
    </row>
    <row r="518" spans="1:2" ht="15.75" customHeight="1">
      <c r="A518" s="173"/>
      <c r="B518" s="172"/>
    </row>
    <row r="519" spans="1:2" ht="15.75" customHeight="1">
      <c r="A519" s="173"/>
      <c r="B519" s="172"/>
    </row>
    <row r="520" spans="1:2" ht="15.75" customHeight="1">
      <c r="A520" s="173"/>
      <c r="B520" s="172"/>
    </row>
    <row r="521" spans="1:2" ht="15.75" customHeight="1">
      <c r="A521" s="173"/>
      <c r="B521" s="172"/>
    </row>
    <row r="522" spans="1:2" ht="15.75" customHeight="1">
      <c r="A522" s="173"/>
      <c r="B522" s="172"/>
    </row>
    <row r="523" spans="1:2" ht="15.75" customHeight="1">
      <c r="A523" s="173"/>
      <c r="B523" s="172"/>
    </row>
    <row r="524" spans="1:2" ht="15.75" customHeight="1">
      <c r="A524" s="173"/>
      <c r="B524" s="172"/>
    </row>
    <row r="525" spans="1:2" ht="15.75" customHeight="1">
      <c r="A525" s="173"/>
      <c r="B525" s="172"/>
    </row>
    <row r="526" spans="1:2" ht="15.75" customHeight="1">
      <c r="A526" s="173"/>
      <c r="B526" s="172"/>
    </row>
    <row r="527" spans="1:2" ht="15.75" customHeight="1">
      <c r="A527" s="173"/>
      <c r="B527" s="172"/>
    </row>
    <row r="528" spans="1:2" ht="15.75" customHeight="1">
      <c r="A528" s="173"/>
      <c r="B528" s="172"/>
    </row>
    <row r="529" spans="1:2" ht="15.75" customHeight="1">
      <c r="A529" s="173"/>
      <c r="B529" s="172"/>
    </row>
    <row r="530" spans="1:2" ht="15.75" customHeight="1">
      <c r="A530" s="173"/>
      <c r="B530" s="172"/>
    </row>
    <row r="531" spans="1:2" ht="15.75" customHeight="1">
      <c r="A531" s="173"/>
      <c r="B531" s="172"/>
    </row>
    <row r="532" spans="1:2" ht="15.75" customHeight="1">
      <c r="A532" s="173"/>
      <c r="B532" s="172"/>
    </row>
    <row r="533" spans="1:2" ht="15.75" customHeight="1">
      <c r="A533" s="173"/>
      <c r="B533" s="172"/>
    </row>
    <row r="534" spans="1:2" ht="15.75" customHeight="1">
      <c r="A534" s="173"/>
      <c r="B534" s="172"/>
    </row>
    <row r="535" spans="1:2" ht="15.75" customHeight="1">
      <c r="A535" s="173"/>
      <c r="B535" s="172"/>
    </row>
    <row r="536" spans="1:2" ht="15.75" customHeight="1">
      <c r="A536" s="173"/>
      <c r="B536" s="172"/>
    </row>
    <row r="537" spans="1:2" ht="15.75" customHeight="1">
      <c r="A537" s="173"/>
      <c r="B537" s="172"/>
    </row>
    <row r="538" spans="1:2" ht="15.75" customHeight="1">
      <c r="A538" s="173"/>
      <c r="B538" s="172"/>
    </row>
    <row r="539" spans="1:2" ht="15.75" customHeight="1">
      <c r="A539" s="173"/>
      <c r="B539" s="172"/>
    </row>
    <row r="540" spans="1:2" ht="15.75" customHeight="1">
      <c r="A540" s="173"/>
      <c r="B540" s="172"/>
    </row>
    <row r="541" spans="1:2" ht="15.75" customHeight="1">
      <c r="A541" s="173"/>
      <c r="B541" s="172"/>
    </row>
    <row r="542" spans="1:2" ht="15.75" customHeight="1">
      <c r="A542" s="173"/>
      <c r="B542" s="172"/>
    </row>
    <row r="543" spans="1:2" ht="15.75" customHeight="1">
      <c r="A543" s="173"/>
      <c r="B543" s="172"/>
    </row>
    <row r="544" spans="1:2" ht="15.75" customHeight="1">
      <c r="A544" s="173"/>
      <c r="B544" s="172"/>
    </row>
    <row r="545" spans="1:2" ht="15.75" customHeight="1">
      <c r="A545" s="173"/>
      <c r="B545" s="172"/>
    </row>
    <row r="546" spans="1:2" ht="15.75" customHeight="1">
      <c r="A546" s="173"/>
      <c r="B546" s="172"/>
    </row>
    <row r="547" spans="1:2" ht="15.75" customHeight="1">
      <c r="A547" s="173"/>
      <c r="B547" s="172"/>
    </row>
    <row r="548" spans="1:2" ht="15.75" customHeight="1">
      <c r="A548" s="173"/>
      <c r="B548" s="172"/>
    </row>
    <row r="549" spans="1:2" ht="15.75" customHeight="1">
      <c r="A549" s="173"/>
      <c r="B549" s="172"/>
    </row>
    <row r="550" spans="1:2" ht="15.75" customHeight="1">
      <c r="A550" s="173"/>
      <c r="B550" s="172"/>
    </row>
    <row r="551" spans="1:2" ht="15.75" customHeight="1">
      <c r="A551" s="173"/>
      <c r="B551" s="172"/>
    </row>
    <row r="552" spans="1:2" ht="15.75" customHeight="1">
      <c r="A552" s="173"/>
      <c r="B552" s="172"/>
    </row>
    <row r="553" spans="1:2" ht="15.75" customHeight="1">
      <c r="A553" s="173"/>
      <c r="B553" s="172"/>
    </row>
    <row r="554" spans="1:2" ht="15.75" customHeight="1">
      <c r="A554" s="173"/>
      <c r="B554" s="172"/>
    </row>
    <row r="555" spans="1:2" ht="15.75" customHeight="1">
      <c r="A555" s="173"/>
      <c r="B555" s="172"/>
    </row>
    <row r="556" spans="1:2" ht="15.75" customHeight="1">
      <c r="A556" s="173"/>
      <c r="B556" s="172"/>
    </row>
    <row r="557" spans="1:2" ht="15.75" customHeight="1">
      <c r="A557" s="173"/>
      <c r="B557" s="172"/>
    </row>
    <row r="558" spans="1:2" ht="15.75" customHeight="1">
      <c r="A558" s="173"/>
      <c r="B558" s="172"/>
    </row>
    <row r="559" spans="1:2" ht="15.75" customHeight="1">
      <c r="A559" s="173"/>
      <c r="B559" s="172"/>
    </row>
    <row r="560" spans="1:2" ht="15.75" customHeight="1">
      <c r="A560" s="173"/>
      <c r="B560" s="172"/>
    </row>
    <row r="561" spans="1:2" ht="15.75" customHeight="1">
      <c r="A561" s="173"/>
      <c r="B561" s="172"/>
    </row>
    <row r="562" spans="1:2" ht="15.75" customHeight="1">
      <c r="A562" s="173"/>
      <c r="B562" s="172"/>
    </row>
    <row r="563" spans="1:2" ht="15.75" customHeight="1">
      <c r="A563" s="173"/>
      <c r="B563" s="172"/>
    </row>
    <row r="564" spans="1:2" ht="15.75" customHeight="1">
      <c r="A564" s="173"/>
      <c r="B564" s="172"/>
    </row>
    <row r="565" spans="1:2" ht="15.75" customHeight="1">
      <c r="A565" s="173"/>
      <c r="B565" s="172"/>
    </row>
    <row r="566" spans="1:2" ht="15.75" customHeight="1">
      <c r="A566" s="173"/>
      <c r="B566" s="172"/>
    </row>
    <row r="567" spans="1:2" ht="15.75" customHeight="1">
      <c r="A567" s="173"/>
      <c r="B567" s="172"/>
    </row>
    <row r="568" spans="1:2" ht="15.75" customHeight="1">
      <c r="A568" s="173"/>
      <c r="B568" s="172"/>
    </row>
    <row r="569" spans="1:2" ht="15.75" customHeight="1">
      <c r="A569" s="173"/>
      <c r="B569" s="172"/>
    </row>
    <row r="570" spans="1:2" ht="15.75" customHeight="1">
      <c r="A570" s="173"/>
      <c r="B570" s="172"/>
    </row>
    <row r="571" spans="1:2" ht="15.75" customHeight="1">
      <c r="A571" s="173"/>
      <c r="B571" s="172"/>
    </row>
    <row r="572" spans="1:2" ht="15.75" customHeight="1">
      <c r="A572" s="173"/>
      <c r="B572" s="172"/>
    </row>
    <row r="573" spans="1:2" ht="15.75" customHeight="1">
      <c r="A573" s="173"/>
      <c r="B573" s="172"/>
    </row>
    <row r="574" spans="1:2" ht="15.75" customHeight="1">
      <c r="A574" s="173"/>
      <c r="B574" s="172"/>
    </row>
    <row r="575" spans="1:2" ht="15.75" customHeight="1">
      <c r="A575" s="173"/>
      <c r="B575" s="172"/>
    </row>
    <row r="576" spans="1:2" ht="15.75" customHeight="1">
      <c r="A576" s="173"/>
      <c r="B576" s="172"/>
    </row>
    <row r="577" spans="1:2" ht="15.75" customHeight="1">
      <c r="A577" s="173"/>
      <c r="B577" s="172"/>
    </row>
    <row r="578" spans="1:2" ht="15.75" customHeight="1">
      <c r="A578" s="173"/>
      <c r="B578" s="172"/>
    </row>
    <row r="579" spans="1:2" ht="15.75" customHeight="1">
      <c r="A579" s="173"/>
      <c r="B579" s="172"/>
    </row>
    <row r="580" spans="1:2" ht="15.75" customHeight="1">
      <c r="A580" s="173"/>
      <c r="B580" s="172"/>
    </row>
    <row r="581" spans="1:2" ht="15.75" customHeight="1">
      <c r="A581" s="173"/>
      <c r="B581" s="172"/>
    </row>
    <row r="582" spans="1:2" ht="15.75" customHeight="1">
      <c r="A582" s="173"/>
      <c r="B582" s="172"/>
    </row>
    <row r="583" spans="1:2" ht="15.75" customHeight="1">
      <c r="A583" s="173"/>
      <c r="B583" s="172"/>
    </row>
    <row r="584" spans="1:2" ht="15.75" customHeight="1">
      <c r="A584" s="173"/>
      <c r="B584" s="172"/>
    </row>
    <row r="585" spans="1:2" ht="15.75" customHeight="1">
      <c r="A585" s="173"/>
      <c r="B585" s="172"/>
    </row>
    <row r="586" spans="1:2" ht="15.75" customHeight="1">
      <c r="A586" s="173"/>
      <c r="B586" s="172"/>
    </row>
    <row r="587" spans="1:2" ht="15.75" customHeight="1">
      <c r="A587" s="173"/>
      <c r="B587" s="172"/>
    </row>
    <row r="588" spans="1:2" ht="15.75" customHeight="1">
      <c r="A588" s="173"/>
      <c r="B588" s="172"/>
    </row>
    <row r="589" spans="1:2" ht="15.75" customHeight="1">
      <c r="A589" s="173"/>
      <c r="B589" s="172"/>
    </row>
    <row r="590" spans="1:2" ht="15.75" customHeight="1">
      <c r="A590" s="173"/>
      <c r="B590" s="172"/>
    </row>
    <row r="591" spans="1:2" ht="15.75" customHeight="1">
      <c r="A591" s="173"/>
      <c r="B591" s="172"/>
    </row>
    <row r="592" spans="1:2" ht="15.75" customHeight="1">
      <c r="A592" s="173"/>
      <c r="B592" s="172"/>
    </row>
    <row r="593" spans="1:2" ht="15.75" customHeight="1">
      <c r="A593" s="173"/>
      <c r="B593" s="172"/>
    </row>
    <row r="594" spans="1:2" ht="15.75" customHeight="1">
      <c r="A594" s="173"/>
      <c r="B594" s="172"/>
    </row>
    <row r="595" spans="1:2" ht="15.75" customHeight="1">
      <c r="A595" s="173"/>
      <c r="B595" s="172"/>
    </row>
    <row r="596" spans="1:2" ht="15.75" customHeight="1">
      <c r="A596" s="173"/>
      <c r="B596" s="172"/>
    </row>
    <row r="597" spans="1:2" ht="15.75" customHeight="1">
      <c r="A597" s="173"/>
      <c r="B597" s="172"/>
    </row>
    <row r="598" spans="1:2" ht="15.75" customHeight="1">
      <c r="A598" s="173"/>
      <c r="B598" s="172"/>
    </row>
    <row r="599" spans="1:2" ht="15.75" customHeight="1">
      <c r="A599" s="173"/>
      <c r="B599" s="172"/>
    </row>
    <row r="600" spans="1:2" ht="15.75" customHeight="1">
      <c r="A600" s="173"/>
      <c r="B600" s="172"/>
    </row>
    <row r="601" spans="1:2" ht="15.75" customHeight="1">
      <c r="A601" s="173"/>
      <c r="B601" s="172"/>
    </row>
    <row r="602" spans="1:2" ht="15.75" customHeight="1">
      <c r="A602" s="173"/>
      <c r="B602" s="172"/>
    </row>
    <row r="603" spans="1:2" ht="15.75" customHeight="1">
      <c r="A603" s="173"/>
      <c r="B603" s="172"/>
    </row>
    <row r="604" spans="1:2" ht="15.75" customHeight="1">
      <c r="A604" s="173"/>
      <c r="B604" s="172"/>
    </row>
    <row r="605" spans="1:2" ht="15.75" customHeight="1">
      <c r="A605" s="173"/>
      <c r="B605" s="172"/>
    </row>
    <row r="606" spans="1:2" ht="15.75" customHeight="1">
      <c r="A606" s="173"/>
      <c r="B606" s="172"/>
    </row>
    <row r="607" spans="1:2" ht="15.75" customHeight="1">
      <c r="A607" s="173"/>
      <c r="B607" s="172"/>
    </row>
    <row r="608" spans="1:2" ht="15.75" customHeight="1">
      <c r="A608" s="173"/>
      <c r="B608" s="172"/>
    </row>
    <row r="609" spans="1:2" ht="15.75" customHeight="1">
      <c r="A609" s="173"/>
      <c r="B609" s="172"/>
    </row>
    <row r="610" spans="1:2" ht="15.75" customHeight="1">
      <c r="A610" s="173"/>
      <c r="B610" s="172"/>
    </row>
    <row r="611" spans="1:2" ht="15.75" customHeight="1">
      <c r="A611" s="173"/>
      <c r="B611" s="172"/>
    </row>
    <row r="612" spans="1:2" ht="15.75" customHeight="1">
      <c r="A612" s="173"/>
      <c r="B612" s="172"/>
    </row>
    <row r="613" spans="1:2" ht="15.75" customHeight="1">
      <c r="A613" s="173"/>
      <c r="B613" s="172"/>
    </row>
    <row r="614" spans="1:2" ht="15.75" customHeight="1">
      <c r="A614" s="173"/>
      <c r="B614" s="172"/>
    </row>
    <row r="615" spans="1:2" ht="15.75" customHeight="1">
      <c r="A615" s="173"/>
      <c r="B615" s="172"/>
    </row>
    <row r="616" spans="1:2" ht="15.75" customHeight="1">
      <c r="A616" s="173"/>
      <c r="B616" s="172"/>
    </row>
    <row r="617" spans="1:2" ht="15.75" customHeight="1">
      <c r="A617" s="173"/>
      <c r="B617" s="172"/>
    </row>
    <row r="618" spans="1:2" ht="15.75" customHeight="1">
      <c r="A618" s="173"/>
      <c r="B618" s="172"/>
    </row>
    <row r="619" spans="1:2" ht="15.75" customHeight="1">
      <c r="A619" s="173"/>
      <c r="B619" s="172"/>
    </row>
    <row r="620" spans="1:2" ht="15.75" customHeight="1">
      <c r="A620" s="173"/>
      <c r="B620" s="172"/>
    </row>
    <row r="621" spans="1:2" ht="15.75" customHeight="1">
      <c r="A621" s="173"/>
      <c r="B621" s="172"/>
    </row>
    <row r="622" spans="1:2" ht="15.75" customHeight="1">
      <c r="A622" s="173"/>
      <c r="B622" s="172"/>
    </row>
    <row r="623" spans="1:2" ht="15.75" customHeight="1">
      <c r="A623" s="173"/>
      <c r="B623" s="172"/>
    </row>
    <row r="624" spans="1:2" ht="15.75" customHeight="1">
      <c r="A624" s="173"/>
      <c r="B624" s="172"/>
    </row>
    <row r="625" spans="1:2" ht="15.75" customHeight="1">
      <c r="A625" s="173"/>
      <c r="B625" s="172"/>
    </row>
    <row r="626" spans="1:2" ht="15.75" customHeight="1">
      <c r="A626" s="173"/>
      <c r="B626" s="172"/>
    </row>
    <row r="627" spans="1:2" ht="15.75" customHeight="1">
      <c r="A627" s="173"/>
      <c r="B627" s="172"/>
    </row>
    <row r="628" spans="1:2" ht="15.75" customHeight="1">
      <c r="A628" s="173"/>
      <c r="B628" s="172"/>
    </row>
    <row r="629" spans="1:2" ht="15.75" customHeight="1">
      <c r="A629" s="173"/>
      <c r="B629" s="172"/>
    </row>
    <row r="630" spans="1:2" ht="15.75" customHeight="1">
      <c r="A630" s="173"/>
      <c r="B630" s="172"/>
    </row>
    <row r="631" spans="1:2" ht="15.75" customHeight="1">
      <c r="A631" s="173"/>
      <c r="B631" s="172"/>
    </row>
    <row r="632" spans="1:2" ht="15.75" customHeight="1">
      <c r="A632" s="173"/>
      <c r="B632" s="172"/>
    </row>
    <row r="633" spans="1:2" ht="15.75" customHeight="1">
      <c r="A633" s="173"/>
      <c r="B633" s="172"/>
    </row>
    <row r="634" spans="1:2" ht="15.75" customHeight="1">
      <c r="A634" s="173"/>
      <c r="B634" s="172"/>
    </row>
    <row r="635" spans="1:2" ht="15.75" customHeight="1">
      <c r="A635" s="173"/>
      <c r="B635" s="172"/>
    </row>
    <row r="636" spans="1:2" ht="15.75" customHeight="1">
      <c r="A636" s="173"/>
      <c r="B636" s="172"/>
    </row>
    <row r="637" spans="1:2" ht="15.75" customHeight="1">
      <c r="A637" s="173"/>
      <c r="B637" s="172"/>
    </row>
    <row r="638" spans="1:2" ht="15.75" customHeight="1">
      <c r="A638" s="173"/>
      <c r="B638" s="172"/>
    </row>
    <row r="639" spans="1:2" ht="15.75" customHeight="1">
      <c r="A639" s="173"/>
      <c r="B639" s="172"/>
    </row>
    <row r="640" spans="1:2" ht="15.75" customHeight="1">
      <c r="A640" s="173"/>
      <c r="B640" s="172"/>
    </row>
    <row r="641" spans="1:2" ht="15.75" customHeight="1">
      <c r="A641" s="173"/>
      <c r="B641" s="172"/>
    </row>
    <row r="642" spans="1:2" ht="15.75" customHeight="1">
      <c r="A642" s="173"/>
      <c r="B642" s="172"/>
    </row>
    <row r="643" spans="1:2" ht="15.75" customHeight="1">
      <c r="A643" s="173"/>
      <c r="B643" s="172"/>
    </row>
    <row r="644" spans="1:2" ht="15.75" customHeight="1">
      <c r="A644" s="173"/>
      <c r="B644" s="172"/>
    </row>
    <row r="645" spans="1:2" ht="15.75" customHeight="1">
      <c r="A645" s="173"/>
      <c r="B645" s="172"/>
    </row>
    <row r="646" spans="1:2" ht="15.75" customHeight="1">
      <c r="A646" s="173"/>
      <c r="B646" s="172"/>
    </row>
    <row r="647" spans="1:2" ht="15.75" customHeight="1">
      <c r="A647" s="173"/>
      <c r="B647" s="172"/>
    </row>
    <row r="648" spans="1:2" ht="15.75" customHeight="1">
      <c r="A648" s="173"/>
      <c r="B648" s="172"/>
    </row>
    <row r="649" spans="1:2" ht="15.75" customHeight="1">
      <c r="A649" s="173"/>
      <c r="B649" s="172"/>
    </row>
    <row r="650" spans="1:2" ht="15.75" customHeight="1">
      <c r="A650" s="173"/>
      <c r="B650" s="172"/>
    </row>
    <row r="651" spans="1:2" ht="15.75" customHeight="1">
      <c r="A651" s="173"/>
      <c r="B651" s="172"/>
    </row>
    <row r="652" spans="1:2" ht="15.75" customHeight="1">
      <c r="A652" s="173"/>
      <c r="B652" s="172"/>
    </row>
    <row r="653" spans="1:2" ht="15.75" customHeight="1">
      <c r="A653" s="173"/>
      <c r="B653" s="172"/>
    </row>
    <row r="654" spans="1:2" ht="15.75" customHeight="1">
      <c r="A654" s="173"/>
      <c r="B654" s="172"/>
    </row>
    <row r="655" spans="1:2" ht="15.75" customHeight="1">
      <c r="A655" s="173"/>
      <c r="B655" s="172"/>
    </row>
    <row r="656" spans="1:2" ht="15.75" customHeight="1">
      <c r="A656" s="173"/>
      <c r="B656" s="172"/>
    </row>
    <row r="657" spans="1:2" ht="15.75" customHeight="1">
      <c r="A657" s="173"/>
      <c r="B657" s="172"/>
    </row>
    <row r="658" spans="1:2" ht="15.75" customHeight="1">
      <c r="A658" s="173"/>
      <c r="B658" s="172"/>
    </row>
    <row r="659" spans="1:2" ht="15.75" customHeight="1">
      <c r="A659" s="173"/>
      <c r="B659" s="172"/>
    </row>
    <row r="660" spans="1:2" ht="15.75" customHeight="1">
      <c r="A660" s="173"/>
      <c r="B660" s="172"/>
    </row>
    <row r="661" spans="1:2" ht="15.75" customHeight="1">
      <c r="A661" s="173"/>
      <c r="B661" s="172"/>
    </row>
    <row r="662" spans="1:2" ht="15.75" customHeight="1">
      <c r="A662" s="173"/>
      <c r="B662" s="172"/>
    </row>
    <row r="663" spans="1:2" ht="15.75" customHeight="1">
      <c r="A663" s="173"/>
      <c r="B663" s="172"/>
    </row>
    <row r="664" spans="1:2" ht="15.75" customHeight="1">
      <c r="A664" s="173"/>
      <c r="B664" s="172"/>
    </row>
    <row r="665" spans="1:2" ht="15.75" customHeight="1">
      <c r="A665" s="173"/>
      <c r="B665" s="172"/>
    </row>
    <row r="666" spans="1:2" ht="15.75" customHeight="1">
      <c r="A666" s="173"/>
      <c r="B666" s="172"/>
    </row>
    <row r="667" spans="1:2" ht="15.75" customHeight="1">
      <c r="A667" s="173"/>
      <c r="B667" s="172"/>
    </row>
    <row r="668" spans="1:2" ht="15.75" customHeight="1">
      <c r="A668" s="173"/>
      <c r="B668" s="172"/>
    </row>
    <row r="669" spans="1:2" ht="15.75" customHeight="1">
      <c r="A669" s="173"/>
      <c r="B669" s="172"/>
    </row>
    <row r="670" spans="1:2" ht="15.75" customHeight="1">
      <c r="A670" s="173"/>
      <c r="B670" s="172"/>
    </row>
    <row r="671" spans="1:2" ht="15.75" customHeight="1">
      <c r="A671" s="173"/>
      <c r="B671" s="172"/>
    </row>
    <row r="672" spans="1:2" ht="15.75" customHeight="1">
      <c r="A672" s="173"/>
      <c r="B672" s="172"/>
    </row>
    <row r="673" spans="1:2" ht="15.75" customHeight="1">
      <c r="A673" s="173"/>
      <c r="B673" s="172"/>
    </row>
    <row r="674" spans="1:2" ht="15.75" customHeight="1">
      <c r="A674" s="173"/>
      <c r="B674" s="172"/>
    </row>
    <row r="675" spans="1:2" ht="15.75" customHeight="1">
      <c r="A675" s="173"/>
      <c r="B675" s="172"/>
    </row>
    <row r="676" spans="1:2" ht="15.75" customHeight="1">
      <c r="A676" s="173"/>
      <c r="B676" s="172"/>
    </row>
    <row r="677" spans="1:2" ht="15.75" customHeight="1">
      <c r="A677" s="173"/>
      <c r="B677" s="172"/>
    </row>
    <row r="678" spans="1:2" ht="15.75" customHeight="1">
      <c r="A678" s="173"/>
      <c r="B678" s="172"/>
    </row>
    <row r="679" spans="1:2" ht="15.75" customHeight="1">
      <c r="A679" s="173"/>
      <c r="B679" s="172"/>
    </row>
    <row r="680" spans="1:2" ht="15.75" customHeight="1">
      <c r="A680" s="173"/>
      <c r="B680" s="172"/>
    </row>
    <row r="681" spans="1:2" ht="15.75" customHeight="1">
      <c r="A681" s="173"/>
      <c r="B681" s="172"/>
    </row>
    <row r="682" spans="1:2" ht="15.75" customHeight="1">
      <c r="A682" s="173"/>
      <c r="B682" s="172"/>
    </row>
    <row r="683" spans="1:2" ht="15.75" customHeight="1">
      <c r="A683" s="173"/>
      <c r="B683" s="172"/>
    </row>
    <row r="684" spans="1:2" ht="15.75" customHeight="1">
      <c r="A684" s="173"/>
      <c r="B684" s="172"/>
    </row>
    <row r="685" spans="1:2" ht="15.75" customHeight="1">
      <c r="A685" s="173"/>
      <c r="B685" s="172"/>
    </row>
    <row r="686" spans="1:2" ht="15.75" customHeight="1">
      <c r="A686" s="173"/>
      <c r="B686" s="172"/>
    </row>
    <row r="687" spans="1:2" ht="15.75" customHeight="1">
      <c r="A687" s="173"/>
      <c r="B687" s="172"/>
    </row>
    <row r="688" spans="1:2" ht="15.75" customHeight="1">
      <c r="A688" s="173"/>
      <c r="B688" s="172"/>
    </row>
    <row r="689" spans="1:2" ht="15.75" customHeight="1">
      <c r="A689" s="173"/>
      <c r="B689" s="172"/>
    </row>
    <row r="690" spans="1:2" ht="15.75" customHeight="1">
      <c r="A690" s="173"/>
      <c r="B690" s="172"/>
    </row>
    <row r="691" spans="1:2" ht="15.75" customHeight="1">
      <c r="A691" s="173"/>
      <c r="B691" s="172"/>
    </row>
    <row r="692" spans="1:2" ht="15.75" customHeight="1">
      <c r="A692" s="173"/>
      <c r="B692" s="172"/>
    </row>
    <row r="693" spans="1:2" ht="15.75" customHeight="1">
      <c r="A693" s="173"/>
      <c r="B693" s="172"/>
    </row>
    <row r="694" spans="1:2" ht="15.75" customHeight="1">
      <c r="A694" s="173"/>
      <c r="B694" s="172"/>
    </row>
    <row r="695" spans="1:2" ht="15.75" customHeight="1">
      <c r="A695" s="173"/>
      <c r="B695" s="172"/>
    </row>
    <row r="696" spans="1:2" ht="15.75" customHeight="1">
      <c r="A696" s="173"/>
      <c r="B696" s="172"/>
    </row>
    <row r="697" spans="1:2" ht="15.75" customHeight="1">
      <c r="A697" s="173"/>
      <c r="B697" s="172"/>
    </row>
    <row r="698" spans="1:2" ht="15.75" customHeight="1">
      <c r="A698" s="173"/>
      <c r="B698" s="172"/>
    </row>
    <row r="699" spans="1:2" ht="15.75" customHeight="1">
      <c r="A699" s="173"/>
      <c r="B699" s="172"/>
    </row>
    <row r="700" spans="1:2" ht="15.75" customHeight="1">
      <c r="A700" s="173"/>
      <c r="B700" s="172"/>
    </row>
    <row r="701" spans="1:2" ht="15.75" customHeight="1">
      <c r="A701" s="173"/>
      <c r="B701" s="172"/>
    </row>
    <row r="702" spans="1:2" ht="15.75" customHeight="1">
      <c r="A702" s="173"/>
      <c r="B702" s="172"/>
    </row>
    <row r="703" spans="1:2" ht="15.75" customHeight="1">
      <c r="A703" s="173"/>
      <c r="B703" s="172"/>
    </row>
    <row r="704" spans="1:2" ht="15.75" customHeight="1">
      <c r="A704" s="173"/>
      <c r="B704" s="172"/>
    </row>
    <row r="705" spans="1:2" ht="15.75" customHeight="1">
      <c r="A705" s="173"/>
      <c r="B705" s="172"/>
    </row>
    <row r="706" spans="1:2" ht="15.75" customHeight="1">
      <c r="A706" s="173"/>
      <c r="B706" s="172"/>
    </row>
    <row r="707" spans="1:2" ht="15.75" customHeight="1">
      <c r="A707" s="173"/>
      <c r="B707" s="172"/>
    </row>
    <row r="708" spans="1:2" ht="15.75" customHeight="1">
      <c r="A708" s="173"/>
      <c r="B708" s="172"/>
    </row>
    <row r="709" spans="1:2" ht="15.75" customHeight="1">
      <c r="A709" s="173"/>
      <c r="B709" s="172"/>
    </row>
    <row r="710" spans="1:2" ht="15.75" customHeight="1">
      <c r="A710" s="173"/>
      <c r="B710" s="172"/>
    </row>
    <row r="711" spans="1:2" ht="15.75" customHeight="1">
      <c r="A711" s="173"/>
      <c r="B711" s="172"/>
    </row>
    <row r="712" spans="1:2" ht="15.75" customHeight="1">
      <c r="A712" s="173"/>
      <c r="B712" s="172"/>
    </row>
    <row r="713" spans="1:2" ht="15.75" customHeight="1">
      <c r="A713" s="173"/>
      <c r="B713" s="172"/>
    </row>
    <row r="714" spans="1:2" ht="15.75" customHeight="1">
      <c r="A714" s="173"/>
      <c r="B714" s="172"/>
    </row>
    <row r="715" spans="1:2" ht="15.75" customHeight="1">
      <c r="A715" s="173"/>
      <c r="B715" s="172"/>
    </row>
    <row r="716" spans="1:2" ht="15.75" customHeight="1">
      <c r="A716" s="173"/>
      <c r="B716" s="172"/>
    </row>
    <row r="717" spans="1:2" ht="15.75" customHeight="1">
      <c r="A717" s="173"/>
      <c r="B717" s="172"/>
    </row>
    <row r="718" spans="1:2" ht="15.75" customHeight="1">
      <c r="A718" s="173"/>
      <c r="B718" s="172"/>
    </row>
    <row r="719" spans="1:2" ht="15.75" customHeight="1">
      <c r="A719" s="173"/>
      <c r="B719" s="172"/>
    </row>
    <row r="720" spans="1:2" ht="15.75" customHeight="1">
      <c r="A720" s="173"/>
      <c r="B720" s="172"/>
    </row>
    <row r="721" spans="1:2" ht="15.75" customHeight="1">
      <c r="A721" s="173"/>
      <c r="B721" s="172"/>
    </row>
    <row r="722" spans="1:2" ht="15.75" customHeight="1">
      <c r="A722" s="173"/>
      <c r="B722" s="172"/>
    </row>
    <row r="723" spans="1:2" ht="15.75" customHeight="1">
      <c r="A723" s="173"/>
      <c r="B723" s="172"/>
    </row>
    <row r="724" spans="1:2" ht="15.75" customHeight="1">
      <c r="A724" s="173"/>
      <c r="B724" s="172"/>
    </row>
    <row r="725" spans="1:2" ht="15.75" customHeight="1">
      <c r="A725" s="173"/>
      <c r="B725" s="172"/>
    </row>
    <row r="726" spans="1:2" ht="15.75" customHeight="1">
      <c r="A726" s="173"/>
      <c r="B726" s="172"/>
    </row>
    <row r="727" spans="1:2" ht="15.75" customHeight="1">
      <c r="A727" s="173"/>
      <c r="B727" s="172"/>
    </row>
    <row r="728" spans="1:2" ht="15.75" customHeight="1">
      <c r="A728" s="173"/>
      <c r="B728" s="172"/>
    </row>
    <row r="729" spans="1:2" ht="15.75" customHeight="1">
      <c r="A729" s="173"/>
      <c r="B729" s="172"/>
    </row>
    <row r="730" spans="1:2" ht="15.75" customHeight="1">
      <c r="A730" s="173"/>
      <c r="B730" s="172"/>
    </row>
    <row r="731" spans="1:2" ht="15.75" customHeight="1">
      <c r="A731" s="173"/>
      <c r="B731" s="172"/>
    </row>
    <row r="732" spans="1:2" ht="15.75" customHeight="1">
      <c r="A732" s="173"/>
      <c r="B732" s="172"/>
    </row>
    <row r="733" spans="1:2" ht="15.75" customHeight="1">
      <c r="A733" s="173"/>
      <c r="B733" s="172"/>
    </row>
    <row r="734" spans="1:2" ht="15.75" customHeight="1">
      <c r="A734" s="173"/>
      <c r="B734" s="172"/>
    </row>
    <row r="735" spans="1:2" ht="15.75" customHeight="1">
      <c r="A735" s="173"/>
      <c r="B735" s="172"/>
    </row>
    <row r="736" spans="1:2" ht="15.75" customHeight="1">
      <c r="A736" s="173"/>
      <c r="B736" s="172"/>
    </row>
    <row r="737" spans="1:2" ht="15.75" customHeight="1">
      <c r="A737" s="173"/>
      <c r="B737" s="172"/>
    </row>
    <row r="738" spans="1:2" ht="15.75" customHeight="1">
      <c r="A738" s="173"/>
      <c r="B738" s="172"/>
    </row>
    <row r="739" spans="1:2" ht="15.75" customHeight="1">
      <c r="A739" s="173"/>
      <c r="B739" s="172"/>
    </row>
    <row r="740" spans="1:2" ht="15.75" customHeight="1">
      <c r="A740" s="173"/>
      <c r="B740" s="172"/>
    </row>
    <row r="741" spans="1:2" ht="15.75" customHeight="1">
      <c r="A741" s="173"/>
      <c r="B741" s="172"/>
    </row>
    <row r="742" spans="1:2" ht="15.75" customHeight="1">
      <c r="A742" s="173"/>
      <c r="B742" s="172"/>
    </row>
    <row r="743" spans="1:2" ht="15.75" customHeight="1">
      <c r="A743" s="173"/>
      <c r="B743" s="172"/>
    </row>
    <row r="744" spans="1:2" ht="15.75" customHeight="1">
      <c r="A744" s="173"/>
      <c r="B744" s="172"/>
    </row>
    <row r="745" spans="1:2" ht="15.75" customHeight="1">
      <c r="A745" s="173"/>
      <c r="B745" s="172"/>
    </row>
    <row r="746" spans="1:2" ht="15.75" customHeight="1">
      <c r="A746" s="173"/>
      <c r="B746" s="172"/>
    </row>
    <row r="747" spans="1:2" ht="15.75" customHeight="1">
      <c r="A747" s="173"/>
      <c r="B747" s="172"/>
    </row>
    <row r="748" spans="1:2" ht="15.75" customHeight="1">
      <c r="A748" s="173"/>
      <c r="B748" s="172"/>
    </row>
    <row r="749" spans="1:2" ht="15.75" customHeight="1">
      <c r="A749" s="173"/>
      <c r="B749" s="172"/>
    </row>
    <row r="750" spans="1:2" ht="15.75" customHeight="1">
      <c r="A750" s="173"/>
      <c r="B750" s="172"/>
    </row>
    <row r="751" spans="1:2" ht="15.75" customHeight="1">
      <c r="A751" s="173"/>
      <c r="B751" s="172"/>
    </row>
    <row r="752" spans="1:2" ht="15.75" customHeight="1">
      <c r="A752" s="173"/>
      <c r="B752" s="172"/>
    </row>
    <row r="753" spans="1:2" ht="15.75" customHeight="1">
      <c r="A753" s="173"/>
      <c r="B753" s="172"/>
    </row>
    <row r="754" spans="1:2" ht="15.75" customHeight="1">
      <c r="A754" s="173"/>
      <c r="B754" s="172"/>
    </row>
    <row r="755" spans="1:2" ht="15.75" customHeight="1">
      <c r="A755" s="173"/>
      <c r="B755" s="172"/>
    </row>
    <row r="756" spans="1:2" ht="15.75" customHeight="1">
      <c r="A756" s="173"/>
      <c r="B756" s="172"/>
    </row>
    <row r="757" spans="1:2" ht="15.75" customHeight="1">
      <c r="A757" s="173"/>
      <c r="B757" s="172"/>
    </row>
    <row r="758" spans="1:2" ht="15.75" customHeight="1">
      <c r="A758" s="173"/>
      <c r="B758" s="172"/>
    </row>
    <row r="759" spans="1:2" ht="15.75" customHeight="1">
      <c r="A759" s="173"/>
      <c r="B759" s="172"/>
    </row>
    <row r="760" spans="1:2" ht="15.75" customHeight="1">
      <c r="A760" s="173"/>
      <c r="B760" s="172"/>
    </row>
    <row r="761" spans="1:2" ht="15.75" customHeight="1">
      <c r="A761" s="173"/>
      <c r="B761" s="172"/>
    </row>
    <row r="762" spans="1:2" ht="15.75" customHeight="1">
      <c r="A762" s="173"/>
      <c r="B762" s="172"/>
    </row>
    <row r="763" spans="1:2" ht="15.75" customHeight="1">
      <c r="A763" s="173"/>
      <c r="B763" s="172"/>
    </row>
    <row r="764" spans="1:2" ht="15.75" customHeight="1">
      <c r="A764" s="173"/>
      <c r="B764" s="172"/>
    </row>
    <row r="765" spans="1:2" ht="15.75" customHeight="1">
      <c r="A765" s="173"/>
      <c r="B765" s="172"/>
    </row>
    <row r="766" spans="1:2" ht="15.75" customHeight="1">
      <c r="A766" s="173"/>
      <c r="B766" s="172"/>
    </row>
    <row r="767" spans="1:2" ht="15.75" customHeight="1">
      <c r="A767" s="173"/>
      <c r="B767" s="172"/>
    </row>
    <row r="768" spans="1:2" ht="15.75" customHeight="1">
      <c r="A768" s="173"/>
      <c r="B768" s="172"/>
    </row>
    <row r="769" spans="1:2" ht="15.75" customHeight="1">
      <c r="A769" s="173"/>
      <c r="B769" s="172"/>
    </row>
    <row r="770" spans="1:2" ht="15.75" customHeight="1">
      <c r="A770" s="173"/>
      <c r="B770" s="172"/>
    </row>
    <row r="771" spans="1:2" ht="15.75" customHeight="1">
      <c r="A771" s="173"/>
      <c r="B771" s="172"/>
    </row>
    <row r="772" spans="1:2" ht="15.75" customHeight="1">
      <c r="A772" s="173"/>
      <c r="B772" s="172"/>
    </row>
    <row r="773" spans="1:2" ht="15.75" customHeight="1">
      <c r="A773" s="173"/>
      <c r="B773" s="172"/>
    </row>
    <row r="774" spans="1:2" ht="15.75" customHeight="1">
      <c r="A774" s="173"/>
      <c r="B774" s="172"/>
    </row>
    <row r="775" spans="1:2" ht="15.75" customHeight="1">
      <c r="A775" s="173"/>
      <c r="B775" s="172"/>
    </row>
    <row r="776" spans="1:2" ht="15.75" customHeight="1">
      <c r="A776" s="173"/>
      <c r="B776" s="172"/>
    </row>
    <row r="777" spans="1:2" ht="15.75" customHeight="1">
      <c r="A777" s="173"/>
      <c r="B777" s="172"/>
    </row>
    <row r="778" spans="1:2" ht="15.75" customHeight="1">
      <c r="A778" s="173"/>
      <c r="B778" s="172"/>
    </row>
    <row r="779" spans="1:2" ht="15.75" customHeight="1">
      <c r="A779" s="173"/>
      <c r="B779" s="172"/>
    </row>
    <row r="780" spans="1:2" ht="15.75" customHeight="1">
      <c r="A780" s="173"/>
      <c r="B780" s="172"/>
    </row>
    <row r="781" spans="1:2" ht="15.75" customHeight="1">
      <c r="A781" s="173"/>
      <c r="B781" s="172"/>
    </row>
    <row r="782" spans="1:2" ht="15.75" customHeight="1">
      <c r="A782" s="173"/>
      <c r="B782" s="172"/>
    </row>
    <row r="783" spans="1:2" ht="15.75" customHeight="1">
      <c r="A783" s="173"/>
      <c r="B783" s="172"/>
    </row>
    <row r="784" spans="1:2" ht="15.75" customHeight="1">
      <c r="A784" s="173"/>
      <c r="B784" s="172"/>
    </row>
    <row r="785" spans="1:2" ht="15.75" customHeight="1">
      <c r="A785" s="173"/>
      <c r="B785" s="172"/>
    </row>
    <row r="786" spans="1:2" ht="15.75" customHeight="1">
      <c r="A786" s="173"/>
      <c r="B786" s="172"/>
    </row>
    <row r="787" spans="1:2" ht="15.75" customHeight="1">
      <c r="A787" s="173"/>
      <c r="B787" s="172"/>
    </row>
    <row r="788" spans="1:2" ht="15.75" customHeight="1">
      <c r="A788" s="173"/>
      <c r="B788" s="172"/>
    </row>
    <row r="789" spans="1:2" ht="15.75" customHeight="1">
      <c r="A789" s="173"/>
      <c r="B789" s="172"/>
    </row>
    <row r="790" spans="1:2" ht="15.75" customHeight="1">
      <c r="A790" s="173"/>
      <c r="B790" s="172"/>
    </row>
    <row r="791" spans="1:2" ht="15.75" customHeight="1">
      <c r="A791" s="173"/>
      <c r="B791" s="172"/>
    </row>
    <row r="792" spans="1:2" ht="15.75" customHeight="1">
      <c r="A792" s="173"/>
      <c r="B792" s="172"/>
    </row>
    <row r="793" spans="1:2" ht="15.75" customHeight="1">
      <c r="A793" s="173"/>
      <c r="B793" s="172"/>
    </row>
    <row r="794" spans="1:2" ht="15.75" customHeight="1">
      <c r="A794" s="173"/>
      <c r="B794" s="172"/>
    </row>
    <row r="795" spans="1:2" ht="15.75" customHeight="1">
      <c r="A795" s="173"/>
      <c r="B795" s="172"/>
    </row>
    <row r="796" spans="1:2" ht="15.75" customHeight="1">
      <c r="A796" s="173"/>
      <c r="B796" s="172"/>
    </row>
    <row r="797" spans="1:2" ht="15.75" customHeight="1">
      <c r="A797" s="173"/>
      <c r="B797" s="172"/>
    </row>
    <row r="798" spans="1:2" ht="15.75" customHeight="1">
      <c r="A798" s="173"/>
      <c r="B798" s="172"/>
    </row>
    <row r="799" spans="1:2" ht="15.75" customHeight="1">
      <c r="A799" s="173"/>
      <c r="B799" s="172"/>
    </row>
    <row r="800" spans="1:2" ht="15.75" customHeight="1">
      <c r="A800" s="173"/>
      <c r="B800" s="172"/>
    </row>
    <row r="801" spans="1:2" ht="15.75" customHeight="1">
      <c r="A801" s="173"/>
      <c r="B801" s="172"/>
    </row>
    <row r="802" spans="1:2" ht="15.75" customHeight="1">
      <c r="A802" s="173"/>
      <c r="B802" s="172"/>
    </row>
    <row r="803" spans="1:2" ht="15.75" customHeight="1">
      <c r="A803" s="173"/>
      <c r="B803" s="172"/>
    </row>
    <row r="804" spans="1:2" ht="15.75" customHeight="1">
      <c r="A804" s="173"/>
      <c r="B804" s="172"/>
    </row>
    <row r="805" spans="1:2" ht="15.75" customHeight="1">
      <c r="A805" s="173"/>
      <c r="B805" s="172"/>
    </row>
    <row r="806" spans="1:2" ht="15.75" customHeight="1">
      <c r="A806" s="173"/>
      <c r="B806" s="172"/>
    </row>
    <row r="807" spans="1:2" ht="15.75" customHeight="1">
      <c r="A807" s="173"/>
      <c r="B807" s="172"/>
    </row>
    <row r="808" spans="1:2" ht="15.75" customHeight="1">
      <c r="A808" s="173"/>
      <c r="B808" s="172"/>
    </row>
    <row r="809" spans="1:2" ht="15.75" customHeight="1">
      <c r="A809" s="173"/>
      <c r="B809" s="172"/>
    </row>
    <row r="810" spans="1:2" ht="15.75" customHeight="1">
      <c r="A810" s="173"/>
      <c r="B810" s="172"/>
    </row>
    <row r="811" spans="1:2" ht="15.75" customHeight="1">
      <c r="A811" s="173"/>
      <c r="B811" s="172"/>
    </row>
    <row r="812" spans="1:2" ht="15.75" customHeight="1">
      <c r="A812" s="173"/>
      <c r="B812" s="172"/>
    </row>
    <row r="813" spans="1:2" ht="15.75" customHeight="1">
      <c r="A813" s="173"/>
      <c r="B813" s="172"/>
    </row>
    <row r="814" spans="1:2" ht="15.75" customHeight="1">
      <c r="A814" s="173"/>
      <c r="B814" s="172"/>
    </row>
    <row r="815" spans="1:2" ht="15.75" customHeight="1">
      <c r="A815" s="173"/>
      <c r="B815" s="172"/>
    </row>
    <row r="816" spans="1:2" ht="15.75" customHeight="1">
      <c r="A816" s="173"/>
      <c r="B816" s="172"/>
    </row>
    <row r="817" spans="1:2" ht="15.75" customHeight="1">
      <c r="A817" s="173"/>
      <c r="B817" s="172"/>
    </row>
    <row r="818" spans="1:2" ht="15.75" customHeight="1">
      <c r="A818" s="173"/>
      <c r="B818" s="172"/>
    </row>
    <row r="819" spans="1:2" ht="15.75" customHeight="1">
      <c r="A819" s="173"/>
      <c r="B819" s="172"/>
    </row>
    <row r="820" spans="1:2" ht="15.75" customHeight="1">
      <c r="A820" s="173"/>
      <c r="B820" s="172"/>
    </row>
    <row r="821" spans="1:2" ht="15.75" customHeight="1">
      <c r="A821" s="173"/>
      <c r="B821" s="172"/>
    </row>
    <row r="822" spans="1:2" ht="15.75" customHeight="1">
      <c r="A822" s="173"/>
      <c r="B822" s="172"/>
    </row>
    <row r="823" spans="1:2" ht="15.75" customHeight="1">
      <c r="A823" s="173"/>
      <c r="B823" s="172"/>
    </row>
    <row r="824" spans="1:2" ht="15.75" customHeight="1">
      <c r="A824" s="173"/>
      <c r="B824" s="172"/>
    </row>
    <row r="825" spans="1:2" ht="15.75" customHeight="1">
      <c r="A825" s="173"/>
      <c r="B825" s="172"/>
    </row>
    <row r="826" spans="1:2" ht="15.75" customHeight="1">
      <c r="A826" s="173"/>
      <c r="B826" s="172"/>
    </row>
    <row r="827" spans="1:2" ht="15.75" customHeight="1">
      <c r="A827" s="173"/>
      <c r="B827" s="172"/>
    </row>
    <row r="828" spans="1:2" ht="15.75" customHeight="1">
      <c r="A828" s="173"/>
      <c r="B828" s="172"/>
    </row>
    <row r="829" spans="1:2" ht="15.75" customHeight="1">
      <c r="A829" s="173"/>
      <c r="B829" s="172"/>
    </row>
    <row r="830" spans="1:2" ht="15.75" customHeight="1">
      <c r="A830" s="173"/>
      <c r="B830" s="172"/>
    </row>
    <row r="831" spans="1:2" ht="15.75" customHeight="1">
      <c r="A831" s="173"/>
      <c r="B831" s="172"/>
    </row>
    <row r="832" spans="1:2" ht="15.75" customHeight="1">
      <c r="A832" s="173"/>
      <c r="B832" s="172"/>
    </row>
    <row r="833" spans="1:2" ht="15.75" customHeight="1">
      <c r="A833" s="173"/>
      <c r="B833" s="172"/>
    </row>
    <row r="834" spans="1:2" ht="15.75" customHeight="1">
      <c r="A834" s="173"/>
      <c r="B834" s="172"/>
    </row>
    <row r="835" spans="1:2" ht="15.75" customHeight="1">
      <c r="A835" s="173"/>
      <c r="B835" s="172"/>
    </row>
    <row r="836" spans="1:2" ht="15.75" customHeight="1">
      <c r="A836" s="173"/>
      <c r="B836" s="172"/>
    </row>
    <row r="837" spans="1:2" ht="15.75" customHeight="1">
      <c r="A837" s="173"/>
      <c r="B837" s="172"/>
    </row>
    <row r="838" spans="1:2" ht="15.75" customHeight="1">
      <c r="A838" s="173"/>
      <c r="B838" s="172"/>
    </row>
    <row r="839" spans="1:2" ht="15.75" customHeight="1">
      <c r="A839" s="173"/>
      <c r="B839" s="172"/>
    </row>
    <row r="840" spans="1:2" ht="15.75" customHeight="1">
      <c r="A840" s="173"/>
      <c r="B840" s="172"/>
    </row>
    <row r="841" spans="1:2" ht="15.75" customHeight="1">
      <c r="A841" s="173"/>
      <c r="B841" s="172"/>
    </row>
    <row r="842" spans="1:2" ht="15.75" customHeight="1">
      <c r="A842" s="173"/>
      <c r="B842" s="172"/>
    </row>
    <row r="843" spans="1:2" ht="15.75" customHeight="1">
      <c r="A843" s="173"/>
      <c r="B843" s="172"/>
    </row>
    <row r="844" spans="1:2" ht="15.75" customHeight="1">
      <c r="A844" s="173"/>
      <c r="B844" s="172"/>
    </row>
    <row r="845" spans="1:2" ht="15.75" customHeight="1">
      <c r="A845" s="173"/>
      <c r="B845" s="172"/>
    </row>
    <row r="846" spans="1:2" ht="15.75" customHeight="1">
      <c r="A846" s="173"/>
      <c r="B846" s="172"/>
    </row>
    <row r="847" spans="1:2" ht="15.75" customHeight="1">
      <c r="A847" s="173"/>
      <c r="B847" s="172"/>
    </row>
    <row r="848" spans="1:2" ht="15.75" customHeight="1">
      <c r="A848" s="173"/>
      <c r="B848" s="172"/>
    </row>
    <row r="849" spans="1:2" ht="15.75" customHeight="1">
      <c r="A849" s="173"/>
      <c r="B849" s="172"/>
    </row>
    <row r="850" spans="1:2" ht="15.75" customHeight="1">
      <c r="A850" s="173"/>
      <c r="B850" s="172"/>
    </row>
    <row r="851" spans="1:2" ht="15.75" customHeight="1">
      <c r="A851" s="173"/>
      <c r="B851" s="172"/>
    </row>
    <row r="852" spans="1:2" ht="15.75" customHeight="1">
      <c r="A852" s="173"/>
      <c r="B852" s="172"/>
    </row>
    <row r="853" spans="1:2" ht="15.75" customHeight="1">
      <c r="A853" s="173"/>
      <c r="B853" s="172"/>
    </row>
    <row r="854" spans="1:2" ht="15.75" customHeight="1">
      <c r="A854" s="173"/>
      <c r="B854" s="172"/>
    </row>
    <row r="855" spans="1:2" ht="15.75" customHeight="1">
      <c r="A855" s="173"/>
      <c r="B855" s="172"/>
    </row>
    <row r="856" spans="1:2" ht="15.75" customHeight="1">
      <c r="A856" s="173"/>
      <c r="B856" s="172"/>
    </row>
    <row r="857" spans="1:2" ht="15.75" customHeight="1">
      <c r="A857" s="173"/>
      <c r="B857" s="172"/>
    </row>
    <row r="858" spans="1:2" ht="15.75" customHeight="1">
      <c r="A858" s="173"/>
      <c r="B858" s="172"/>
    </row>
    <row r="859" spans="1:2" ht="15.75" customHeight="1">
      <c r="A859" s="173"/>
      <c r="B859" s="172"/>
    </row>
    <row r="860" spans="1:2" ht="15.75" customHeight="1">
      <c r="A860" s="173"/>
      <c r="B860" s="172"/>
    </row>
    <row r="861" spans="1:2" ht="15.75" customHeight="1">
      <c r="A861" s="173"/>
      <c r="B861" s="172"/>
    </row>
    <row r="862" spans="1:2" ht="15.75" customHeight="1">
      <c r="A862" s="173"/>
      <c r="B862" s="172"/>
    </row>
    <row r="863" spans="1:2" ht="15.75" customHeight="1">
      <c r="A863" s="173"/>
      <c r="B863" s="172"/>
    </row>
    <row r="864" spans="1:2" ht="15.75" customHeight="1">
      <c r="A864" s="173"/>
      <c r="B864" s="172"/>
    </row>
    <row r="865" spans="1:2" ht="15.75" customHeight="1">
      <c r="A865" s="173"/>
      <c r="B865" s="172"/>
    </row>
    <row r="866" spans="1:2" ht="15.75" customHeight="1">
      <c r="A866" s="173"/>
      <c r="B866" s="172"/>
    </row>
    <row r="867" spans="1:2" ht="15.75" customHeight="1">
      <c r="A867" s="173"/>
      <c r="B867" s="172"/>
    </row>
    <row r="868" spans="1:2" ht="15.75" customHeight="1">
      <c r="A868" s="173"/>
      <c r="B868" s="172"/>
    </row>
    <row r="869" spans="1:2" ht="15.75" customHeight="1">
      <c r="A869" s="173"/>
      <c r="B869" s="172"/>
    </row>
    <row r="870" spans="1:2" ht="15.75" customHeight="1">
      <c r="A870" s="173"/>
      <c r="B870" s="172"/>
    </row>
    <row r="871" spans="1:2" ht="15.75" customHeight="1">
      <c r="A871" s="173"/>
      <c r="B871" s="172"/>
    </row>
    <row r="872" spans="1:2" ht="15.75" customHeight="1">
      <c r="A872" s="173"/>
      <c r="B872" s="172"/>
    </row>
    <row r="873" spans="1:2" ht="15.75" customHeight="1">
      <c r="A873" s="173"/>
      <c r="B873" s="172"/>
    </row>
    <row r="874" spans="1:2" ht="15.75" customHeight="1">
      <c r="A874" s="173"/>
      <c r="B874" s="172"/>
    </row>
    <row r="875" spans="1:2" ht="15.75" customHeight="1">
      <c r="A875" s="173"/>
      <c r="B875" s="172"/>
    </row>
    <row r="876" spans="1:2" ht="15.75" customHeight="1">
      <c r="A876" s="173"/>
      <c r="B876" s="172"/>
    </row>
    <row r="877" spans="1:2" ht="15.75" customHeight="1">
      <c r="A877" s="173"/>
      <c r="B877" s="172"/>
    </row>
    <row r="878" spans="1:2" ht="15.75" customHeight="1">
      <c r="A878" s="173"/>
      <c r="B878" s="172"/>
    </row>
    <row r="879" spans="1:2" ht="15.75" customHeight="1">
      <c r="A879" s="173"/>
      <c r="B879" s="172"/>
    </row>
    <row r="880" spans="1:2" ht="15.75" customHeight="1">
      <c r="A880" s="173"/>
      <c r="B880" s="172"/>
    </row>
    <row r="881" spans="1:2" ht="15.75" customHeight="1">
      <c r="A881" s="173"/>
      <c r="B881" s="172"/>
    </row>
    <row r="882" spans="1:2" ht="15.75" customHeight="1">
      <c r="A882" s="173"/>
      <c r="B882" s="172"/>
    </row>
    <row r="883" spans="1:2" ht="15.75" customHeight="1">
      <c r="A883" s="173"/>
      <c r="B883" s="172"/>
    </row>
    <row r="884" spans="1:2" ht="15.75" customHeight="1">
      <c r="A884" s="173"/>
      <c r="B884" s="172"/>
    </row>
    <row r="885" spans="1:2" ht="15.75" customHeight="1">
      <c r="A885" s="173"/>
      <c r="B885" s="172"/>
    </row>
    <row r="886" spans="1:2" ht="15.75" customHeight="1">
      <c r="A886" s="173"/>
      <c r="B886" s="172"/>
    </row>
    <row r="887" spans="1:2" ht="15.75" customHeight="1">
      <c r="A887" s="173"/>
      <c r="B887" s="172"/>
    </row>
    <row r="888" spans="1:2" ht="15.75" customHeight="1">
      <c r="A888" s="173"/>
      <c r="B888" s="172"/>
    </row>
    <row r="889" spans="1:2" ht="15.75" customHeight="1">
      <c r="A889" s="173"/>
      <c r="B889" s="172"/>
    </row>
    <row r="890" spans="1:2" ht="15.75" customHeight="1">
      <c r="A890" s="173"/>
      <c r="B890" s="172"/>
    </row>
    <row r="891" spans="1:2" ht="15.75" customHeight="1">
      <c r="A891" s="173"/>
      <c r="B891" s="172"/>
    </row>
    <row r="892" spans="1:2" ht="15.75" customHeight="1">
      <c r="A892" s="173"/>
      <c r="B892" s="172"/>
    </row>
    <row r="893" spans="1:2" ht="15.75" customHeight="1">
      <c r="A893" s="173"/>
      <c r="B893" s="172"/>
    </row>
    <row r="894" spans="1:2" ht="15.75" customHeight="1">
      <c r="A894" s="173"/>
      <c r="B894" s="172"/>
    </row>
    <row r="895" spans="1:2" ht="15.75" customHeight="1">
      <c r="A895" s="173"/>
      <c r="B895" s="172"/>
    </row>
    <row r="896" spans="1:2" ht="15.75" customHeight="1">
      <c r="A896" s="173"/>
      <c r="B896" s="172"/>
    </row>
    <row r="897" spans="1:2" ht="15.75" customHeight="1">
      <c r="A897" s="173"/>
      <c r="B897" s="172"/>
    </row>
    <row r="898" spans="1:2" ht="15.75" customHeight="1">
      <c r="A898" s="173"/>
      <c r="B898" s="172"/>
    </row>
    <row r="899" spans="1:2" ht="15.75" customHeight="1">
      <c r="A899" s="173"/>
      <c r="B899" s="172"/>
    </row>
    <row r="900" spans="1:2" ht="15.75" customHeight="1">
      <c r="A900" s="173"/>
      <c r="B900" s="172"/>
    </row>
    <row r="901" spans="1:2" ht="15.75" customHeight="1">
      <c r="A901" s="173"/>
      <c r="B901" s="172"/>
    </row>
    <row r="902" spans="1:2" ht="15.75" customHeight="1">
      <c r="A902" s="173"/>
      <c r="B902" s="172"/>
    </row>
    <row r="903" spans="1:2" ht="15.75" customHeight="1">
      <c r="A903" s="173"/>
      <c r="B903" s="172"/>
    </row>
    <row r="904" spans="1:2" ht="15.75" customHeight="1">
      <c r="A904" s="173"/>
      <c r="B904" s="172"/>
    </row>
    <row r="905" spans="1:2" ht="15.75" customHeight="1">
      <c r="A905" s="173"/>
      <c r="B905" s="172"/>
    </row>
    <row r="906" spans="1:2" ht="15.75" customHeight="1">
      <c r="A906" s="173"/>
      <c r="B906" s="172"/>
    </row>
    <row r="907" spans="1:2" ht="15.75" customHeight="1">
      <c r="A907" s="173"/>
      <c r="B907" s="172"/>
    </row>
    <row r="908" spans="1:2" ht="15.75" customHeight="1">
      <c r="A908" s="173"/>
      <c r="B908" s="172"/>
    </row>
    <row r="909" spans="1:2" ht="15.75" customHeight="1">
      <c r="A909" s="173"/>
      <c r="B909" s="172"/>
    </row>
    <row r="910" spans="1:2" ht="15.75" customHeight="1">
      <c r="A910" s="173"/>
      <c r="B910" s="172"/>
    </row>
    <row r="911" spans="1:2" ht="15.75" customHeight="1">
      <c r="A911" s="173"/>
      <c r="B911" s="172"/>
    </row>
    <row r="912" spans="1:2" ht="15.75" customHeight="1">
      <c r="A912" s="173"/>
      <c r="B912" s="172"/>
    </row>
    <row r="913" spans="1:2" ht="15.75" customHeight="1">
      <c r="A913" s="173"/>
      <c r="B913" s="172"/>
    </row>
    <row r="914" spans="1:2" ht="15.75" customHeight="1">
      <c r="A914" s="173"/>
      <c r="B914" s="172"/>
    </row>
    <row r="915" spans="1:2" ht="15.75" customHeight="1">
      <c r="A915" s="173"/>
      <c r="B915" s="172"/>
    </row>
    <row r="916" spans="1:2" ht="15.75" customHeight="1">
      <c r="A916" s="173"/>
      <c r="B916" s="172"/>
    </row>
    <row r="917" spans="1:2" ht="15.75" customHeight="1">
      <c r="A917" s="173"/>
      <c r="B917" s="172"/>
    </row>
    <row r="918" spans="1:2" ht="15.75" customHeight="1">
      <c r="A918" s="173"/>
      <c r="B918" s="172"/>
    </row>
    <row r="919" spans="1:2" ht="15.75" customHeight="1">
      <c r="A919" s="173"/>
      <c r="B919" s="172"/>
    </row>
    <row r="920" spans="1:2" ht="15.75" customHeight="1">
      <c r="A920" s="173"/>
      <c r="B920" s="172"/>
    </row>
    <row r="921" spans="1:2" ht="15.75" customHeight="1">
      <c r="A921" s="173"/>
      <c r="B921" s="172"/>
    </row>
    <row r="922" spans="1:2" ht="15.75" customHeight="1">
      <c r="A922" s="173"/>
      <c r="B922" s="172"/>
    </row>
    <row r="923" spans="1:2" ht="15.75" customHeight="1">
      <c r="A923" s="173"/>
      <c r="B923" s="172"/>
    </row>
    <row r="924" spans="1:2" ht="15.75" customHeight="1">
      <c r="A924" s="173"/>
      <c r="B924" s="172"/>
    </row>
    <row r="925" spans="1:2" ht="15.75" customHeight="1">
      <c r="A925" s="173"/>
      <c r="B925" s="172"/>
    </row>
    <row r="926" spans="1:2" ht="15.75" customHeight="1">
      <c r="A926" s="173"/>
      <c r="B926" s="172"/>
    </row>
    <row r="927" spans="1:2" ht="15.75" customHeight="1">
      <c r="A927" s="173"/>
      <c r="B927" s="172"/>
    </row>
    <row r="928" spans="1:2" ht="15.75" customHeight="1">
      <c r="A928" s="173"/>
      <c r="B928" s="172"/>
    </row>
    <row r="929" spans="1:2" ht="15.75" customHeight="1">
      <c r="A929" s="173"/>
      <c r="B929" s="172"/>
    </row>
    <row r="930" spans="1:2" ht="15.75" customHeight="1">
      <c r="A930" s="173"/>
      <c r="B930" s="172"/>
    </row>
    <row r="931" spans="1:2" ht="15.75" customHeight="1">
      <c r="A931" s="173"/>
      <c r="B931" s="172"/>
    </row>
    <row r="932" spans="1:2" ht="15.75" customHeight="1">
      <c r="A932" s="173"/>
      <c r="B932" s="172"/>
    </row>
    <row r="933" spans="1:2" ht="15.75" customHeight="1">
      <c r="A933" s="173"/>
      <c r="B933" s="172"/>
    </row>
    <row r="934" spans="1:2" ht="15.75" customHeight="1">
      <c r="A934" s="173"/>
      <c r="B934" s="172"/>
    </row>
    <row r="935" spans="1:2" ht="15.75" customHeight="1">
      <c r="A935" s="173"/>
      <c r="B935" s="172"/>
    </row>
    <row r="936" spans="1:2" ht="15.75" customHeight="1">
      <c r="A936" s="173"/>
      <c r="B936" s="172"/>
    </row>
    <row r="937" spans="1:2" ht="15.75" customHeight="1">
      <c r="A937" s="173"/>
      <c r="B937" s="172"/>
    </row>
    <row r="938" spans="1:2" ht="15.75" customHeight="1">
      <c r="A938" s="173"/>
      <c r="B938" s="172"/>
    </row>
    <row r="939" spans="1:2" ht="15.75" customHeight="1">
      <c r="A939" s="173"/>
      <c r="B939" s="172"/>
    </row>
    <row r="940" spans="1:2" ht="15.75" customHeight="1">
      <c r="A940" s="173"/>
      <c r="B940" s="172"/>
    </row>
    <row r="941" spans="1:2" ht="15.75" customHeight="1">
      <c r="A941" s="173"/>
      <c r="B941" s="172"/>
    </row>
    <row r="942" spans="1:2" ht="15.75" customHeight="1">
      <c r="A942" s="173"/>
      <c r="B942" s="172"/>
    </row>
    <row r="943" spans="1:2" ht="15.75" customHeight="1">
      <c r="A943" s="173"/>
      <c r="B943" s="172"/>
    </row>
    <row r="944" spans="1:2" ht="15.75" customHeight="1">
      <c r="A944" s="173"/>
      <c r="B944" s="172"/>
    </row>
    <row r="945" spans="1:2" ht="15.75" customHeight="1">
      <c r="A945" s="173"/>
      <c r="B945" s="172"/>
    </row>
    <row r="946" spans="1:2" ht="15.75" customHeight="1">
      <c r="A946" s="173"/>
      <c r="B946" s="172"/>
    </row>
    <row r="947" spans="1:2" ht="15.75" customHeight="1">
      <c r="A947" s="173"/>
      <c r="B947" s="172"/>
    </row>
    <row r="948" spans="1:2" ht="15.75" customHeight="1">
      <c r="A948" s="173"/>
      <c r="B948" s="172"/>
    </row>
    <row r="949" spans="1:2" ht="15.75" customHeight="1">
      <c r="A949" s="173"/>
      <c r="B949" s="172"/>
    </row>
    <row r="950" spans="1:2" ht="15.75" customHeight="1">
      <c r="A950" s="173"/>
      <c r="B950" s="172"/>
    </row>
    <row r="951" spans="1:2" ht="15.75" customHeight="1">
      <c r="A951" s="173"/>
      <c r="B951" s="172"/>
    </row>
    <row r="952" spans="1:2" ht="15.75" customHeight="1">
      <c r="A952" s="173"/>
      <c r="B952" s="172"/>
    </row>
    <row r="953" spans="1:2" ht="15.75" customHeight="1">
      <c r="A953" s="173"/>
      <c r="B953" s="172"/>
    </row>
    <row r="954" spans="1:2" ht="15.75" customHeight="1">
      <c r="A954" s="173"/>
      <c r="B954" s="172"/>
    </row>
    <row r="955" spans="1:2" ht="15.75" customHeight="1">
      <c r="A955" s="173"/>
      <c r="B955" s="172"/>
    </row>
    <row r="956" spans="1:2" ht="15.75" customHeight="1">
      <c r="A956" s="173"/>
      <c r="B956" s="172"/>
    </row>
    <row r="957" spans="1:2" ht="15.75" customHeight="1">
      <c r="A957" s="173"/>
      <c r="B957" s="172"/>
    </row>
    <row r="958" spans="1:2" ht="15.75" customHeight="1">
      <c r="A958" s="173"/>
      <c r="B958" s="172"/>
    </row>
    <row r="959" spans="1:2" ht="15.75" customHeight="1">
      <c r="A959" s="173"/>
      <c r="B959" s="172"/>
    </row>
    <row r="960" spans="1:2" ht="15.75" customHeight="1">
      <c r="A960" s="173"/>
      <c r="B960" s="172"/>
    </row>
    <row r="961" spans="1:2" ht="15.75" customHeight="1">
      <c r="A961" s="173"/>
      <c r="B961" s="172"/>
    </row>
    <row r="962" spans="1:2" ht="15.75" customHeight="1">
      <c r="A962" s="173"/>
      <c r="B962" s="172"/>
    </row>
    <row r="963" spans="1:2" ht="15.75" customHeight="1">
      <c r="A963" s="173"/>
      <c r="B963" s="172"/>
    </row>
    <row r="964" spans="1:2" ht="15.75" customHeight="1">
      <c r="A964" s="173"/>
      <c r="B964" s="172"/>
    </row>
    <row r="965" spans="1:2" ht="15.75" customHeight="1">
      <c r="A965" s="173"/>
      <c r="B965" s="172"/>
    </row>
    <row r="966" spans="1:2" ht="15.75" customHeight="1">
      <c r="A966" s="173"/>
      <c r="B966" s="172"/>
    </row>
    <row r="967" spans="1:2" ht="15.75" customHeight="1">
      <c r="A967" s="173"/>
      <c r="B967" s="172"/>
    </row>
    <row r="968" spans="1:2" ht="15.75" customHeight="1">
      <c r="A968" s="173"/>
      <c r="B968" s="172"/>
    </row>
    <row r="969" spans="1:2" ht="15.75" customHeight="1">
      <c r="A969" s="173"/>
      <c r="B969" s="172"/>
    </row>
    <row r="970" spans="1:2" ht="15.75" customHeight="1">
      <c r="A970" s="173"/>
      <c r="B970" s="172"/>
    </row>
    <row r="971" spans="1:2" ht="15.75" customHeight="1">
      <c r="A971" s="173"/>
      <c r="B971" s="172"/>
    </row>
    <row r="972" spans="1:2" ht="15.75" customHeight="1">
      <c r="A972" s="173"/>
      <c r="B972" s="172"/>
    </row>
    <row r="973" spans="1:2" ht="15.75" customHeight="1">
      <c r="A973" s="173"/>
      <c r="B973" s="172"/>
    </row>
    <row r="974" spans="1:2" ht="15.75" customHeight="1">
      <c r="A974" s="173"/>
      <c r="B974" s="172"/>
    </row>
    <row r="975" spans="1:2" ht="15.75" customHeight="1">
      <c r="A975" s="173"/>
      <c r="B975" s="172"/>
    </row>
    <row r="976" spans="1:2" ht="15.75" customHeight="1">
      <c r="A976" s="173"/>
      <c r="B976" s="172"/>
    </row>
    <row r="977" spans="1:2" ht="15.75" customHeight="1">
      <c r="A977" s="173"/>
      <c r="B977" s="172"/>
    </row>
    <row r="978" spans="1:2" ht="15.75" customHeight="1">
      <c r="A978" s="173"/>
      <c r="B978" s="172"/>
    </row>
    <row r="979" spans="1:2" ht="15.75" customHeight="1">
      <c r="A979" s="173"/>
      <c r="B979" s="172"/>
    </row>
    <row r="980" spans="1:2" ht="15.75" customHeight="1">
      <c r="A980" s="173"/>
      <c r="B980" s="172"/>
    </row>
    <row r="981" spans="1:2" ht="15.75" customHeight="1">
      <c r="A981" s="173"/>
      <c r="B981" s="172"/>
    </row>
    <row r="982" spans="1:2" ht="15.75" customHeight="1">
      <c r="A982" s="173"/>
      <c r="B982" s="172"/>
    </row>
    <row r="983" spans="1:2" ht="15.75" customHeight="1">
      <c r="A983" s="173"/>
      <c r="B983" s="172"/>
    </row>
    <row r="984" spans="1:2" ht="15.75" customHeight="1">
      <c r="A984" s="173"/>
      <c r="B984" s="172"/>
    </row>
    <row r="985" spans="1:2" ht="15.75" customHeight="1">
      <c r="A985" s="173"/>
      <c r="B985" s="172"/>
    </row>
    <row r="986" spans="1:2" ht="15.75" customHeight="1">
      <c r="A986" s="173"/>
      <c r="B986" s="172"/>
    </row>
    <row r="987" spans="1:2" ht="15.75" customHeight="1">
      <c r="A987" s="173"/>
      <c r="B987" s="172"/>
    </row>
    <row r="988" spans="1:2" ht="15.75" customHeight="1">
      <c r="A988" s="173"/>
      <c r="B988" s="172"/>
    </row>
    <row r="989" spans="1:2" ht="15.75" customHeight="1">
      <c r="A989" s="173"/>
      <c r="B989" s="172"/>
    </row>
    <row r="990" spans="1:2" ht="15.75" customHeight="1">
      <c r="A990" s="173"/>
      <c r="B990" s="172"/>
    </row>
    <row r="991" spans="1:2" ht="15.75" customHeight="1">
      <c r="A991" s="173"/>
      <c r="B991" s="172"/>
    </row>
    <row r="992" spans="1:2" ht="15.75" customHeight="1">
      <c r="A992" s="173"/>
      <c r="B992" s="172"/>
    </row>
    <row r="993" spans="1:2" ht="15.75" customHeight="1">
      <c r="A993" s="173"/>
      <c r="B993" s="172"/>
    </row>
    <row r="994" spans="1:2" ht="15.75" customHeight="1">
      <c r="A994" s="173"/>
      <c r="B994" s="172"/>
    </row>
    <row r="995" spans="1:2" ht="15.75" customHeight="1">
      <c r="A995" s="173"/>
      <c r="B995" s="172"/>
    </row>
    <row r="996" spans="1:2" ht="15.75" customHeight="1">
      <c r="A996" s="173"/>
      <c r="B996" s="172"/>
    </row>
    <row r="997" spans="1:2" ht="15.75" customHeight="1">
      <c r="A997" s="173"/>
      <c r="B997" s="172"/>
    </row>
    <row r="998" spans="1:2" ht="15.75" customHeight="1">
      <c r="A998" s="173"/>
      <c r="B998" s="172"/>
    </row>
    <row r="999" spans="1:2" ht="15.75" customHeight="1">
      <c r="A999" s="173"/>
      <c r="B999" s="172"/>
    </row>
  </sheetData>
  <mergeCells count="1">
    <mergeCell ref="A1:E1"/>
  </mergeCells>
  <pageMargins left="0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OPĆI DIO</vt:lpstr>
      <vt:lpstr>Unos prihoda i primitaka</vt:lpstr>
      <vt:lpstr>Unos rashoda i izdataka</vt:lpstr>
      <vt:lpstr>Unos rashoda P4</vt:lpstr>
      <vt:lpstr>Unos prijenosa</vt:lpstr>
      <vt:lpstr>A.1 PRIHODI</vt:lpstr>
      <vt:lpstr>A.2 RASHODI</vt:lpstr>
      <vt:lpstr>A.3 RASHODI IF</vt:lpstr>
      <vt:lpstr>A.4 RASHODI FUNK</vt:lpstr>
      <vt:lpstr>B. RAČUN FIN</vt:lpstr>
      <vt:lpstr>AKT</vt:lpstr>
      <vt:lpstr>p4</vt:lpstr>
      <vt:lpstr>prihodi</vt:lpstr>
      <vt:lpstr>KORISNICI DP</vt:lpstr>
      <vt:lpstr>Excel_BuiltIn_Print_Titles_3</vt:lpstr>
      <vt:lpstr>Excel_BuiltIn_Print_Titles_3_1</vt:lpstr>
      <vt:lpstr>'A.2 RASHODI'!Print_Area</vt:lpstr>
      <vt:lpstr>'A.3 RASHODI IF'!Print_Area</vt:lpstr>
      <vt:lpstr>'A.4 RASHODI FUNK'!Print_Area</vt:lpstr>
      <vt:lpstr>'B. RAČUN FIN'!Print_Area</vt:lpstr>
      <vt:lpstr>'Unos prihoda i primitaka'!Print_Area</vt:lpstr>
      <vt:lpstr>'Unos rashoda i izdataka'!Print_Area</vt:lpstr>
      <vt:lpstr>'Unos rashoda P4'!Print_Area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Matezović Hrvoje</cp:lastModifiedBy>
  <cp:lastPrinted>2023-01-30T12:21:59Z</cp:lastPrinted>
  <dcterms:created xsi:type="dcterms:W3CDTF">2018-09-10T07:36:17Z</dcterms:created>
  <dcterms:modified xsi:type="dcterms:W3CDTF">2023-02-10T10:28:23Z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V5-Privitak 1 - Prijedlog financijskog plana_2023-2025.xlsx</vt:lpwstr>
  </property>
</Properties>
</file>